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S01FS200\GROUP01\GP07406\Signaal\SignRap\2024\"/>
    </mc:Choice>
  </mc:AlternateContent>
  <xr:revisionPtr revIDLastSave="0" documentId="13_ncr:1_{8C287CAC-8E2B-4A13-AEED-B601B7FEBCF4}" xr6:coauthVersionLast="47" xr6:coauthVersionMax="47" xr10:uidLastSave="{00000000-0000-0000-0000-000000000000}"/>
  <bookViews>
    <workbookView xWindow="-110" yWindow="-110" windowWidth="19420" windowHeight="10420" tabRatio="637" firstSheet="1" activeTab="1" xr2:uid="{00000000-000D-0000-FFFF-FFFF00000000}"/>
  </bookViews>
  <sheets>
    <sheet name="T" sheetId="24" state="hidden" r:id="rId1"/>
    <sheet name="Kredieten" sheetId="16" r:id="rId2"/>
    <sheet name="Passiva" sheetId="18" r:id="rId3"/>
    <sheet name="oppvweek FTP" sheetId="7" r:id="rId4"/>
    <sheet name="grafiek" sheetId="8" r:id="rId5"/>
    <sheet name="Addendum WK" sheetId="28" r:id="rId6"/>
  </sheets>
  <definedNames>
    <definedName name="ActLangID">T!$C$62</definedName>
    <definedName name="ActLangList">T!$B$64:$B$66</definedName>
    <definedName name="ActLangListValue">T!$B$64:$C$66</definedName>
    <definedName name="ActT">T!$A$1:$C$58</definedName>
    <definedName name="InputTabel">Kredieten!$B$7:$AL$73</definedName>
    <definedName name="or_10j">'oppvweek FTP'!$AA$650</definedName>
    <definedName name="or_1j">'oppvweek FTP'!$R$650</definedName>
    <definedName name="or_1m">'oppvweek FTP'!$G$650</definedName>
    <definedName name="or_2j">'oppvweek FTP'!$S$650</definedName>
    <definedName name="or_3j">'oppvweek FTP'!$T$650</definedName>
    <definedName name="or_3m">'oppvweek FTP'!$I$650</definedName>
    <definedName name="or_4j">'oppvweek FTP'!$U$650</definedName>
    <definedName name="or_5j">'oppvweek FTP'!$V$650</definedName>
    <definedName name="or_6j">'oppvweek FTP'!$W$650</definedName>
    <definedName name="or_6m">'oppvweek FTP'!$L$650</definedName>
    <definedName name="or_7j">'oppvweek FTP'!$X$650</definedName>
    <definedName name="or_8j">'oppvweek FTP'!$Y$650</definedName>
    <definedName name="or_9j">'oppvweek FTP'!$Z$650</definedName>
    <definedName name="or_on">'oppvweek FTP'!$C$650</definedName>
    <definedName name="PasLangID">T!$H$63</definedName>
    <definedName name="PasLangList">T!$G$65:$G$67</definedName>
    <definedName name="PasLangListValue">T!$G$65:$H$67</definedName>
    <definedName name="PasT">T!$F$1:$H$58</definedName>
    <definedName name="_xlnm.Print_Area" localSheetId="5">'Addendum WK'!$A$1:$AL$9</definedName>
    <definedName name="_xlnm.Print_Area" localSheetId="4">grafiek!$A$1:$I$53</definedName>
    <definedName name="_xlnm.Print_Area" localSheetId="1">Kredieten!$A$1:$AL$77</definedName>
    <definedName name="_xlnm.Print_Area" localSheetId="2">Passiva!$B$1:$U$48</definedName>
    <definedName name="_xlnm.Print_Area" localSheetId="0">T!$A$1:$C$67</definedName>
    <definedName name="weekdatum">'oppvweek FTP'!$A$650</definedName>
    <definedName name="weeknummer">'oppvweek FTP'!$B$650</definedName>
    <definedName name="X_as">'oppvweek FTP'!$B$599:$B$650</definedName>
    <definedName name="Y1_as">'oppvweek FTP'!$G$599:$G$650</definedName>
    <definedName name="Y1_naam">'oppvweek FTP'!$G$1</definedName>
    <definedName name="Y2_as">'oppvweek FTP'!$V$599:$V$650</definedName>
    <definedName name="Y2_naam">'oppvweek FTP'!$V$1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8" l="1"/>
  <c r="F27" i="18" s="1"/>
  <c r="H27" i="18" s="1"/>
  <c r="D23" i="18"/>
  <c r="D19" i="18"/>
  <c r="B27" i="18"/>
  <c r="B32" i="18"/>
  <c r="B31" i="18"/>
  <c r="P27" i="18"/>
  <c r="P32" i="18"/>
  <c r="P31" i="18"/>
  <c r="E31" i="18"/>
  <c r="F31" i="18" s="1"/>
  <c r="H31" i="18" s="1"/>
  <c r="E32" i="18"/>
  <c r="F32" i="18" s="1"/>
  <c r="H32" i="18" s="1"/>
  <c r="R32" i="18" l="1"/>
  <c r="R31" i="18"/>
  <c r="R27" i="18"/>
  <c r="P42" i="18"/>
  <c r="P41" i="18"/>
  <c r="P40" i="18"/>
  <c r="P39" i="18"/>
  <c r="P38" i="18"/>
  <c r="P37" i="18"/>
  <c r="P36" i="18"/>
  <c r="E41" i="18"/>
  <c r="F41" i="18" s="1"/>
  <c r="H41" i="18" s="1"/>
  <c r="E40" i="18"/>
  <c r="F40" i="18" s="1"/>
  <c r="H40" i="18" s="1"/>
  <c r="E38" i="18"/>
  <c r="F38" i="18" s="1"/>
  <c r="H38" i="18" s="1"/>
  <c r="E36" i="18"/>
  <c r="F36" i="18" s="1"/>
  <c r="H36" i="18" s="1"/>
  <c r="L74" i="16"/>
  <c r="L65" i="16"/>
  <c r="L23" i="16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R36" i="18" l="1"/>
  <c r="R40" i="18"/>
  <c r="R38" i="18"/>
  <c r="R41" i="18"/>
  <c r="L63" i="16"/>
  <c r="L57" i="16"/>
  <c r="L51" i="16"/>
  <c r="L44" i="16"/>
  <c r="L26" i="16"/>
  <c r="A3" i="8"/>
  <c r="BS43" i="16" l="1"/>
  <c r="BS42" i="16"/>
  <c r="BS41" i="16"/>
  <c r="BS40" i="16"/>
  <c r="BS39" i="16"/>
  <c r="BS38" i="16"/>
  <c r="BS37" i="16"/>
  <c r="BS35" i="16"/>
  <c r="BS34" i="16"/>
  <c r="BS33" i="16"/>
  <c r="BS32" i="16"/>
  <c r="BS31" i="16"/>
  <c r="BS30" i="16"/>
  <c r="BS29" i="16"/>
  <c r="BS21" i="16"/>
  <c r="BS20" i="16"/>
  <c r="BS19" i="16"/>
  <c r="BS18" i="16"/>
  <c r="BS17" i="16"/>
  <c r="BS16" i="16"/>
  <c r="BS15" i="16"/>
  <c r="BS14" i="16"/>
  <c r="BS13" i="16"/>
  <c r="BS12" i="16"/>
  <c r="BS11" i="16"/>
  <c r="BS10" i="16"/>
  <c r="BS9" i="16"/>
  <c r="BS8" i="16"/>
  <c r="BS7" i="16"/>
  <c r="BS22" i="16"/>
  <c r="CW65" i="16"/>
  <c r="CV65" i="16"/>
  <c r="CV63" i="16"/>
  <c r="CW63" i="16"/>
  <c r="CW57" i="16"/>
  <c r="CV57" i="16"/>
  <c r="CW51" i="16"/>
  <c r="BL23" i="16"/>
  <c r="BL44" i="16"/>
  <c r="DD62" i="16" l="1"/>
  <c r="DD61" i="16"/>
  <c r="DD56" i="16"/>
  <c r="DD55" i="16"/>
  <c r="DD50" i="16"/>
  <c r="DD49" i="16"/>
  <c r="DD48" i="16"/>
  <c r="DB62" i="16"/>
  <c r="DA62" i="16"/>
  <c r="DB61" i="16"/>
  <c r="DA61" i="16"/>
  <c r="DB56" i="16"/>
  <c r="DA56" i="16"/>
  <c r="DB55" i="16"/>
  <c r="DA55" i="16"/>
  <c r="DB50" i="16"/>
  <c r="DA50" i="16"/>
  <c r="DB49" i="16"/>
  <c r="DA49" i="16"/>
  <c r="DB48" i="16"/>
  <c r="DA48" i="16"/>
  <c r="DD43" i="16"/>
  <c r="DD42" i="16"/>
  <c r="DD41" i="16"/>
  <c r="DD40" i="16"/>
  <c r="DD39" i="16"/>
  <c r="DD38" i="16"/>
  <c r="DD37" i="16"/>
  <c r="DD35" i="16"/>
  <c r="DD34" i="16"/>
  <c r="DD33" i="16"/>
  <c r="DD32" i="16"/>
  <c r="DD31" i="16"/>
  <c r="DD30" i="16"/>
  <c r="DD29" i="16"/>
  <c r="DB43" i="16"/>
  <c r="DA43" i="16"/>
  <c r="DB42" i="16"/>
  <c r="DA42" i="16"/>
  <c r="DB41" i="16"/>
  <c r="DA41" i="16"/>
  <c r="DB40" i="16"/>
  <c r="DA40" i="16"/>
  <c r="DB39" i="16"/>
  <c r="DA39" i="16"/>
  <c r="DB38" i="16"/>
  <c r="DA38" i="16"/>
  <c r="DB37" i="16"/>
  <c r="DA37" i="16"/>
  <c r="DB35" i="16"/>
  <c r="DA35" i="16"/>
  <c r="DB34" i="16"/>
  <c r="DA34" i="16"/>
  <c r="DB33" i="16"/>
  <c r="DA33" i="16"/>
  <c r="DB32" i="16"/>
  <c r="DA32" i="16"/>
  <c r="DB31" i="16"/>
  <c r="DA31" i="16"/>
  <c r="DB30" i="16"/>
  <c r="DA30" i="16"/>
  <c r="DB29" i="16"/>
  <c r="DA29" i="16"/>
  <c r="DD25" i="16"/>
  <c r="DD22" i="16"/>
  <c r="DD21" i="16"/>
  <c r="DD20" i="16"/>
  <c r="DD19" i="16"/>
  <c r="DD18" i="16"/>
  <c r="DD17" i="16"/>
  <c r="DD16" i="16"/>
  <c r="DD15" i="16"/>
  <c r="DD14" i="16"/>
  <c r="DD13" i="16"/>
  <c r="DD12" i="16"/>
  <c r="DD11" i="16"/>
  <c r="DD10" i="16"/>
  <c r="DD9" i="16"/>
  <c r="DD8" i="16"/>
  <c r="DD7" i="16"/>
  <c r="DB25" i="16"/>
  <c r="DA25" i="16"/>
  <c r="DB22" i="16"/>
  <c r="DA22" i="16"/>
  <c r="DB21" i="16"/>
  <c r="DA21" i="16"/>
  <c r="DB20" i="16"/>
  <c r="DA20" i="16"/>
  <c r="DB19" i="16"/>
  <c r="DA19" i="16"/>
  <c r="DB18" i="16"/>
  <c r="DA18" i="16"/>
  <c r="DB17" i="16"/>
  <c r="DA17" i="16"/>
  <c r="DB16" i="16"/>
  <c r="DA16" i="16"/>
  <c r="DB15" i="16"/>
  <c r="DA15" i="16"/>
  <c r="DB14" i="16"/>
  <c r="DA14" i="16"/>
  <c r="DB13" i="16"/>
  <c r="DA13" i="16"/>
  <c r="DB12" i="16"/>
  <c r="DA12" i="16"/>
  <c r="DB11" i="16"/>
  <c r="DA11" i="16"/>
  <c r="DB10" i="16"/>
  <c r="DA10" i="16"/>
  <c r="DB9" i="16"/>
  <c r="DA9" i="16"/>
  <c r="DB8" i="16"/>
  <c r="DA8" i="16"/>
  <c r="DB7" i="16"/>
  <c r="DA7" i="16"/>
  <c r="DE3" i="16"/>
  <c r="DC3" i="16"/>
  <c r="BS44" i="16"/>
  <c r="BP32" i="16"/>
  <c r="BQ43" i="16"/>
  <c r="BP43" i="16"/>
  <c r="BQ42" i="16"/>
  <c r="BP42" i="16"/>
  <c r="BQ41" i="16"/>
  <c r="BP41" i="16"/>
  <c r="BQ40" i="16"/>
  <c r="BP40" i="16"/>
  <c r="BQ39" i="16"/>
  <c r="BP39" i="16"/>
  <c r="BQ38" i="16"/>
  <c r="BP38" i="16"/>
  <c r="BQ37" i="16"/>
  <c r="BP37" i="16"/>
  <c r="BQ35" i="16"/>
  <c r="BP35" i="16"/>
  <c r="BQ34" i="16"/>
  <c r="BP34" i="16"/>
  <c r="BQ33" i="16"/>
  <c r="BP33" i="16"/>
  <c r="BQ32" i="16"/>
  <c r="BQ31" i="16"/>
  <c r="BP31" i="16"/>
  <c r="BQ30" i="16"/>
  <c r="BP30" i="16"/>
  <c r="BQ29" i="16"/>
  <c r="BP29" i="16"/>
  <c r="BS23" i="16"/>
  <c r="DB23" i="16" l="1"/>
  <c r="DD65" i="16"/>
  <c r="DB65" i="16"/>
  <c r="DA65" i="16"/>
  <c r="BQ44" i="16"/>
  <c r="BP44" i="16"/>
  <c r="DA44" i="16"/>
  <c r="DD44" i="16"/>
  <c r="DB44" i="16"/>
  <c r="DD26" i="16"/>
  <c r="DD23" i="16"/>
  <c r="DA23" i="16"/>
  <c r="DA26" i="16"/>
  <c r="DB26" i="16"/>
  <c r="BQ22" i="16"/>
  <c r="BP22" i="16"/>
  <c r="BQ21" i="16"/>
  <c r="BP21" i="16"/>
  <c r="BQ20" i="16"/>
  <c r="BP20" i="16"/>
  <c r="BQ19" i="16"/>
  <c r="BP19" i="16"/>
  <c r="BQ18" i="16"/>
  <c r="BP18" i="16"/>
  <c r="BQ17" i="16"/>
  <c r="BP17" i="16"/>
  <c r="BQ16" i="16"/>
  <c r="BP16" i="16"/>
  <c r="BQ15" i="16"/>
  <c r="BP15" i="16"/>
  <c r="BQ14" i="16"/>
  <c r="BP14" i="16"/>
  <c r="BQ13" i="16"/>
  <c r="BP13" i="16"/>
  <c r="BQ12" i="16"/>
  <c r="BP12" i="16"/>
  <c r="BQ11" i="16"/>
  <c r="BP11" i="16"/>
  <c r="BQ10" i="16"/>
  <c r="BP10" i="16"/>
  <c r="BQ9" i="16"/>
  <c r="BP9" i="16"/>
  <c r="BQ8" i="16"/>
  <c r="BP8" i="16"/>
  <c r="BQ7" i="16"/>
  <c r="BP7" i="16"/>
  <c r="BT3" i="16"/>
  <c r="BR4" i="16"/>
  <c r="BR3" i="16"/>
  <c r="AE74" i="16"/>
  <c r="AC74" i="16"/>
  <c r="AB74" i="16"/>
  <c r="AE65" i="16"/>
  <c r="AC65" i="16"/>
  <c r="AB65" i="16"/>
  <c r="AE63" i="16"/>
  <c r="AE57" i="16"/>
  <c r="AC57" i="16"/>
  <c r="AB57" i="16"/>
  <c r="AC63" i="16"/>
  <c r="AB63" i="16"/>
  <c r="AE51" i="16"/>
  <c r="AC51" i="16"/>
  <c r="AB51" i="16"/>
  <c r="AE44" i="16"/>
  <c r="AC44" i="16"/>
  <c r="AB44" i="16"/>
  <c r="AE26" i="16"/>
  <c r="AC26" i="16"/>
  <c r="AB26" i="16"/>
  <c r="AE23" i="16"/>
  <c r="AC23" i="16"/>
  <c r="AB23" i="16"/>
  <c r="BQ23" i="16" l="1"/>
  <c r="BP23" i="16"/>
  <c r="J74" i="16" l="1"/>
  <c r="CW44" i="16" l="1"/>
  <c r="CW43" i="16"/>
  <c r="CW23" i="16"/>
  <c r="CW26" i="16"/>
  <c r="C7" i="18" l="1"/>
  <c r="CV51" i="16" l="1"/>
  <c r="CV44" i="16"/>
  <c r="CV26" i="16"/>
  <c r="CV23" i="16"/>
  <c r="BK44" i="16"/>
  <c r="BK23" i="16"/>
  <c r="F69" i="16" l="1"/>
  <c r="K69" i="16" s="1"/>
  <c r="M69" i="16" s="1"/>
  <c r="E69" i="16"/>
  <c r="Y69" i="16"/>
  <c r="R69" i="16"/>
  <c r="S69" i="16" l="1"/>
  <c r="AA69" i="16" s="1"/>
  <c r="AD69" i="16" s="1"/>
  <c r="AF69" i="16" s="1"/>
  <c r="DH62" i="16" l="1"/>
  <c r="DH61" i="16"/>
  <c r="DH56" i="16"/>
  <c r="DH55" i="16"/>
  <c r="DH50" i="16"/>
  <c r="DH49" i="16"/>
  <c r="DH48" i="16"/>
  <c r="DH28" i="16"/>
  <c r="BW28" i="16"/>
  <c r="DF62" i="16"/>
  <c r="DF61" i="16"/>
  <c r="DF56" i="16"/>
  <c r="DF55" i="16"/>
  <c r="DF50" i="16"/>
  <c r="DF49" i="16"/>
  <c r="DF48" i="16"/>
  <c r="DF43" i="16"/>
  <c r="DF42" i="16"/>
  <c r="DF41" i="16"/>
  <c r="DF40" i="16"/>
  <c r="DF39" i="16"/>
  <c r="DF38" i="16"/>
  <c r="DF37" i="16"/>
  <c r="DF35" i="16"/>
  <c r="DF34" i="16"/>
  <c r="DF33" i="16"/>
  <c r="DF32" i="16"/>
  <c r="DF31" i="16"/>
  <c r="DF30" i="16"/>
  <c r="DF29" i="16"/>
  <c r="DF25" i="16"/>
  <c r="CY62" i="16"/>
  <c r="CY61" i="16"/>
  <c r="CY56" i="16"/>
  <c r="CY55" i="16"/>
  <c r="CY50" i="16"/>
  <c r="CY49" i="16"/>
  <c r="CY48" i="16"/>
  <c r="CY43" i="16"/>
  <c r="CY42" i="16"/>
  <c r="CY41" i="16"/>
  <c r="CY40" i="16"/>
  <c r="CY39" i="16"/>
  <c r="CY38" i="16"/>
  <c r="CY37" i="16"/>
  <c r="CY35" i="16"/>
  <c r="CY34" i="16"/>
  <c r="CY33" i="16"/>
  <c r="CY32" i="16"/>
  <c r="CY31" i="16"/>
  <c r="CY30" i="16"/>
  <c r="CY29" i="16"/>
  <c r="CY25" i="16"/>
  <c r="CW62" i="16"/>
  <c r="CV62" i="16"/>
  <c r="CU62" i="16"/>
  <c r="CT62" i="16"/>
  <c r="CS62" i="16"/>
  <c r="CW61" i="16"/>
  <c r="CV61" i="16"/>
  <c r="CU61" i="16"/>
  <c r="CT61" i="16"/>
  <c r="CS61" i="16"/>
  <c r="CW56" i="16"/>
  <c r="CV56" i="16"/>
  <c r="CU56" i="16"/>
  <c r="CT56" i="16"/>
  <c r="CS56" i="16"/>
  <c r="CW55" i="16"/>
  <c r="CV55" i="16"/>
  <c r="CU55" i="16"/>
  <c r="CT55" i="16"/>
  <c r="CS55" i="16"/>
  <c r="CW50" i="16"/>
  <c r="CV50" i="16"/>
  <c r="CU50" i="16"/>
  <c r="CT50" i="16"/>
  <c r="CS50" i="16"/>
  <c r="CW49" i="16"/>
  <c r="CV49" i="16"/>
  <c r="CU49" i="16"/>
  <c r="CT49" i="16"/>
  <c r="CS49" i="16"/>
  <c r="CW48" i="16"/>
  <c r="CV48" i="16"/>
  <c r="CU48" i="16"/>
  <c r="CT48" i="16"/>
  <c r="CS48" i="16"/>
  <c r="CV43" i="16"/>
  <c r="CU43" i="16"/>
  <c r="CT43" i="16"/>
  <c r="CS43" i="16"/>
  <c r="CW42" i="16"/>
  <c r="CV42" i="16"/>
  <c r="CU42" i="16"/>
  <c r="CT42" i="16"/>
  <c r="CS42" i="16"/>
  <c r="CW41" i="16"/>
  <c r="CV41" i="16"/>
  <c r="CU41" i="16"/>
  <c r="CT41" i="16"/>
  <c r="CS41" i="16"/>
  <c r="CW40" i="16"/>
  <c r="CV40" i="16"/>
  <c r="CU40" i="16"/>
  <c r="CT40" i="16"/>
  <c r="CS40" i="16"/>
  <c r="CW39" i="16"/>
  <c r="CV39" i="16"/>
  <c r="CU39" i="16"/>
  <c r="CT39" i="16"/>
  <c r="CS39" i="16"/>
  <c r="CW38" i="16"/>
  <c r="CV38" i="16"/>
  <c r="CU38" i="16"/>
  <c r="CT38" i="16"/>
  <c r="CS38" i="16"/>
  <c r="CW37" i="16"/>
  <c r="CV37" i="16"/>
  <c r="CU37" i="16"/>
  <c r="CT37" i="16"/>
  <c r="CS37" i="16"/>
  <c r="CW35" i="16"/>
  <c r="CV35" i="16"/>
  <c r="CU35" i="16"/>
  <c r="CT35" i="16"/>
  <c r="CS35" i="16"/>
  <c r="CW34" i="16"/>
  <c r="CV34" i="16"/>
  <c r="CU34" i="16"/>
  <c r="CT34" i="16"/>
  <c r="CS34" i="16"/>
  <c r="CW33" i="16"/>
  <c r="CV33" i="16"/>
  <c r="CU33" i="16"/>
  <c r="CT33" i="16"/>
  <c r="CS33" i="16"/>
  <c r="CW32" i="16"/>
  <c r="CV32" i="16"/>
  <c r="CU32" i="16"/>
  <c r="CT32" i="16"/>
  <c r="CS32" i="16"/>
  <c r="CW31" i="16"/>
  <c r="CV31" i="16"/>
  <c r="CU31" i="16"/>
  <c r="CT31" i="16"/>
  <c r="CS31" i="16"/>
  <c r="CW30" i="16"/>
  <c r="CV30" i="16"/>
  <c r="CU30" i="16"/>
  <c r="CT30" i="16"/>
  <c r="CS30" i="16"/>
  <c r="CW29" i="16"/>
  <c r="CV29" i="16"/>
  <c r="CU29" i="16"/>
  <c r="CT29" i="16"/>
  <c r="CS29" i="16"/>
  <c r="CW25" i="16"/>
  <c r="CV25" i="16"/>
  <c r="CU25" i="16"/>
  <c r="CT25" i="16"/>
  <c r="CS25" i="16"/>
  <c r="DF22" i="16"/>
  <c r="DF21" i="16"/>
  <c r="DF20" i="16"/>
  <c r="DF19" i="16"/>
  <c r="DF18" i="16"/>
  <c r="DF17" i="16"/>
  <c r="DF16" i="16"/>
  <c r="DF15" i="16"/>
  <c r="DF14" i="16"/>
  <c r="DF13" i="16"/>
  <c r="DF12" i="16"/>
  <c r="DF11" i="16"/>
  <c r="DF10" i="16"/>
  <c r="DF9" i="16"/>
  <c r="DF8" i="16"/>
  <c r="DF7" i="16"/>
  <c r="CY22" i="16"/>
  <c r="CY21" i="16"/>
  <c r="CY20" i="16"/>
  <c r="CY19" i="16"/>
  <c r="CY18" i="16"/>
  <c r="CY17" i="16"/>
  <c r="CY16" i="16"/>
  <c r="CY15" i="16"/>
  <c r="CY14" i="16"/>
  <c r="CY13" i="16"/>
  <c r="CY12" i="16"/>
  <c r="CY11" i="16"/>
  <c r="CY10" i="16"/>
  <c r="CY9" i="16"/>
  <c r="CY8" i="16"/>
  <c r="CY7" i="16"/>
  <c r="CW22" i="16"/>
  <c r="CV22" i="16"/>
  <c r="CU22" i="16"/>
  <c r="CT22" i="16"/>
  <c r="CS22" i="16"/>
  <c r="CW21" i="16"/>
  <c r="CV21" i="16"/>
  <c r="CU21" i="16"/>
  <c r="CT21" i="16"/>
  <c r="CS21" i="16"/>
  <c r="CW20" i="16"/>
  <c r="CV20" i="16"/>
  <c r="CU20" i="16"/>
  <c r="CT20" i="16"/>
  <c r="CS20" i="16"/>
  <c r="CW19" i="16"/>
  <c r="CV19" i="16"/>
  <c r="CU19" i="16"/>
  <c r="CT19" i="16"/>
  <c r="CS19" i="16"/>
  <c r="CW18" i="16"/>
  <c r="CV18" i="16"/>
  <c r="CU18" i="16"/>
  <c r="CT18" i="16"/>
  <c r="CS18" i="16"/>
  <c r="CW17" i="16"/>
  <c r="CV17" i="16"/>
  <c r="CU17" i="16"/>
  <c r="CT17" i="16"/>
  <c r="CS17" i="16"/>
  <c r="CW16" i="16"/>
  <c r="CV16" i="16"/>
  <c r="CU16" i="16"/>
  <c r="CT16" i="16"/>
  <c r="CS16" i="16"/>
  <c r="CW15" i="16"/>
  <c r="CV15" i="16"/>
  <c r="CU15" i="16"/>
  <c r="CT15" i="16"/>
  <c r="CS15" i="16"/>
  <c r="CW14" i="16"/>
  <c r="CV14" i="16"/>
  <c r="CU14" i="16"/>
  <c r="CT14" i="16"/>
  <c r="CS14" i="16"/>
  <c r="CW13" i="16"/>
  <c r="CV13" i="16"/>
  <c r="CU13" i="16"/>
  <c r="CT13" i="16"/>
  <c r="CS13" i="16"/>
  <c r="CW12" i="16"/>
  <c r="CV12" i="16"/>
  <c r="CU12" i="16"/>
  <c r="CT12" i="16"/>
  <c r="CS12" i="16"/>
  <c r="CW11" i="16"/>
  <c r="CV11" i="16"/>
  <c r="CU11" i="16"/>
  <c r="CT11" i="16"/>
  <c r="CS11" i="16"/>
  <c r="CW10" i="16"/>
  <c r="CV10" i="16"/>
  <c r="CU10" i="16"/>
  <c r="CT10" i="16"/>
  <c r="CS10" i="16"/>
  <c r="CW9" i="16"/>
  <c r="CV9" i="16"/>
  <c r="CU9" i="16"/>
  <c r="CT9" i="16"/>
  <c r="CS9" i="16"/>
  <c r="CW8" i="16"/>
  <c r="CV8" i="16"/>
  <c r="CU8" i="16"/>
  <c r="CT8" i="16"/>
  <c r="CS8" i="16"/>
  <c r="CW7" i="16"/>
  <c r="CV7" i="16"/>
  <c r="CU7" i="16"/>
  <c r="CT7" i="16"/>
  <c r="CS7" i="16"/>
  <c r="CP62" i="16"/>
  <c r="CO62" i="16"/>
  <c r="CN62" i="16"/>
  <c r="CM62" i="16"/>
  <c r="CP61" i="16"/>
  <c r="CO61" i="16"/>
  <c r="CN61" i="16"/>
  <c r="CM61" i="16"/>
  <c r="CP56" i="16"/>
  <c r="CO56" i="16"/>
  <c r="CN56" i="16"/>
  <c r="CM56" i="16"/>
  <c r="CP55" i="16"/>
  <c r="CO55" i="16"/>
  <c r="CN55" i="16"/>
  <c r="CM55" i="16"/>
  <c r="CP50" i="16"/>
  <c r="CO50" i="16"/>
  <c r="CN50" i="16"/>
  <c r="CM50" i="16"/>
  <c r="CP49" i="16"/>
  <c r="CO49" i="16"/>
  <c r="CN49" i="16"/>
  <c r="CM49" i="16"/>
  <c r="CP48" i="16"/>
  <c r="CO48" i="16"/>
  <c r="CN48" i="16"/>
  <c r="CM48" i="16"/>
  <c r="CP43" i="16"/>
  <c r="CO43" i="16"/>
  <c r="CN43" i="16"/>
  <c r="CM43" i="16"/>
  <c r="CP42" i="16"/>
  <c r="CO42" i="16"/>
  <c r="CN42" i="16"/>
  <c r="CM42" i="16"/>
  <c r="CP41" i="16"/>
  <c r="CO41" i="16"/>
  <c r="CN41" i="16"/>
  <c r="CM41" i="16"/>
  <c r="CP40" i="16"/>
  <c r="CO40" i="16"/>
  <c r="CN40" i="16"/>
  <c r="CM40" i="16"/>
  <c r="CP39" i="16"/>
  <c r="CO39" i="16"/>
  <c r="CN39" i="16"/>
  <c r="CM39" i="16"/>
  <c r="CP38" i="16"/>
  <c r="CO38" i="16"/>
  <c r="CN38" i="16"/>
  <c r="CM38" i="16"/>
  <c r="CP37" i="16"/>
  <c r="CO37" i="16"/>
  <c r="CN37" i="16"/>
  <c r="CM37" i="16"/>
  <c r="CP35" i="16"/>
  <c r="CO35" i="16"/>
  <c r="CN35" i="16"/>
  <c r="CM35" i="16"/>
  <c r="CP34" i="16"/>
  <c r="CO34" i="16"/>
  <c r="CN34" i="16"/>
  <c r="CM34" i="16"/>
  <c r="CP33" i="16"/>
  <c r="CO33" i="16"/>
  <c r="CN33" i="16"/>
  <c r="CM33" i="16"/>
  <c r="CP32" i="16"/>
  <c r="CO32" i="16"/>
  <c r="CN32" i="16"/>
  <c r="CM32" i="16"/>
  <c r="CP31" i="16"/>
  <c r="CO31" i="16"/>
  <c r="CN31" i="16"/>
  <c r="CM31" i="16"/>
  <c r="CP30" i="16"/>
  <c r="CO30" i="16"/>
  <c r="CN30" i="16"/>
  <c r="CM30" i="16"/>
  <c r="CP29" i="16"/>
  <c r="CO29" i="16"/>
  <c r="CN29" i="16"/>
  <c r="CM29" i="16"/>
  <c r="CP25" i="16"/>
  <c r="CO25" i="16"/>
  <c r="CN25" i="16"/>
  <c r="CM25" i="16"/>
  <c r="CP22" i="16"/>
  <c r="CO22" i="16"/>
  <c r="CN22" i="16"/>
  <c r="CM22" i="16"/>
  <c r="CP21" i="16"/>
  <c r="CO21" i="16"/>
  <c r="CN21" i="16"/>
  <c r="CM21" i="16"/>
  <c r="CP20" i="16"/>
  <c r="CO20" i="16"/>
  <c r="CN20" i="16"/>
  <c r="CM20" i="16"/>
  <c r="CP19" i="16"/>
  <c r="CO19" i="16"/>
  <c r="CN19" i="16"/>
  <c r="CM19" i="16"/>
  <c r="CP18" i="16"/>
  <c r="CO18" i="16"/>
  <c r="CN18" i="16"/>
  <c r="CM18" i="16"/>
  <c r="CP17" i="16"/>
  <c r="CO17" i="16"/>
  <c r="CN17" i="16"/>
  <c r="CM17" i="16"/>
  <c r="CP16" i="16"/>
  <c r="CO16" i="16"/>
  <c r="CN16" i="16"/>
  <c r="CM16" i="16"/>
  <c r="CP15" i="16"/>
  <c r="CO15" i="16"/>
  <c r="CN15" i="16"/>
  <c r="CM15" i="16"/>
  <c r="CP14" i="16"/>
  <c r="CO14" i="16"/>
  <c r="CN14" i="16"/>
  <c r="CM14" i="16"/>
  <c r="CP13" i="16"/>
  <c r="CO13" i="16"/>
  <c r="CN13" i="16"/>
  <c r="CM13" i="16"/>
  <c r="CP12" i="16"/>
  <c r="CO12" i="16"/>
  <c r="CN12" i="16"/>
  <c r="CM12" i="16"/>
  <c r="CP11" i="16"/>
  <c r="CO11" i="16"/>
  <c r="CN11" i="16"/>
  <c r="CM11" i="16"/>
  <c r="CP10" i="16"/>
  <c r="CO10" i="16"/>
  <c r="CN10" i="16"/>
  <c r="CM10" i="16"/>
  <c r="CP9" i="16"/>
  <c r="CO9" i="16"/>
  <c r="CN9" i="16"/>
  <c r="CM9" i="16"/>
  <c r="CP8" i="16"/>
  <c r="CO8" i="16"/>
  <c r="CN8" i="16"/>
  <c r="CM8" i="16"/>
  <c r="CP7" i="16"/>
  <c r="CO7" i="16"/>
  <c r="CN7" i="16"/>
  <c r="CM7" i="16"/>
  <c r="DH4" i="16"/>
  <c r="CG5" i="16"/>
  <c r="CF5" i="16"/>
  <c r="CE5" i="16"/>
  <c r="CG4" i="16"/>
  <c r="CF4" i="16"/>
  <c r="CE4" i="16"/>
  <c r="CF3" i="16"/>
  <c r="CK62" i="16"/>
  <c r="CK61" i="16"/>
  <c r="CK56" i="16"/>
  <c r="CK55" i="16"/>
  <c r="CK50" i="16"/>
  <c r="CK49" i="16"/>
  <c r="CK48" i="16"/>
  <c r="CK43" i="16"/>
  <c r="CK42" i="16"/>
  <c r="CK41" i="16"/>
  <c r="CK40" i="16"/>
  <c r="CK39" i="16"/>
  <c r="CK38" i="16"/>
  <c r="CK37" i="16"/>
  <c r="CK35" i="16"/>
  <c r="CK34" i="16"/>
  <c r="CK33" i="16"/>
  <c r="CK32" i="16"/>
  <c r="CK31" i="16"/>
  <c r="CK30" i="16"/>
  <c r="CK29" i="16"/>
  <c r="CK25" i="16"/>
  <c r="CK22" i="16"/>
  <c r="CK21" i="16"/>
  <c r="CK20" i="16"/>
  <c r="CK19" i="16"/>
  <c r="CK18" i="16"/>
  <c r="CK17" i="16"/>
  <c r="CK16" i="16"/>
  <c r="CK15" i="16"/>
  <c r="CK14" i="16"/>
  <c r="CK13" i="16"/>
  <c r="CK12" i="16"/>
  <c r="CK11" i="16"/>
  <c r="CK10" i="16"/>
  <c r="CK9" i="16"/>
  <c r="CK8" i="16"/>
  <c r="CK7" i="16"/>
  <c r="CI62" i="16"/>
  <c r="CI61" i="16"/>
  <c r="CI56" i="16"/>
  <c r="CI55" i="16"/>
  <c r="CI50" i="16"/>
  <c r="CI49" i="16"/>
  <c r="CI48" i="16"/>
  <c r="CI43" i="16"/>
  <c r="CI42" i="16"/>
  <c r="CI41" i="16"/>
  <c r="CI40" i="16"/>
  <c r="CI39" i="16"/>
  <c r="CI38" i="16"/>
  <c r="CI37" i="16"/>
  <c r="CI35" i="16"/>
  <c r="CI34" i="16"/>
  <c r="CI33" i="16"/>
  <c r="CI32" i="16"/>
  <c r="CI31" i="16"/>
  <c r="CI30" i="16"/>
  <c r="CI29" i="16"/>
  <c r="CI25" i="16"/>
  <c r="CI22" i="16"/>
  <c r="CI21" i="16"/>
  <c r="CI20" i="16"/>
  <c r="CI19" i="16"/>
  <c r="CI18" i="16"/>
  <c r="CI17" i="16"/>
  <c r="CI16" i="16"/>
  <c r="CI15" i="16"/>
  <c r="CI14" i="16"/>
  <c r="CI13" i="16"/>
  <c r="CI12" i="16"/>
  <c r="CI11" i="16"/>
  <c r="CI10" i="16"/>
  <c r="CI9" i="16"/>
  <c r="CI8" i="16"/>
  <c r="CI7" i="16"/>
  <c r="CH35" i="16"/>
  <c r="CG35" i="16"/>
  <c r="CH34" i="16"/>
  <c r="CG34" i="16"/>
  <c r="CH33" i="16"/>
  <c r="CG33" i="16"/>
  <c r="CH32" i="16"/>
  <c r="CG32" i="16"/>
  <c r="CH31" i="16"/>
  <c r="CG31" i="16"/>
  <c r="CH30" i="16"/>
  <c r="CG30" i="16"/>
  <c r="CH29" i="16"/>
  <c r="CG29" i="16"/>
  <c r="CH22" i="16"/>
  <c r="CG22" i="16"/>
  <c r="CH21" i="16"/>
  <c r="CG21" i="16"/>
  <c r="CH20" i="16"/>
  <c r="CG20" i="16"/>
  <c r="CH19" i="16"/>
  <c r="CG19" i="16"/>
  <c r="CH18" i="16"/>
  <c r="CG18" i="16"/>
  <c r="CH17" i="16"/>
  <c r="CG17" i="16"/>
  <c r="CH16" i="16"/>
  <c r="CG16" i="16"/>
  <c r="CH15" i="16"/>
  <c r="CG15" i="16"/>
  <c r="CH14" i="16"/>
  <c r="CG14" i="16"/>
  <c r="CH13" i="16"/>
  <c r="CG13" i="16"/>
  <c r="CH12" i="16"/>
  <c r="CG12" i="16"/>
  <c r="CH11" i="16"/>
  <c r="CG11" i="16"/>
  <c r="CH10" i="16"/>
  <c r="CG10" i="16"/>
  <c r="CH9" i="16"/>
  <c r="CG9" i="16"/>
  <c r="CH8" i="16"/>
  <c r="CG8" i="16"/>
  <c r="CH7" i="16"/>
  <c r="CG7" i="16"/>
  <c r="CF62" i="16"/>
  <c r="CC62" i="16"/>
  <c r="CF61" i="16"/>
  <c r="CC61" i="16"/>
  <c r="CF56" i="16"/>
  <c r="CC56" i="16"/>
  <c r="CF55" i="16"/>
  <c r="CC55" i="16"/>
  <c r="CF50" i="16"/>
  <c r="CC50" i="16"/>
  <c r="CF49" i="16"/>
  <c r="CC49" i="16"/>
  <c r="CF48" i="16"/>
  <c r="CC48" i="16"/>
  <c r="CF43" i="16"/>
  <c r="CC43" i="16"/>
  <c r="CF42" i="16"/>
  <c r="CC42" i="16"/>
  <c r="CF41" i="16"/>
  <c r="CC41" i="16"/>
  <c r="CF40" i="16"/>
  <c r="CC40" i="16"/>
  <c r="CF39" i="16"/>
  <c r="CC39" i="16"/>
  <c r="CF38" i="16"/>
  <c r="CC38" i="16"/>
  <c r="CF37" i="16"/>
  <c r="CC37" i="16"/>
  <c r="CF35" i="16"/>
  <c r="CC35" i="16"/>
  <c r="CF34" i="16"/>
  <c r="CC34" i="16"/>
  <c r="CF33" i="16"/>
  <c r="CC33" i="16"/>
  <c r="CF32" i="16"/>
  <c r="CC32" i="16"/>
  <c r="CF31" i="16"/>
  <c r="CC31" i="16"/>
  <c r="CF30" i="16"/>
  <c r="CC30" i="16"/>
  <c r="CF29" i="16"/>
  <c r="CC29" i="16"/>
  <c r="CF25" i="16"/>
  <c r="CC25" i="16"/>
  <c r="CF22" i="16"/>
  <c r="CC22" i="16"/>
  <c r="CF21" i="16"/>
  <c r="CC21" i="16"/>
  <c r="CF20" i="16"/>
  <c r="CC20" i="16"/>
  <c r="CF19" i="16"/>
  <c r="CC19" i="16"/>
  <c r="CF18" i="16"/>
  <c r="CC18" i="16"/>
  <c r="CF17" i="16"/>
  <c r="CC17" i="16"/>
  <c r="CF16" i="16"/>
  <c r="CC16" i="16"/>
  <c r="CF15" i="16"/>
  <c r="CC15" i="16"/>
  <c r="CF14" i="16"/>
  <c r="CC14" i="16"/>
  <c r="CF13" i="16"/>
  <c r="CC13" i="16"/>
  <c r="CF12" i="16"/>
  <c r="CC12" i="16"/>
  <c r="CF11" i="16"/>
  <c r="CC11" i="16"/>
  <c r="CF10" i="16"/>
  <c r="CC10" i="16"/>
  <c r="CF9" i="16"/>
  <c r="CC9" i="16"/>
  <c r="CF8" i="16"/>
  <c r="CC8" i="16"/>
  <c r="CF7" i="16"/>
  <c r="CC7" i="16"/>
  <c r="CB60" i="16"/>
  <c r="CB54" i="16"/>
  <c r="CB47" i="16"/>
  <c r="CB36" i="16"/>
  <c r="CB28" i="16"/>
  <c r="CB3" i="16"/>
  <c r="CA62" i="16"/>
  <c r="CA61" i="16"/>
  <c r="CA56" i="16"/>
  <c r="CA55" i="16"/>
  <c r="CA50" i="16"/>
  <c r="CA49" i="16"/>
  <c r="CA48" i="16"/>
  <c r="CA43" i="16"/>
  <c r="CA42" i="16"/>
  <c r="CA41" i="16"/>
  <c r="CA40" i="16"/>
  <c r="CA39" i="16"/>
  <c r="CA38" i="16"/>
  <c r="CA37" i="16"/>
  <c r="CA35" i="16"/>
  <c r="CA34" i="16"/>
  <c r="CA33" i="16"/>
  <c r="CA32" i="16"/>
  <c r="CA31" i="16"/>
  <c r="CA30" i="16"/>
  <c r="CA29" i="16"/>
  <c r="CA25" i="16"/>
  <c r="CA22" i="16"/>
  <c r="CA21" i="16"/>
  <c r="CA20" i="16"/>
  <c r="CA19" i="16"/>
  <c r="CA18" i="16"/>
  <c r="CA17" i="16"/>
  <c r="CA16" i="16"/>
  <c r="CA15" i="16"/>
  <c r="CA14" i="16"/>
  <c r="CA13" i="16"/>
  <c r="CA12" i="16"/>
  <c r="CA11" i="16"/>
  <c r="CA10" i="16"/>
  <c r="CA9" i="16"/>
  <c r="CA8" i="16"/>
  <c r="CA7" i="16"/>
  <c r="DH44" i="16"/>
  <c r="DH23" i="16"/>
  <c r="CZ5" i="16"/>
  <c r="CD5" i="16"/>
  <c r="CZ4" i="16"/>
  <c r="CD4" i="16"/>
  <c r="DB63" i="16" l="1"/>
  <c r="DA63" i="16"/>
  <c r="DD63" i="16"/>
  <c r="DH57" i="16"/>
  <c r="DA57" i="16"/>
  <c r="DB57" i="16"/>
  <c r="DD57" i="16"/>
  <c r="DH51" i="16"/>
  <c r="DB51" i="16"/>
  <c r="DA51" i="16"/>
  <c r="DD51" i="16"/>
  <c r="CY26" i="16"/>
  <c r="DH63" i="16"/>
  <c r="DF51" i="16"/>
  <c r="CO51" i="16"/>
  <c r="CP51" i="16"/>
  <c r="CP44" i="16"/>
  <c r="CO26" i="16"/>
  <c r="CP63" i="16"/>
  <c r="CS63" i="16"/>
  <c r="CI57" i="16"/>
  <c r="CP57" i="16"/>
  <c r="CQ11" i="16"/>
  <c r="CI44" i="16"/>
  <c r="CX32" i="16"/>
  <c r="CX38" i="16"/>
  <c r="CX39" i="16"/>
  <c r="CS51" i="16"/>
  <c r="CX49" i="16"/>
  <c r="CT57" i="16"/>
  <c r="CX56" i="16"/>
  <c r="CY57" i="16"/>
  <c r="CI51" i="16"/>
  <c r="CT63" i="16"/>
  <c r="CI63" i="16"/>
  <c r="CU57" i="16"/>
  <c r="CK57" i="16"/>
  <c r="CQ55" i="16"/>
  <c r="CX43" i="16"/>
  <c r="CQ35" i="16"/>
  <c r="CY44" i="16"/>
  <c r="CO44" i="16"/>
  <c r="CQ62" i="16"/>
  <c r="CX61" i="16"/>
  <c r="CQ56" i="16"/>
  <c r="CQ42" i="16"/>
  <c r="CQ20" i="16"/>
  <c r="CQ14" i="16"/>
  <c r="CQ13" i="16"/>
  <c r="CQ10" i="16"/>
  <c r="CQ9" i="16"/>
  <c r="CQ8" i="16"/>
  <c r="DF63" i="16"/>
  <c r="CY63" i="16"/>
  <c r="CU63" i="16"/>
  <c r="CK63" i="16"/>
  <c r="CQ61" i="16"/>
  <c r="DF57" i="16"/>
  <c r="CS57" i="16"/>
  <c r="CY51" i="16"/>
  <c r="CX50" i="16"/>
  <c r="CU51" i="16"/>
  <c r="CT51" i="16"/>
  <c r="CQ50" i="16"/>
  <c r="CK51" i="16"/>
  <c r="CQ49" i="16"/>
  <c r="CX48" i="16"/>
  <c r="CQ48" i="16"/>
  <c r="CQ43" i="16"/>
  <c r="CX42" i="16"/>
  <c r="CX41" i="16"/>
  <c r="CQ41" i="16"/>
  <c r="CU44" i="16"/>
  <c r="CX40" i="16"/>
  <c r="CQ40" i="16"/>
  <c r="CQ39" i="16"/>
  <c r="CQ38" i="16"/>
  <c r="CX37" i="16"/>
  <c r="CQ37" i="16"/>
  <c r="CX35" i="16"/>
  <c r="CX34" i="16"/>
  <c r="CQ34" i="16"/>
  <c r="CX33" i="16"/>
  <c r="CQ33" i="16"/>
  <c r="CQ32" i="16"/>
  <c r="CK44" i="16"/>
  <c r="CQ31" i="16"/>
  <c r="CT44" i="16"/>
  <c r="CS44" i="16"/>
  <c r="CQ30" i="16"/>
  <c r="DF65" i="16"/>
  <c r="DF44" i="16"/>
  <c r="CS65" i="16"/>
  <c r="CQ29" i="16"/>
  <c r="CX25" i="16"/>
  <c r="CQ25" i="16"/>
  <c r="CQ22" i="16"/>
  <c r="CO23" i="16"/>
  <c r="CQ21" i="16"/>
  <c r="CN23" i="16"/>
  <c r="CN26" i="16"/>
  <c r="CQ19" i="16"/>
  <c r="CQ18" i="16"/>
  <c r="CQ17" i="16"/>
  <c r="CQ16" i="16"/>
  <c r="CQ15" i="16"/>
  <c r="CK26" i="16"/>
  <c r="CY23" i="16"/>
  <c r="CQ12" i="16"/>
  <c r="CK23" i="16"/>
  <c r="CU23" i="16"/>
  <c r="CT23" i="16"/>
  <c r="CS23" i="16"/>
  <c r="DF26" i="16"/>
  <c r="DF23" i="16"/>
  <c r="CP26" i="16"/>
  <c r="CP23" i="16"/>
  <c r="CM26" i="16"/>
  <c r="CM23" i="16"/>
  <c r="CI23" i="16"/>
  <c r="CY65" i="16"/>
  <c r="CX62" i="16"/>
  <c r="CX55" i="16"/>
  <c r="CU65" i="16"/>
  <c r="CT65" i="16"/>
  <c r="CX30" i="16"/>
  <c r="CX31" i="16"/>
  <c r="CX29" i="16"/>
  <c r="CS26" i="16"/>
  <c r="CP65" i="16"/>
  <c r="CQ65" i="16" s="1"/>
  <c r="CQ7" i="16"/>
  <c r="CK65" i="16"/>
  <c r="CI65" i="16"/>
  <c r="CI26" i="16"/>
  <c r="BY28" i="16"/>
  <c r="BY6" i="16"/>
  <c r="CQ44" i="16" l="1"/>
  <c r="CX63" i="16"/>
  <c r="CQ57" i="16"/>
  <c r="CQ63" i="16"/>
  <c r="CX57" i="16"/>
  <c r="CX51" i="16"/>
  <c r="CQ51" i="16"/>
  <c r="CX44" i="16"/>
  <c r="CQ23" i="16"/>
  <c r="CQ26" i="16"/>
  <c r="CX65" i="16"/>
  <c r="CX22" i="16"/>
  <c r="CX18" i="16"/>
  <c r="CX17" i="16"/>
  <c r="CX14" i="16"/>
  <c r="CX13" i="16"/>
  <c r="CX10" i="16"/>
  <c r="CX21" i="16"/>
  <c r="CX11" i="16"/>
  <c r="CU26" i="16"/>
  <c r="CX7" i="16"/>
  <c r="CT26" i="16"/>
  <c r="AQ36" i="16"/>
  <c r="AQ28" i="16"/>
  <c r="CX26" i="16" l="1"/>
  <c r="CX8" i="16"/>
  <c r="CX16" i="16"/>
  <c r="CX15" i="16"/>
  <c r="CX12" i="16"/>
  <c r="CX9" i="16"/>
  <c r="CX20" i="16"/>
  <c r="CH43" i="16"/>
  <c r="CG43" i="16"/>
  <c r="CH42" i="16"/>
  <c r="CG42" i="16"/>
  <c r="CH41" i="16"/>
  <c r="CG41" i="16"/>
  <c r="CH40" i="16"/>
  <c r="CG40" i="16"/>
  <c r="CH39" i="16"/>
  <c r="CG39" i="16"/>
  <c r="CH38" i="16"/>
  <c r="CG38" i="16"/>
  <c r="CH37" i="16"/>
  <c r="CG37" i="16"/>
  <c r="CX19" i="16" l="1"/>
  <c r="BU43" i="16"/>
  <c r="BN43" i="16"/>
  <c r="BL43" i="16"/>
  <c r="BK43" i="16"/>
  <c r="BJ43" i="16"/>
  <c r="BI43" i="16"/>
  <c r="BH43" i="16"/>
  <c r="BE43" i="16"/>
  <c r="BD43" i="16"/>
  <c r="BC43" i="16"/>
  <c r="BB43" i="16"/>
  <c r="AZ43" i="16"/>
  <c r="AX43" i="16"/>
  <c r="AU43" i="16"/>
  <c r="AR43" i="16"/>
  <c r="AP43" i="16"/>
  <c r="BU42" i="16"/>
  <c r="BN42" i="16"/>
  <c r="BL42" i="16"/>
  <c r="BK42" i="16"/>
  <c r="BJ42" i="16"/>
  <c r="BI42" i="16"/>
  <c r="BH42" i="16"/>
  <c r="BE42" i="16"/>
  <c r="BD42" i="16"/>
  <c r="BC42" i="16"/>
  <c r="BB42" i="16"/>
  <c r="AZ42" i="16"/>
  <c r="AX42" i="16"/>
  <c r="AU42" i="16"/>
  <c r="AR42" i="16"/>
  <c r="AP42" i="16"/>
  <c r="BU41" i="16"/>
  <c r="BN41" i="16"/>
  <c r="BL41" i="16"/>
  <c r="BK41" i="16"/>
  <c r="BJ41" i="16"/>
  <c r="BI41" i="16"/>
  <c r="BH41" i="16"/>
  <c r="BE41" i="16"/>
  <c r="BD41" i="16"/>
  <c r="BC41" i="16"/>
  <c r="BB41" i="16"/>
  <c r="AZ41" i="16"/>
  <c r="AX41" i="16"/>
  <c r="AU41" i="16"/>
  <c r="AR41" i="16"/>
  <c r="AP41" i="16"/>
  <c r="BU40" i="16"/>
  <c r="BN40" i="16"/>
  <c r="BL40" i="16"/>
  <c r="BK40" i="16"/>
  <c r="BJ40" i="16"/>
  <c r="BI40" i="16"/>
  <c r="BH40" i="16"/>
  <c r="BE40" i="16"/>
  <c r="BD40" i="16"/>
  <c r="BC40" i="16"/>
  <c r="BB40" i="16"/>
  <c r="AZ40" i="16"/>
  <c r="AX40" i="16"/>
  <c r="AU40" i="16"/>
  <c r="AR40" i="16"/>
  <c r="AP40" i="16"/>
  <c r="BU39" i="16"/>
  <c r="BN39" i="16"/>
  <c r="BL39" i="16"/>
  <c r="BK39" i="16"/>
  <c r="BJ39" i="16"/>
  <c r="BI39" i="16"/>
  <c r="BH39" i="16"/>
  <c r="BE39" i="16"/>
  <c r="BD39" i="16"/>
  <c r="BC39" i="16"/>
  <c r="BB39" i="16"/>
  <c r="AZ39" i="16"/>
  <c r="AX39" i="16"/>
  <c r="AU39" i="16"/>
  <c r="AR39" i="16"/>
  <c r="AP39" i="16"/>
  <c r="BU38" i="16"/>
  <c r="BN38" i="16"/>
  <c r="BL38" i="16"/>
  <c r="BK38" i="16"/>
  <c r="BJ38" i="16"/>
  <c r="BI38" i="16"/>
  <c r="BH38" i="16"/>
  <c r="BE38" i="16"/>
  <c r="BD38" i="16"/>
  <c r="BC38" i="16"/>
  <c r="BB38" i="16"/>
  <c r="AZ38" i="16"/>
  <c r="AX38" i="16"/>
  <c r="AU38" i="16"/>
  <c r="AR38" i="16"/>
  <c r="AP38" i="16"/>
  <c r="BU37" i="16"/>
  <c r="BN37" i="16"/>
  <c r="BL37" i="16"/>
  <c r="BK37" i="16"/>
  <c r="BJ37" i="16"/>
  <c r="BI37" i="16"/>
  <c r="BH37" i="16"/>
  <c r="BE37" i="16"/>
  <c r="BD37" i="16"/>
  <c r="BC37" i="16"/>
  <c r="BB37" i="16"/>
  <c r="AZ37" i="16"/>
  <c r="AX37" i="16"/>
  <c r="AU37" i="16"/>
  <c r="AR37" i="16"/>
  <c r="AP37" i="16"/>
  <c r="BU35" i="16"/>
  <c r="BN35" i="16"/>
  <c r="BL35" i="16"/>
  <c r="BK35" i="16"/>
  <c r="BJ35" i="16"/>
  <c r="BI35" i="16"/>
  <c r="BH35" i="16"/>
  <c r="BE35" i="16"/>
  <c r="BD35" i="16"/>
  <c r="BC35" i="16"/>
  <c r="BB35" i="16"/>
  <c r="AZ35" i="16"/>
  <c r="AX35" i="16"/>
  <c r="AU35" i="16"/>
  <c r="AR35" i="16"/>
  <c r="AP35" i="16"/>
  <c r="BU34" i="16"/>
  <c r="BN34" i="16"/>
  <c r="BL34" i="16"/>
  <c r="BK34" i="16"/>
  <c r="BJ34" i="16"/>
  <c r="BI34" i="16"/>
  <c r="BH34" i="16"/>
  <c r="BE34" i="16"/>
  <c r="BD34" i="16"/>
  <c r="BC34" i="16"/>
  <c r="BB34" i="16"/>
  <c r="AZ34" i="16"/>
  <c r="AX34" i="16"/>
  <c r="AU34" i="16"/>
  <c r="AR34" i="16"/>
  <c r="AP34" i="16"/>
  <c r="BU33" i="16"/>
  <c r="BN33" i="16"/>
  <c r="BL33" i="16"/>
  <c r="BK33" i="16"/>
  <c r="BJ33" i="16"/>
  <c r="BI33" i="16"/>
  <c r="BH33" i="16"/>
  <c r="BE33" i="16"/>
  <c r="BD33" i="16"/>
  <c r="BC33" i="16"/>
  <c r="BB33" i="16"/>
  <c r="AZ33" i="16"/>
  <c r="AX33" i="16"/>
  <c r="AU33" i="16"/>
  <c r="AR33" i="16"/>
  <c r="AP33" i="16"/>
  <c r="BU32" i="16"/>
  <c r="BN32" i="16"/>
  <c r="BL32" i="16"/>
  <c r="BK32" i="16"/>
  <c r="BJ32" i="16"/>
  <c r="BI32" i="16"/>
  <c r="BH32" i="16"/>
  <c r="BE32" i="16"/>
  <c r="BD32" i="16"/>
  <c r="BC32" i="16"/>
  <c r="BB32" i="16"/>
  <c r="AZ32" i="16"/>
  <c r="AX32" i="16"/>
  <c r="AU32" i="16"/>
  <c r="AR32" i="16"/>
  <c r="AP32" i="16"/>
  <c r="BU31" i="16"/>
  <c r="BN31" i="16"/>
  <c r="BL31" i="16"/>
  <c r="BK31" i="16"/>
  <c r="BJ31" i="16"/>
  <c r="BI31" i="16"/>
  <c r="BH31" i="16"/>
  <c r="BE31" i="16"/>
  <c r="BD31" i="16"/>
  <c r="BC31" i="16"/>
  <c r="BB31" i="16"/>
  <c r="AZ31" i="16"/>
  <c r="AX31" i="16"/>
  <c r="AU31" i="16"/>
  <c r="AR31" i="16"/>
  <c r="AP31" i="16"/>
  <c r="BU30" i="16"/>
  <c r="BN30" i="16"/>
  <c r="BL30" i="16"/>
  <c r="BK30" i="16"/>
  <c r="BJ30" i="16"/>
  <c r="BI30" i="16"/>
  <c r="BH30" i="16"/>
  <c r="BE30" i="16"/>
  <c r="BD30" i="16"/>
  <c r="BC30" i="16"/>
  <c r="BB30" i="16"/>
  <c r="AZ30" i="16"/>
  <c r="AX30" i="16"/>
  <c r="AU30" i="16"/>
  <c r="AR30" i="16"/>
  <c r="AP30" i="16"/>
  <c r="BU29" i="16"/>
  <c r="BN29" i="16"/>
  <c r="BL29" i="16"/>
  <c r="BK29" i="16"/>
  <c r="BJ29" i="16"/>
  <c r="BI29" i="16"/>
  <c r="BH29" i="16"/>
  <c r="BE29" i="16"/>
  <c r="BD29" i="16"/>
  <c r="BC29" i="16"/>
  <c r="BB29" i="16"/>
  <c r="AZ29" i="16"/>
  <c r="AX29" i="16"/>
  <c r="AU29" i="16"/>
  <c r="AR29" i="16"/>
  <c r="AP29" i="16"/>
  <c r="BW4" i="16"/>
  <c r="BG3" i="16"/>
  <c r="AZ3" i="16"/>
  <c r="AV5" i="16"/>
  <c r="AU5" i="16"/>
  <c r="AT5" i="16"/>
  <c r="AV4" i="16"/>
  <c r="AU4" i="16"/>
  <c r="AT4" i="16"/>
  <c r="AQ3" i="16"/>
  <c r="BU22" i="16"/>
  <c r="BN22" i="16"/>
  <c r="BL22" i="16"/>
  <c r="BK22" i="16"/>
  <c r="BJ22" i="16"/>
  <c r="BI22" i="16"/>
  <c r="BH22" i="16"/>
  <c r="BE22" i="16"/>
  <c r="BD22" i="16"/>
  <c r="BC22" i="16"/>
  <c r="BB22" i="16"/>
  <c r="AZ22" i="16"/>
  <c r="AX22" i="16"/>
  <c r="AU22" i="16"/>
  <c r="AR22" i="16"/>
  <c r="AP22" i="16"/>
  <c r="BU21" i="16"/>
  <c r="BN21" i="16"/>
  <c r="BL21" i="16"/>
  <c r="BK21" i="16"/>
  <c r="BJ21" i="16"/>
  <c r="BI21" i="16"/>
  <c r="BH21" i="16"/>
  <c r="BE21" i="16"/>
  <c r="BD21" i="16"/>
  <c r="BC21" i="16"/>
  <c r="BB21" i="16"/>
  <c r="AZ21" i="16"/>
  <c r="AX21" i="16"/>
  <c r="AU21" i="16"/>
  <c r="AR21" i="16"/>
  <c r="AP21" i="16"/>
  <c r="BU20" i="16"/>
  <c r="BN20" i="16"/>
  <c r="BL20" i="16"/>
  <c r="BK20" i="16"/>
  <c r="BJ20" i="16"/>
  <c r="BI20" i="16"/>
  <c r="BH20" i="16"/>
  <c r="BE20" i="16"/>
  <c r="BD20" i="16"/>
  <c r="BC20" i="16"/>
  <c r="BB20" i="16"/>
  <c r="AZ20" i="16"/>
  <c r="AX20" i="16"/>
  <c r="AU20" i="16"/>
  <c r="AR20" i="16"/>
  <c r="AP20" i="16"/>
  <c r="BU19" i="16"/>
  <c r="BN19" i="16"/>
  <c r="BL19" i="16"/>
  <c r="BK19" i="16"/>
  <c r="BJ19" i="16"/>
  <c r="BI19" i="16"/>
  <c r="BH19" i="16"/>
  <c r="BE19" i="16"/>
  <c r="BD19" i="16"/>
  <c r="BC19" i="16"/>
  <c r="BB19" i="16"/>
  <c r="AZ19" i="16"/>
  <c r="AX19" i="16"/>
  <c r="AU19" i="16"/>
  <c r="AR19" i="16"/>
  <c r="AP19" i="16"/>
  <c r="BU18" i="16"/>
  <c r="BN18" i="16"/>
  <c r="BL18" i="16"/>
  <c r="BK18" i="16"/>
  <c r="BJ18" i="16"/>
  <c r="BI18" i="16"/>
  <c r="BH18" i="16"/>
  <c r="BE18" i="16"/>
  <c r="BD18" i="16"/>
  <c r="BC18" i="16"/>
  <c r="BB18" i="16"/>
  <c r="AZ18" i="16"/>
  <c r="AX18" i="16"/>
  <c r="AU18" i="16"/>
  <c r="AR18" i="16"/>
  <c r="AP18" i="16"/>
  <c r="BU17" i="16"/>
  <c r="BN17" i="16"/>
  <c r="BL17" i="16"/>
  <c r="BK17" i="16"/>
  <c r="BJ17" i="16"/>
  <c r="BI17" i="16"/>
  <c r="BH17" i="16"/>
  <c r="BE17" i="16"/>
  <c r="BD17" i="16"/>
  <c r="BC17" i="16"/>
  <c r="BB17" i="16"/>
  <c r="AZ17" i="16"/>
  <c r="AX17" i="16"/>
  <c r="AU17" i="16"/>
  <c r="AR17" i="16"/>
  <c r="AP17" i="16"/>
  <c r="BU16" i="16"/>
  <c r="BN16" i="16"/>
  <c r="BL16" i="16"/>
  <c r="BK16" i="16"/>
  <c r="BJ16" i="16"/>
  <c r="BI16" i="16"/>
  <c r="BH16" i="16"/>
  <c r="BE16" i="16"/>
  <c r="BD16" i="16"/>
  <c r="BC16" i="16"/>
  <c r="BB16" i="16"/>
  <c r="AZ16" i="16"/>
  <c r="AX16" i="16"/>
  <c r="AU16" i="16"/>
  <c r="AR16" i="16"/>
  <c r="AP16" i="16"/>
  <c r="BU15" i="16"/>
  <c r="BN15" i="16"/>
  <c r="BL15" i="16"/>
  <c r="BK15" i="16"/>
  <c r="BJ15" i="16"/>
  <c r="BI15" i="16"/>
  <c r="BH15" i="16"/>
  <c r="BE15" i="16"/>
  <c r="BD15" i="16"/>
  <c r="BC15" i="16"/>
  <c r="BB15" i="16"/>
  <c r="AZ15" i="16"/>
  <c r="AX15" i="16"/>
  <c r="AU15" i="16"/>
  <c r="AR15" i="16"/>
  <c r="AP15" i="16"/>
  <c r="BU14" i="16"/>
  <c r="BN14" i="16"/>
  <c r="BL14" i="16"/>
  <c r="BK14" i="16"/>
  <c r="BJ14" i="16"/>
  <c r="BI14" i="16"/>
  <c r="BH14" i="16"/>
  <c r="BE14" i="16"/>
  <c r="BD14" i="16"/>
  <c r="BC14" i="16"/>
  <c r="BB14" i="16"/>
  <c r="AZ14" i="16"/>
  <c r="AX14" i="16"/>
  <c r="AU14" i="16"/>
  <c r="AR14" i="16"/>
  <c r="AP14" i="16"/>
  <c r="BU13" i="16"/>
  <c r="BN13" i="16"/>
  <c r="BL13" i="16"/>
  <c r="BK13" i="16"/>
  <c r="BJ13" i="16"/>
  <c r="BI13" i="16"/>
  <c r="BH13" i="16"/>
  <c r="BE13" i="16"/>
  <c r="BD13" i="16"/>
  <c r="BC13" i="16"/>
  <c r="BB13" i="16"/>
  <c r="AZ13" i="16"/>
  <c r="AX13" i="16"/>
  <c r="AU13" i="16"/>
  <c r="AR13" i="16"/>
  <c r="AP13" i="16"/>
  <c r="BU12" i="16"/>
  <c r="BN12" i="16"/>
  <c r="BL12" i="16"/>
  <c r="BK12" i="16"/>
  <c r="BJ12" i="16"/>
  <c r="BI12" i="16"/>
  <c r="BH12" i="16"/>
  <c r="BE12" i="16"/>
  <c r="BD12" i="16"/>
  <c r="BC12" i="16"/>
  <c r="BB12" i="16"/>
  <c r="AZ12" i="16"/>
  <c r="AX12" i="16"/>
  <c r="AU12" i="16"/>
  <c r="AR12" i="16"/>
  <c r="AP12" i="16"/>
  <c r="BU11" i="16"/>
  <c r="BN11" i="16"/>
  <c r="BL11" i="16"/>
  <c r="BK11" i="16"/>
  <c r="BJ11" i="16"/>
  <c r="BI11" i="16"/>
  <c r="BH11" i="16"/>
  <c r="BE11" i="16"/>
  <c r="BD11" i="16"/>
  <c r="BC11" i="16"/>
  <c r="BB11" i="16"/>
  <c r="AZ11" i="16"/>
  <c r="AX11" i="16"/>
  <c r="AU11" i="16"/>
  <c r="AR11" i="16"/>
  <c r="AP11" i="16"/>
  <c r="BU10" i="16"/>
  <c r="BN10" i="16"/>
  <c r="BL10" i="16"/>
  <c r="BK10" i="16"/>
  <c r="BJ10" i="16"/>
  <c r="BI10" i="16"/>
  <c r="BH10" i="16"/>
  <c r="BE10" i="16"/>
  <c r="BD10" i="16"/>
  <c r="BC10" i="16"/>
  <c r="BB10" i="16"/>
  <c r="AZ10" i="16"/>
  <c r="AX10" i="16"/>
  <c r="AU10" i="16"/>
  <c r="AR10" i="16"/>
  <c r="AP10" i="16"/>
  <c r="BU9" i="16"/>
  <c r="BN9" i="16"/>
  <c r="BL9" i="16"/>
  <c r="BK9" i="16"/>
  <c r="BJ9" i="16"/>
  <c r="BI9" i="16"/>
  <c r="BH9" i="16"/>
  <c r="BE9" i="16"/>
  <c r="BD9" i="16"/>
  <c r="BC9" i="16"/>
  <c r="BB9" i="16"/>
  <c r="AZ9" i="16"/>
  <c r="AX9" i="16"/>
  <c r="AU9" i="16"/>
  <c r="AR9" i="16"/>
  <c r="AP9" i="16"/>
  <c r="BU8" i="16"/>
  <c r="BN8" i="16"/>
  <c r="BL8" i="16"/>
  <c r="BK8" i="16"/>
  <c r="BJ8" i="16"/>
  <c r="BI8" i="16"/>
  <c r="BH8" i="16"/>
  <c r="BE8" i="16"/>
  <c r="BD8" i="16"/>
  <c r="BC8" i="16"/>
  <c r="BB8" i="16"/>
  <c r="AZ8" i="16"/>
  <c r="AX8" i="16"/>
  <c r="AU8" i="16"/>
  <c r="AR8" i="16"/>
  <c r="AP8" i="16"/>
  <c r="AP7" i="16"/>
  <c r="BU7" i="16"/>
  <c r="BN7" i="16"/>
  <c r="BL7" i="16"/>
  <c r="BK7" i="16"/>
  <c r="BJ7" i="16"/>
  <c r="BI7" i="16"/>
  <c r="BH7" i="16"/>
  <c r="BE7" i="16"/>
  <c r="BD7" i="16"/>
  <c r="BC7" i="16"/>
  <c r="BB7" i="16"/>
  <c r="AZ7" i="16"/>
  <c r="AX7" i="16"/>
  <c r="AU7" i="16"/>
  <c r="AR7" i="16"/>
  <c r="BW44" i="16"/>
  <c r="BW23" i="16"/>
  <c r="BO5" i="16"/>
  <c r="AS5" i="16"/>
  <c r="BO4" i="16"/>
  <c r="AS4" i="16"/>
  <c r="BN44" i="16" l="1"/>
  <c r="BH44" i="16"/>
  <c r="BI44" i="16"/>
  <c r="AX44" i="16"/>
  <c r="BU44" i="16"/>
  <c r="BD44" i="16"/>
  <c r="AZ44" i="16"/>
  <c r="BJ44" i="16"/>
  <c r="BE44" i="16"/>
  <c r="BH23" i="16"/>
  <c r="BB23" i="16"/>
  <c r="BE23" i="16"/>
  <c r="BN23" i="16"/>
  <c r="BI23" i="16"/>
  <c r="BC23" i="16"/>
  <c r="BD23" i="16"/>
  <c r="CX23" i="16"/>
  <c r="AZ23" i="16"/>
  <c r="BU23" i="16"/>
  <c r="BJ23" i="16"/>
  <c r="BF9" i="16"/>
  <c r="BF13" i="16"/>
  <c r="BF17" i="16"/>
  <c r="BF21" i="16"/>
  <c r="BF30" i="16"/>
  <c r="BF34" i="16"/>
  <c r="BF39" i="16"/>
  <c r="BF43" i="16"/>
  <c r="AX23" i="16"/>
  <c r="BM10" i="16"/>
  <c r="BM14" i="16"/>
  <c r="BM18" i="16"/>
  <c r="BM22" i="16"/>
  <c r="BM31" i="16"/>
  <c r="BM35" i="16"/>
  <c r="BM40" i="16"/>
  <c r="BF7" i="16"/>
  <c r="BF8" i="16"/>
  <c r="BM9" i="16"/>
  <c r="BF12" i="16"/>
  <c r="BM13" i="16"/>
  <c r="BF16" i="16"/>
  <c r="BM17" i="16"/>
  <c r="BF20" i="16"/>
  <c r="BM21" i="16"/>
  <c r="BF29" i="16"/>
  <c r="BM30" i="16"/>
  <c r="BF33" i="16"/>
  <c r="BM34" i="16"/>
  <c r="BF38" i="16"/>
  <c r="BM39" i="16"/>
  <c r="BF42" i="16"/>
  <c r="BM43" i="16"/>
  <c r="BM8" i="16"/>
  <c r="BF11" i="16"/>
  <c r="BM12" i="16"/>
  <c r="BF15" i="16"/>
  <c r="BM16" i="16"/>
  <c r="BF19" i="16"/>
  <c r="BM20" i="16"/>
  <c r="BM29" i="16"/>
  <c r="BF32" i="16"/>
  <c r="BM33" i="16"/>
  <c r="BF37" i="16"/>
  <c r="BM38" i="16"/>
  <c r="BF41" i="16"/>
  <c r="BM42" i="16"/>
  <c r="BF10" i="16"/>
  <c r="BM11" i="16"/>
  <c r="BF14" i="16"/>
  <c r="BM15" i="16"/>
  <c r="BF18" i="16"/>
  <c r="BM19" i="16"/>
  <c r="BF22" i="16"/>
  <c r="BF31" i="16"/>
  <c r="BM32" i="16"/>
  <c r="BF35" i="16"/>
  <c r="BM37" i="16"/>
  <c r="BF40" i="16"/>
  <c r="BM41" i="16"/>
  <c r="BM7" i="16"/>
  <c r="BM44" i="16" l="1"/>
  <c r="BF44" i="16"/>
  <c r="BF23" i="16"/>
  <c r="BM23" i="16"/>
  <c r="H5" i="28" l="1"/>
  <c r="H4" i="28"/>
  <c r="H5" i="16"/>
  <c r="H4" i="16"/>
  <c r="AN63" i="16" l="1"/>
  <c r="P7" i="18" l="1"/>
  <c r="T26" i="16" l="1"/>
  <c r="Y10" i="16" l="1"/>
  <c r="R10" i="16"/>
  <c r="F10" i="16"/>
  <c r="E10" i="16"/>
  <c r="Y9" i="16"/>
  <c r="R9" i="16"/>
  <c r="F9" i="16"/>
  <c r="E9" i="16"/>
  <c r="Y8" i="16"/>
  <c r="R8" i="16"/>
  <c r="F8" i="16"/>
  <c r="E8" i="16"/>
  <c r="AT9" i="16" l="1"/>
  <c r="AY9" i="16" s="1"/>
  <c r="BA9" i="16" s="1"/>
  <c r="BG9" i="16" s="1"/>
  <c r="BO9" i="16" s="1"/>
  <c r="BR9" i="16" s="1"/>
  <c r="BT9" i="16" s="1"/>
  <c r="CE9" i="16"/>
  <c r="CJ9" i="16" s="1"/>
  <c r="CL9" i="16" s="1"/>
  <c r="CR9" i="16" s="1"/>
  <c r="CZ9" i="16" s="1"/>
  <c r="DC9" i="16" s="1"/>
  <c r="DE9" i="16" s="1"/>
  <c r="AT8" i="16"/>
  <c r="AY8" i="16" s="1"/>
  <c r="BA8" i="16" s="1"/>
  <c r="BG8" i="16" s="1"/>
  <c r="BO8" i="16" s="1"/>
  <c r="BR8" i="16" s="1"/>
  <c r="BT8" i="16" s="1"/>
  <c r="CE8" i="16"/>
  <c r="CJ8" i="16" s="1"/>
  <c r="CL8" i="16" s="1"/>
  <c r="CR8" i="16" s="1"/>
  <c r="CZ8" i="16" s="1"/>
  <c r="DC8" i="16" s="1"/>
  <c r="DE8" i="16" s="1"/>
  <c r="AS9" i="16"/>
  <c r="CD9" i="16"/>
  <c r="AS8" i="16"/>
  <c r="CD8" i="16"/>
  <c r="AS10" i="16"/>
  <c r="CD10" i="16"/>
  <c r="AT10" i="16"/>
  <c r="AY10" i="16" s="1"/>
  <c r="BA10" i="16" s="1"/>
  <c r="BG10" i="16" s="1"/>
  <c r="BO10" i="16" s="1"/>
  <c r="BR10" i="16" s="1"/>
  <c r="BT10" i="16" s="1"/>
  <c r="CE10" i="16"/>
  <c r="CJ10" i="16" s="1"/>
  <c r="CL10" i="16" s="1"/>
  <c r="CR10" i="16" s="1"/>
  <c r="CZ10" i="16" s="1"/>
  <c r="DC10" i="16" s="1"/>
  <c r="DE10" i="16" s="1"/>
  <c r="K9" i="16"/>
  <c r="M9" i="16" s="1"/>
  <c r="S9" i="16" s="1"/>
  <c r="AA9" i="16" s="1"/>
  <c r="AD9" i="16" s="1"/>
  <c r="AF9" i="16" s="1"/>
  <c r="K8" i="16"/>
  <c r="M8" i="16" s="1"/>
  <c r="S8" i="16" s="1"/>
  <c r="AA8" i="16" s="1"/>
  <c r="AD8" i="16" s="1"/>
  <c r="AF8" i="16" s="1"/>
  <c r="K10" i="16"/>
  <c r="M10" i="16" s="1"/>
  <c r="S10" i="16" s="1"/>
  <c r="AA10" i="16" s="1"/>
  <c r="AD10" i="16" s="1"/>
  <c r="AF10" i="16" s="1"/>
  <c r="AN28" i="16" l="1"/>
  <c r="AN6" i="16" l="1"/>
  <c r="AG26" i="16" l="1"/>
  <c r="Z26" i="16"/>
  <c r="V26" i="16"/>
  <c r="U26" i="16"/>
  <c r="Q26" i="16"/>
  <c r="P26" i="16"/>
  <c r="O26" i="16"/>
  <c r="N26" i="16"/>
  <c r="J26" i="16"/>
  <c r="AN26" i="16"/>
  <c r="Y25" i="16" l="1"/>
  <c r="R25" i="16"/>
  <c r="F25" i="16"/>
  <c r="CE25" i="16" s="1"/>
  <c r="CJ25" i="16" s="1"/>
  <c r="CL25" i="16" s="1"/>
  <c r="CR25" i="16" s="1"/>
  <c r="CZ25" i="16" s="1"/>
  <c r="DC25" i="16" s="1"/>
  <c r="DE25" i="16" s="1"/>
  <c r="E25" i="16"/>
  <c r="CD25" i="16" s="1"/>
  <c r="K25" i="16" l="1"/>
  <c r="M25" i="16" s="1"/>
  <c r="S25" i="16" s="1"/>
  <c r="AA25" i="16" s="1"/>
  <c r="AD25" i="16" s="1"/>
  <c r="AF25" i="16" s="1"/>
  <c r="Y21" i="16" l="1"/>
  <c r="Y20" i="16"/>
  <c r="Y19" i="16"/>
  <c r="Y18" i="16"/>
  <c r="R21" i="16"/>
  <c r="R20" i="16"/>
  <c r="R19" i="16"/>
  <c r="R18" i="16"/>
  <c r="F20" i="16"/>
  <c r="E20" i="16"/>
  <c r="F18" i="16"/>
  <c r="E18" i="16"/>
  <c r="AT18" i="16" l="1"/>
  <c r="AY18" i="16" s="1"/>
  <c r="BA18" i="16" s="1"/>
  <c r="BG18" i="16" s="1"/>
  <c r="BO18" i="16" s="1"/>
  <c r="BR18" i="16" s="1"/>
  <c r="BT18" i="16" s="1"/>
  <c r="CE18" i="16"/>
  <c r="CJ18" i="16" s="1"/>
  <c r="CL18" i="16" s="1"/>
  <c r="CR18" i="16" s="1"/>
  <c r="CZ18" i="16" s="1"/>
  <c r="DC18" i="16" s="1"/>
  <c r="DE18" i="16" s="1"/>
  <c r="AS18" i="16"/>
  <c r="CD18" i="16"/>
  <c r="AS20" i="16"/>
  <c r="CD20" i="16"/>
  <c r="AT20" i="16"/>
  <c r="AY20" i="16" s="1"/>
  <c r="BA20" i="16" s="1"/>
  <c r="BG20" i="16" s="1"/>
  <c r="BO20" i="16" s="1"/>
  <c r="BR20" i="16" s="1"/>
  <c r="BT20" i="16" s="1"/>
  <c r="CE20" i="16"/>
  <c r="CJ20" i="16" s="1"/>
  <c r="CL20" i="16" s="1"/>
  <c r="CR20" i="16" s="1"/>
  <c r="CZ20" i="16" s="1"/>
  <c r="DC20" i="16" s="1"/>
  <c r="DE20" i="16" s="1"/>
  <c r="K18" i="16"/>
  <c r="M18" i="16" s="1"/>
  <c r="S18" i="16" s="1"/>
  <c r="AA18" i="16" s="1"/>
  <c r="AD18" i="16" s="1"/>
  <c r="AF18" i="16" s="1"/>
  <c r="K20" i="16"/>
  <c r="M20" i="16" s="1"/>
  <c r="S20" i="16" s="1"/>
  <c r="AA20" i="16" s="1"/>
  <c r="AD20" i="16" s="1"/>
  <c r="AF20" i="16" s="1"/>
  <c r="J23" i="16" l="1"/>
  <c r="AI74" i="16" l="1"/>
  <c r="AI23" i="16"/>
  <c r="Q65" i="16"/>
  <c r="J65" i="16"/>
  <c r="V65" i="16"/>
  <c r="U65" i="16"/>
  <c r="T65" i="16"/>
  <c r="Z65" i="16"/>
  <c r="AG65" i="16"/>
  <c r="AG63" i="16"/>
  <c r="Z63" i="16"/>
  <c r="V63" i="16"/>
  <c r="U63" i="16"/>
  <c r="T63" i="16"/>
  <c r="Q63" i="16"/>
  <c r="J63" i="16"/>
  <c r="AG57" i="16"/>
  <c r="Z57" i="16"/>
  <c r="V57" i="16"/>
  <c r="U57" i="16"/>
  <c r="T57" i="16"/>
  <c r="Q57" i="16"/>
  <c r="J57" i="16"/>
  <c r="AI63" i="16"/>
  <c r="AI57" i="16"/>
  <c r="R40" i="16"/>
  <c r="Y40" i="16"/>
  <c r="Y32" i="16"/>
  <c r="R32" i="16"/>
  <c r="F40" i="16"/>
  <c r="E40" i="16"/>
  <c r="F32" i="16"/>
  <c r="E32" i="16"/>
  <c r="AL2" i="16"/>
  <c r="AI44" i="16"/>
  <c r="AG44" i="16"/>
  <c r="Z44" i="16"/>
  <c r="V44" i="16"/>
  <c r="U44" i="16"/>
  <c r="T44" i="16"/>
  <c r="Q44" i="16"/>
  <c r="P44" i="16"/>
  <c r="J44" i="16"/>
  <c r="Y49" i="16"/>
  <c r="R49" i="16"/>
  <c r="F49" i="16"/>
  <c r="CE49" i="16" s="1"/>
  <c r="CJ49" i="16" s="1"/>
  <c r="CL49" i="16" s="1"/>
  <c r="CR49" i="16" s="1"/>
  <c r="CZ49" i="16" s="1"/>
  <c r="DC49" i="16" s="1"/>
  <c r="DE49" i="16" s="1"/>
  <c r="E49" i="16"/>
  <c r="CD49" i="16" s="1"/>
  <c r="C48" i="16"/>
  <c r="CB48" i="16" s="1"/>
  <c r="C39" i="16"/>
  <c r="C38" i="16"/>
  <c r="C37" i="16"/>
  <c r="C31" i="16"/>
  <c r="C30" i="16"/>
  <c r="C29" i="16"/>
  <c r="Y43" i="16"/>
  <c r="R43" i="16"/>
  <c r="F43" i="16"/>
  <c r="E43" i="16"/>
  <c r="Y42" i="16"/>
  <c r="R42" i="16"/>
  <c r="F42" i="16"/>
  <c r="E42" i="16"/>
  <c r="Y41" i="16"/>
  <c r="R41" i="16"/>
  <c r="F41" i="16"/>
  <c r="E41" i="16"/>
  <c r="Y39" i="16"/>
  <c r="R39" i="16"/>
  <c r="F39" i="16"/>
  <c r="E39" i="16"/>
  <c r="Y38" i="16"/>
  <c r="R38" i="16"/>
  <c r="F38" i="16"/>
  <c r="E38" i="16"/>
  <c r="Y37" i="16"/>
  <c r="R37" i="16"/>
  <c r="F37" i="16"/>
  <c r="E37" i="16"/>
  <c r="F23" i="18"/>
  <c r="H23" i="18" s="1"/>
  <c r="P24" i="18"/>
  <c r="F24" i="18"/>
  <c r="H24" i="18" s="1"/>
  <c r="P23" i="18"/>
  <c r="E7" i="18"/>
  <c r="Y15" i="16"/>
  <c r="R15" i="16"/>
  <c r="F15" i="16"/>
  <c r="E15" i="16"/>
  <c r="Y13" i="16"/>
  <c r="R13" i="16"/>
  <c r="F13" i="16"/>
  <c r="E13" i="16"/>
  <c r="P45" i="18"/>
  <c r="F45" i="18"/>
  <c r="H45" i="18" s="1"/>
  <c r="R9" i="28"/>
  <c r="R8" i="28"/>
  <c r="R7" i="28"/>
  <c r="R73" i="16"/>
  <c r="R72" i="16"/>
  <c r="R71" i="16"/>
  <c r="R70" i="16"/>
  <c r="R68" i="16"/>
  <c r="R62" i="16"/>
  <c r="R61" i="16"/>
  <c r="R56" i="16"/>
  <c r="R55" i="16"/>
  <c r="R50" i="16"/>
  <c r="R48" i="16"/>
  <c r="R35" i="16"/>
  <c r="R34" i="16"/>
  <c r="R33" i="16"/>
  <c r="R31" i="16"/>
  <c r="R30" i="16"/>
  <c r="R29" i="16"/>
  <c r="R22" i="16"/>
  <c r="R17" i="16"/>
  <c r="R16" i="16"/>
  <c r="R14" i="16"/>
  <c r="R12" i="16"/>
  <c r="R11" i="16"/>
  <c r="R7" i="16"/>
  <c r="N23" i="16"/>
  <c r="F9" i="28"/>
  <c r="F8" i="28"/>
  <c r="F7" i="28"/>
  <c r="Q74" i="16"/>
  <c r="T74" i="16"/>
  <c r="U74" i="16"/>
  <c r="V74" i="16"/>
  <c r="Z74" i="16"/>
  <c r="P51" i="16"/>
  <c r="Q51" i="16"/>
  <c r="T51" i="16"/>
  <c r="U51" i="16"/>
  <c r="V51" i="16"/>
  <c r="Z51" i="16"/>
  <c r="F16" i="16"/>
  <c r="F17" i="16"/>
  <c r="F19" i="16"/>
  <c r="F21" i="16"/>
  <c r="F12" i="16"/>
  <c r="F14" i="16"/>
  <c r="F22" i="16"/>
  <c r="F7" i="16"/>
  <c r="CE7" i="16" s="1"/>
  <c r="CJ7" i="16" s="1"/>
  <c r="F11" i="16"/>
  <c r="O23" i="16"/>
  <c r="P23" i="16"/>
  <c r="Q23" i="16"/>
  <c r="E42" i="18"/>
  <c r="F42" i="18" s="1"/>
  <c r="H42" i="18" s="1"/>
  <c r="R42" i="18" s="1"/>
  <c r="E39" i="18"/>
  <c r="F39" i="18" s="1"/>
  <c r="H39" i="18" s="1"/>
  <c r="R39" i="18" s="1"/>
  <c r="E37" i="18"/>
  <c r="F37" i="18" s="1"/>
  <c r="H37" i="18" s="1"/>
  <c r="R37" i="18" s="1"/>
  <c r="E35" i="18"/>
  <c r="F35" i="18" s="1"/>
  <c r="H35" i="18" s="1"/>
  <c r="P35" i="18"/>
  <c r="E34" i="18"/>
  <c r="F34" i="18" s="1"/>
  <c r="H34" i="18" s="1"/>
  <c r="P34" i="18"/>
  <c r="E33" i="18"/>
  <c r="F33" i="18" s="1"/>
  <c r="H33" i="18" s="1"/>
  <c r="P33" i="18"/>
  <c r="F20" i="18"/>
  <c r="H20" i="18" s="1"/>
  <c r="P20" i="18"/>
  <c r="F19" i="18"/>
  <c r="H19" i="18" s="1"/>
  <c r="P19" i="18"/>
  <c r="F16" i="18"/>
  <c r="H16" i="18" s="1"/>
  <c r="P16" i="18"/>
  <c r="F15" i="18"/>
  <c r="H15" i="18" s="1"/>
  <c r="P15" i="18"/>
  <c r="F12" i="18"/>
  <c r="H12" i="18" s="1"/>
  <c r="P12" i="18"/>
  <c r="F11" i="18"/>
  <c r="H11" i="18" s="1"/>
  <c r="P11" i="18"/>
  <c r="F10" i="18"/>
  <c r="H10" i="18" s="1"/>
  <c r="P10" i="18"/>
  <c r="D8" i="18"/>
  <c r="E8" i="18"/>
  <c r="P8" i="18"/>
  <c r="D7" i="18"/>
  <c r="H63" i="24"/>
  <c r="C62" i="24"/>
  <c r="Y9" i="28"/>
  <c r="Y8" i="28"/>
  <c r="E4" i="28"/>
  <c r="F4" i="28"/>
  <c r="AA4" i="28"/>
  <c r="E5" i="28"/>
  <c r="F5" i="28"/>
  <c r="AA5" i="28"/>
  <c r="E7" i="28"/>
  <c r="Y7" i="28"/>
  <c r="E8" i="28"/>
  <c r="E9" i="28"/>
  <c r="F29" i="16"/>
  <c r="Y29" i="16"/>
  <c r="AG74" i="16"/>
  <c r="Y73" i="16"/>
  <c r="Y72" i="16"/>
  <c r="Y71" i="16"/>
  <c r="Y70" i="16"/>
  <c r="Y68" i="16"/>
  <c r="Y62" i="16"/>
  <c r="Y61" i="16"/>
  <c r="Y56" i="16"/>
  <c r="Y55" i="16"/>
  <c r="F50" i="16"/>
  <c r="CE50" i="16" s="1"/>
  <c r="CJ50" i="16" s="1"/>
  <c r="CL50" i="16" s="1"/>
  <c r="CR50" i="16" s="1"/>
  <c r="CZ50" i="16" s="1"/>
  <c r="DC50" i="16" s="1"/>
  <c r="DE50" i="16" s="1"/>
  <c r="Y50" i="16"/>
  <c r="F48" i="16"/>
  <c r="CE48" i="16" s="1"/>
  <c r="CJ48" i="16" s="1"/>
  <c r="Y48" i="16"/>
  <c r="Y35" i="16"/>
  <c r="Y34" i="16"/>
  <c r="Y33" i="16"/>
  <c r="Y31" i="16"/>
  <c r="Y30" i="16"/>
  <c r="U23" i="16"/>
  <c r="Y26" i="16" s="1"/>
  <c r="V23" i="16"/>
  <c r="Z23" i="16"/>
  <c r="Y22" i="16"/>
  <c r="Y17" i="16"/>
  <c r="Y16" i="16"/>
  <c r="Y14" i="16"/>
  <c r="Y12" i="16"/>
  <c r="Y11" i="16"/>
  <c r="Y7" i="16"/>
  <c r="E22" i="16"/>
  <c r="E21" i="16"/>
  <c r="E19" i="16"/>
  <c r="E17" i="16"/>
  <c r="E16" i="16"/>
  <c r="E14" i="16"/>
  <c r="E12" i="16"/>
  <c r="E11" i="16"/>
  <c r="E7" i="16"/>
  <c r="F73" i="16"/>
  <c r="F72" i="16"/>
  <c r="F71" i="16"/>
  <c r="F70" i="16"/>
  <c r="F68" i="16"/>
  <c r="F55" i="16"/>
  <c r="CE55" i="16" s="1"/>
  <c r="CJ55" i="16" s="1"/>
  <c r="F56" i="16"/>
  <c r="CE56" i="16" s="1"/>
  <c r="CJ56" i="16" s="1"/>
  <c r="CL56" i="16" s="1"/>
  <c r="CR56" i="16" s="1"/>
  <c r="CZ56" i="16" s="1"/>
  <c r="DC56" i="16" s="1"/>
  <c r="DE56" i="16" s="1"/>
  <c r="F61" i="16"/>
  <c r="CE61" i="16" s="1"/>
  <c r="CJ61" i="16" s="1"/>
  <c r="F62" i="16"/>
  <c r="CE62" i="16" s="1"/>
  <c r="CJ62" i="16" s="1"/>
  <c r="CL62" i="16" s="1"/>
  <c r="CR62" i="16" s="1"/>
  <c r="CZ62" i="16" s="1"/>
  <c r="DC62" i="16" s="1"/>
  <c r="DE62" i="16" s="1"/>
  <c r="AG51" i="16"/>
  <c r="F30" i="16"/>
  <c r="F31" i="16"/>
  <c r="F33" i="16"/>
  <c r="F34" i="16"/>
  <c r="CE34" i="16" s="1"/>
  <c r="CJ34" i="16" s="1"/>
  <c r="CL34" i="16" s="1"/>
  <c r="CR34" i="16" s="1"/>
  <c r="CZ34" i="16" s="1"/>
  <c r="DC34" i="16" s="1"/>
  <c r="DE34" i="16" s="1"/>
  <c r="F35" i="16"/>
  <c r="T23" i="16"/>
  <c r="AG23" i="16"/>
  <c r="E73" i="16"/>
  <c r="E72" i="16"/>
  <c r="E71" i="16"/>
  <c r="E70" i="16"/>
  <c r="E68" i="16"/>
  <c r="E61" i="16"/>
  <c r="CD61" i="16" s="1"/>
  <c r="E56" i="16"/>
  <c r="CD56" i="16" s="1"/>
  <c r="AA5" i="16"/>
  <c r="AA4" i="16"/>
  <c r="F5" i="16"/>
  <c r="F4" i="16"/>
  <c r="E5" i="16"/>
  <c r="E4" i="16"/>
  <c r="J51" i="16"/>
  <c r="E62" i="16"/>
  <c r="CD62" i="16" s="1"/>
  <c r="E55" i="16"/>
  <c r="CD55" i="16" s="1"/>
  <c r="E50" i="16"/>
  <c r="CD50" i="16" s="1"/>
  <c r="E48" i="16"/>
  <c r="CD48" i="16" s="1"/>
  <c r="E35" i="16"/>
  <c r="E34" i="16"/>
  <c r="E33" i="16"/>
  <c r="E31" i="16"/>
  <c r="E30" i="16"/>
  <c r="E29" i="16"/>
  <c r="AI51" i="16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B41" i="18" l="1"/>
  <c r="B40" i="18"/>
  <c r="B36" i="18"/>
  <c r="B38" i="18"/>
  <c r="C63" i="16"/>
  <c r="AE3" i="28"/>
  <c r="AC3" i="28"/>
  <c r="AB3" i="28"/>
  <c r="AB3" i="16"/>
  <c r="AE3" i="16"/>
  <c r="AC3" i="16"/>
  <c r="R63" i="16"/>
  <c r="R57" i="16"/>
  <c r="R74" i="16"/>
  <c r="CB2" i="16"/>
  <c r="C69" i="16"/>
  <c r="AS35" i="16"/>
  <c r="CD35" i="16"/>
  <c r="CJ57" i="16"/>
  <c r="CL57" i="16" s="1"/>
  <c r="CR57" i="16" s="1"/>
  <c r="CZ57" i="16" s="1"/>
  <c r="DC57" i="16" s="1"/>
  <c r="DE57" i="16" s="1"/>
  <c r="CL55" i="16"/>
  <c r="CR55" i="16" s="1"/>
  <c r="CZ55" i="16" s="1"/>
  <c r="DC55" i="16" s="1"/>
  <c r="DE55" i="16" s="1"/>
  <c r="AT12" i="16"/>
  <c r="AY12" i="16" s="1"/>
  <c r="BA12" i="16" s="1"/>
  <c r="BG12" i="16" s="1"/>
  <c r="BO12" i="16" s="1"/>
  <c r="BR12" i="16" s="1"/>
  <c r="BT12" i="16" s="1"/>
  <c r="CE12" i="16"/>
  <c r="CJ12" i="16" s="1"/>
  <c r="CL12" i="16" s="1"/>
  <c r="CR12" i="16" s="1"/>
  <c r="CZ12" i="16" s="1"/>
  <c r="DC12" i="16" s="1"/>
  <c r="DE12" i="16" s="1"/>
  <c r="AS37" i="16"/>
  <c r="CD37" i="16"/>
  <c r="AS31" i="16"/>
  <c r="CD31" i="16"/>
  <c r="AT33" i="16"/>
  <c r="AY33" i="16" s="1"/>
  <c r="BA33" i="16" s="1"/>
  <c r="BG33" i="16" s="1"/>
  <c r="BO33" i="16" s="1"/>
  <c r="BR33" i="16" s="1"/>
  <c r="BT33" i="16" s="1"/>
  <c r="CE33" i="16"/>
  <c r="CJ33" i="16" s="1"/>
  <c r="CL33" i="16" s="1"/>
  <c r="CR33" i="16" s="1"/>
  <c r="CZ33" i="16" s="1"/>
  <c r="DC33" i="16" s="1"/>
  <c r="DE33" i="16" s="1"/>
  <c r="AS14" i="16"/>
  <c r="CD14" i="16"/>
  <c r="AS21" i="16"/>
  <c r="CD21" i="16"/>
  <c r="CL7" i="16"/>
  <c r="CR7" i="16" s="1"/>
  <c r="CZ7" i="16" s="1"/>
  <c r="DC7" i="16" s="1"/>
  <c r="DE7" i="16" s="1"/>
  <c r="AT21" i="16"/>
  <c r="AY21" i="16" s="1"/>
  <c r="BA21" i="16" s="1"/>
  <c r="BG21" i="16" s="1"/>
  <c r="BO21" i="16" s="1"/>
  <c r="BR21" i="16" s="1"/>
  <c r="BT21" i="16" s="1"/>
  <c r="CE21" i="16"/>
  <c r="CJ21" i="16" s="1"/>
  <c r="CL21" i="16" s="1"/>
  <c r="CR21" i="16" s="1"/>
  <c r="CZ21" i="16" s="1"/>
  <c r="DC21" i="16" s="1"/>
  <c r="DE21" i="16" s="1"/>
  <c r="AS13" i="16"/>
  <c r="CD13" i="16"/>
  <c r="AT37" i="16"/>
  <c r="AY37" i="16" s="1"/>
  <c r="BA37" i="16" s="1"/>
  <c r="BG37" i="16" s="1"/>
  <c r="BO37" i="16" s="1"/>
  <c r="BR37" i="16" s="1"/>
  <c r="BT37" i="16" s="1"/>
  <c r="CE37" i="16"/>
  <c r="CJ37" i="16" s="1"/>
  <c r="CL37" i="16" s="1"/>
  <c r="CR37" i="16" s="1"/>
  <c r="CZ37" i="16" s="1"/>
  <c r="DC37" i="16" s="1"/>
  <c r="DE37" i="16" s="1"/>
  <c r="AT39" i="16"/>
  <c r="AY39" i="16" s="1"/>
  <c r="BA39" i="16" s="1"/>
  <c r="BG39" i="16" s="1"/>
  <c r="BO39" i="16" s="1"/>
  <c r="BR39" i="16" s="1"/>
  <c r="BT39" i="16" s="1"/>
  <c r="CE39" i="16"/>
  <c r="CJ39" i="16" s="1"/>
  <c r="CL39" i="16" s="1"/>
  <c r="CR39" i="16" s="1"/>
  <c r="CZ39" i="16" s="1"/>
  <c r="DC39" i="16" s="1"/>
  <c r="DE39" i="16" s="1"/>
  <c r="AT42" i="16"/>
  <c r="AY42" i="16" s="1"/>
  <c r="BA42" i="16" s="1"/>
  <c r="BG42" i="16" s="1"/>
  <c r="BO42" i="16" s="1"/>
  <c r="BR42" i="16" s="1"/>
  <c r="BT42" i="16" s="1"/>
  <c r="CE42" i="16"/>
  <c r="CJ42" i="16" s="1"/>
  <c r="CL42" i="16" s="1"/>
  <c r="CR42" i="16" s="1"/>
  <c r="CZ42" i="16" s="1"/>
  <c r="DC42" i="16" s="1"/>
  <c r="DE42" i="16" s="1"/>
  <c r="AQ30" i="16"/>
  <c r="CB30" i="16"/>
  <c r="AQ39" i="16"/>
  <c r="CB39" i="16"/>
  <c r="AT40" i="16"/>
  <c r="AY40" i="16" s="1"/>
  <c r="BA40" i="16" s="1"/>
  <c r="BG40" i="16" s="1"/>
  <c r="BO40" i="16" s="1"/>
  <c r="BR40" i="16" s="1"/>
  <c r="BT40" i="16" s="1"/>
  <c r="CE40" i="16"/>
  <c r="CJ40" i="16" s="1"/>
  <c r="CL40" i="16" s="1"/>
  <c r="CR40" i="16" s="1"/>
  <c r="CZ40" i="16" s="1"/>
  <c r="DC40" i="16" s="1"/>
  <c r="DE40" i="16" s="1"/>
  <c r="AS30" i="16"/>
  <c r="CD30" i="16"/>
  <c r="AT11" i="16"/>
  <c r="AY11" i="16" s="1"/>
  <c r="BA11" i="16" s="1"/>
  <c r="BG11" i="16" s="1"/>
  <c r="BO11" i="16" s="1"/>
  <c r="BR11" i="16" s="1"/>
  <c r="BT11" i="16" s="1"/>
  <c r="CE11" i="16"/>
  <c r="CJ11" i="16" s="1"/>
  <c r="CL11" i="16" s="1"/>
  <c r="CR11" i="16" s="1"/>
  <c r="CZ11" i="16" s="1"/>
  <c r="DC11" i="16" s="1"/>
  <c r="DE11" i="16" s="1"/>
  <c r="AT16" i="16"/>
  <c r="AY16" i="16" s="1"/>
  <c r="BA16" i="16" s="1"/>
  <c r="BG16" i="16" s="1"/>
  <c r="BO16" i="16" s="1"/>
  <c r="BR16" i="16" s="1"/>
  <c r="BT16" i="16" s="1"/>
  <c r="CE16" i="16"/>
  <c r="CJ16" i="16" s="1"/>
  <c r="CL16" i="16" s="1"/>
  <c r="CR16" i="16" s="1"/>
  <c r="CZ16" i="16" s="1"/>
  <c r="DC16" i="16" s="1"/>
  <c r="DE16" i="16" s="1"/>
  <c r="AT15" i="16"/>
  <c r="AY15" i="16" s="1"/>
  <c r="BA15" i="16" s="1"/>
  <c r="BG15" i="16" s="1"/>
  <c r="BO15" i="16" s="1"/>
  <c r="BR15" i="16" s="1"/>
  <c r="BT15" i="16" s="1"/>
  <c r="CE15" i="16"/>
  <c r="CJ15" i="16" s="1"/>
  <c r="CL15" i="16" s="1"/>
  <c r="CR15" i="16" s="1"/>
  <c r="CZ15" i="16" s="1"/>
  <c r="DC15" i="16" s="1"/>
  <c r="DE15" i="16" s="1"/>
  <c r="AS39" i="16"/>
  <c r="CD39" i="16"/>
  <c r="AS33" i="16"/>
  <c r="CD33" i="16"/>
  <c r="AT31" i="16"/>
  <c r="AY31" i="16" s="1"/>
  <c r="BA31" i="16" s="1"/>
  <c r="BG31" i="16" s="1"/>
  <c r="BO31" i="16" s="1"/>
  <c r="BR31" i="16" s="1"/>
  <c r="BT31" i="16" s="1"/>
  <c r="CE31" i="16"/>
  <c r="CJ31" i="16" s="1"/>
  <c r="CL31" i="16" s="1"/>
  <c r="CR31" i="16" s="1"/>
  <c r="CZ31" i="16" s="1"/>
  <c r="DC31" i="16" s="1"/>
  <c r="DE31" i="16" s="1"/>
  <c r="CL61" i="16"/>
  <c r="CR61" i="16" s="1"/>
  <c r="CZ61" i="16" s="1"/>
  <c r="DC61" i="16" s="1"/>
  <c r="DE61" i="16" s="1"/>
  <c r="CJ63" i="16"/>
  <c r="CL63" i="16" s="1"/>
  <c r="CR63" i="16" s="1"/>
  <c r="CZ63" i="16" s="1"/>
  <c r="DC63" i="16" s="1"/>
  <c r="DE63" i="16" s="1"/>
  <c r="AS7" i="16"/>
  <c r="CD7" i="16"/>
  <c r="AS16" i="16"/>
  <c r="CD16" i="16"/>
  <c r="AS22" i="16"/>
  <c r="CD22" i="16"/>
  <c r="AT22" i="16"/>
  <c r="AY22" i="16" s="1"/>
  <c r="BA22" i="16" s="1"/>
  <c r="BG22" i="16" s="1"/>
  <c r="BO22" i="16" s="1"/>
  <c r="BR22" i="16" s="1"/>
  <c r="BT22" i="16" s="1"/>
  <c r="CE22" i="16"/>
  <c r="CJ22" i="16" s="1"/>
  <c r="CL22" i="16" s="1"/>
  <c r="CR22" i="16" s="1"/>
  <c r="CZ22" i="16" s="1"/>
  <c r="DC22" i="16" s="1"/>
  <c r="DE22" i="16" s="1"/>
  <c r="AT19" i="16"/>
  <c r="AY19" i="16" s="1"/>
  <c r="BA19" i="16" s="1"/>
  <c r="BG19" i="16" s="1"/>
  <c r="BO19" i="16" s="1"/>
  <c r="BR19" i="16" s="1"/>
  <c r="BT19" i="16" s="1"/>
  <c r="CE19" i="16"/>
  <c r="CJ19" i="16" s="1"/>
  <c r="CL19" i="16" s="1"/>
  <c r="CR19" i="16" s="1"/>
  <c r="CZ19" i="16" s="1"/>
  <c r="DC19" i="16" s="1"/>
  <c r="DE19" i="16" s="1"/>
  <c r="AT13" i="16"/>
  <c r="AY13" i="16" s="1"/>
  <c r="BA13" i="16" s="1"/>
  <c r="BG13" i="16" s="1"/>
  <c r="BO13" i="16" s="1"/>
  <c r="BR13" i="16" s="1"/>
  <c r="BT13" i="16" s="1"/>
  <c r="CE13" i="16"/>
  <c r="CJ13" i="16" s="1"/>
  <c r="CL13" i="16" s="1"/>
  <c r="CR13" i="16" s="1"/>
  <c r="CZ13" i="16" s="1"/>
  <c r="DC13" i="16" s="1"/>
  <c r="DE13" i="16" s="1"/>
  <c r="AS38" i="16"/>
  <c r="CD38" i="16"/>
  <c r="AS41" i="16"/>
  <c r="CD41" i="16"/>
  <c r="AS43" i="16"/>
  <c r="CD43" i="16"/>
  <c r="AQ31" i="16"/>
  <c r="CB31" i="16"/>
  <c r="AS32" i="16"/>
  <c r="CD32" i="16"/>
  <c r="AS12" i="16"/>
  <c r="CD12" i="16"/>
  <c r="AS19" i="16"/>
  <c r="CD19" i="16"/>
  <c r="AS42" i="16"/>
  <c r="CD42" i="16"/>
  <c r="AQ29" i="16"/>
  <c r="CB29" i="16"/>
  <c r="AQ38" i="16"/>
  <c r="CB38" i="16"/>
  <c r="AS40" i="16"/>
  <c r="CD40" i="16"/>
  <c r="AS29" i="16"/>
  <c r="CD29" i="16"/>
  <c r="AS34" i="16"/>
  <c r="CD34" i="16"/>
  <c r="AT35" i="16"/>
  <c r="AY35" i="16" s="1"/>
  <c r="BA35" i="16" s="1"/>
  <c r="BG35" i="16" s="1"/>
  <c r="BO35" i="16" s="1"/>
  <c r="BR35" i="16" s="1"/>
  <c r="BT35" i="16" s="1"/>
  <c r="CE35" i="16"/>
  <c r="CJ35" i="16" s="1"/>
  <c r="CL35" i="16" s="1"/>
  <c r="CR35" i="16" s="1"/>
  <c r="CZ35" i="16" s="1"/>
  <c r="DC35" i="16" s="1"/>
  <c r="DE35" i="16" s="1"/>
  <c r="AT30" i="16"/>
  <c r="AY30" i="16" s="1"/>
  <c r="BA30" i="16" s="1"/>
  <c r="BG30" i="16" s="1"/>
  <c r="BO30" i="16" s="1"/>
  <c r="BR30" i="16" s="1"/>
  <c r="BT30" i="16" s="1"/>
  <c r="CE30" i="16"/>
  <c r="CJ30" i="16" s="1"/>
  <c r="CL30" i="16" s="1"/>
  <c r="CR30" i="16" s="1"/>
  <c r="CZ30" i="16" s="1"/>
  <c r="DC30" i="16" s="1"/>
  <c r="DE30" i="16" s="1"/>
  <c r="AS11" i="16"/>
  <c r="CD11" i="16"/>
  <c r="AS17" i="16"/>
  <c r="CD17" i="16"/>
  <c r="CL48" i="16"/>
  <c r="CR48" i="16" s="1"/>
  <c r="CZ48" i="16" s="1"/>
  <c r="DC48" i="16" s="1"/>
  <c r="DE48" i="16" s="1"/>
  <c r="CJ51" i="16"/>
  <c r="CL51" i="16" s="1"/>
  <c r="CR51" i="16" s="1"/>
  <c r="CZ51" i="16" s="1"/>
  <c r="DC51" i="16" s="1"/>
  <c r="DE51" i="16" s="1"/>
  <c r="AT29" i="16"/>
  <c r="AY29" i="16" s="1"/>
  <c r="BA29" i="16" s="1"/>
  <c r="BG29" i="16" s="1"/>
  <c r="BO29" i="16" s="1"/>
  <c r="BR29" i="16" s="1"/>
  <c r="BT29" i="16" s="1"/>
  <c r="CE29" i="16"/>
  <c r="CJ29" i="16" s="1"/>
  <c r="AT14" i="16"/>
  <c r="AY14" i="16" s="1"/>
  <c r="BA14" i="16" s="1"/>
  <c r="BG14" i="16" s="1"/>
  <c r="BO14" i="16" s="1"/>
  <c r="BR14" i="16" s="1"/>
  <c r="BT14" i="16" s="1"/>
  <c r="CE14" i="16"/>
  <c r="CJ14" i="16" s="1"/>
  <c r="CL14" i="16" s="1"/>
  <c r="CR14" i="16" s="1"/>
  <c r="CZ14" i="16" s="1"/>
  <c r="DC14" i="16" s="1"/>
  <c r="DE14" i="16" s="1"/>
  <c r="AT17" i="16"/>
  <c r="AY17" i="16" s="1"/>
  <c r="BA17" i="16" s="1"/>
  <c r="BG17" i="16" s="1"/>
  <c r="BO17" i="16" s="1"/>
  <c r="BR17" i="16" s="1"/>
  <c r="BT17" i="16" s="1"/>
  <c r="CE17" i="16"/>
  <c r="CJ17" i="16" s="1"/>
  <c r="CL17" i="16" s="1"/>
  <c r="CR17" i="16" s="1"/>
  <c r="CZ17" i="16" s="1"/>
  <c r="DC17" i="16" s="1"/>
  <c r="DE17" i="16" s="1"/>
  <c r="AS15" i="16"/>
  <c r="CD15" i="16"/>
  <c r="AT38" i="16"/>
  <c r="AY38" i="16" s="1"/>
  <c r="BA38" i="16" s="1"/>
  <c r="BG38" i="16" s="1"/>
  <c r="BO38" i="16" s="1"/>
  <c r="BR38" i="16" s="1"/>
  <c r="BT38" i="16" s="1"/>
  <c r="CE38" i="16"/>
  <c r="CJ38" i="16" s="1"/>
  <c r="CL38" i="16" s="1"/>
  <c r="CR38" i="16" s="1"/>
  <c r="CZ38" i="16" s="1"/>
  <c r="DC38" i="16" s="1"/>
  <c r="DE38" i="16" s="1"/>
  <c r="AT41" i="16"/>
  <c r="AY41" i="16" s="1"/>
  <c r="BA41" i="16" s="1"/>
  <c r="BG41" i="16" s="1"/>
  <c r="BO41" i="16" s="1"/>
  <c r="BR41" i="16" s="1"/>
  <c r="BT41" i="16" s="1"/>
  <c r="CE41" i="16"/>
  <c r="CJ41" i="16" s="1"/>
  <c r="CL41" i="16" s="1"/>
  <c r="CR41" i="16" s="1"/>
  <c r="CZ41" i="16" s="1"/>
  <c r="DC41" i="16" s="1"/>
  <c r="DE41" i="16" s="1"/>
  <c r="AT43" i="16"/>
  <c r="AY43" i="16" s="1"/>
  <c r="BA43" i="16" s="1"/>
  <c r="BG43" i="16" s="1"/>
  <c r="BO43" i="16" s="1"/>
  <c r="BR43" i="16" s="1"/>
  <c r="BT43" i="16" s="1"/>
  <c r="CE43" i="16"/>
  <c r="CJ43" i="16" s="1"/>
  <c r="CL43" i="16" s="1"/>
  <c r="CR43" i="16" s="1"/>
  <c r="CZ43" i="16" s="1"/>
  <c r="DC43" i="16" s="1"/>
  <c r="DE43" i="16" s="1"/>
  <c r="AQ37" i="16"/>
  <c r="CB37" i="16"/>
  <c r="AT32" i="16"/>
  <c r="AY32" i="16" s="1"/>
  <c r="BA32" i="16" s="1"/>
  <c r="BG32" i="16" s="1"/>
  <c r="BO32" i="16" s="1"/>
  <c r="BR32" i="16" s="1"/>
  <c r="BT32" i="16" s="1"/>
  <c r="CE32" i="16"/>
  <c r="CJ32" i="16" s="1"/>
  <c r="CL32" i="16" s="1"/>
  <c r="CR32" i="16" s="1"/>
  <c r="CZ32" i="16" s="1"/>
  <c r="DC32" i="16" s="1"/>
  <c r="DE32" i="16" s="1"/>
  <c r="BY27" i="16"/>
  <c r="AQ2" i="16"/>
  <c r="C2" i="16"/>
  <c r="I3" i="28"/>
  <c r="H3" i="28"/>
  <c r="K7" i="16"/>
  <c r="M7" i="16" s="1"/>
  <c r="S7" i="16" s="1"/>
  <c r="AT7" i="16"/>
  <c r="AY7" i="16" s="1"/>
  <c r="K34" i="16"/>
  <c r="M34" i="16" s="1"/>
  <c r="S34" i="16" s="1"/>
  <c r="AA34" i="16" s="1"/>
  <c r="AD34" i="16" s="1"/>
  <c r="AF34" i="16" s="1"/>
  <c r="AT34" i="16"/>
  <c r="AY34" i="16" s="1"/>
  <c r="BA34" i="16" s="1"/>
  <c r="BG34" i="16" s="1"/>
  <c r="BO34" i="16" s="1"/>
  <c r="BR34" i="16" s="1"/>
  <c r="BT34" i="16" s="1"/>
  <c r="K55" i="16"/>
  <c r="M55" i="16" s="1"/>
  <c r="S55" i="16" s="1"/>
  <c r="AA55" i="16" s="1"/>
  <c r="AD55" i="16" s="1"/>
  <c r="AF55" i="16" s="1"/>
  <c r="K72" i="16"/>
  <c r="M72" i="16" s="1"/>
  <c r="S72" i="16" s="1"/>
  <c r="AA72" i="16" s="1"/>
  <c r="AD72" i="16" s="1"/>
  <c r="AF72" i="16" s="1"/>
  <c r="K11" i="16"/>
  <c r="M11" i="16" s="1"/>
  <c r="S11" i="16" s="1"/>
  <c r="AA11" i="16" s="1"/>
  <c r="AD11" i="16" s="1"/>
  <c r="AF11" i="16" s="1"/>
  <c r="K12" i="16"/>
  <c r="M12" i="16" s="1"/>
  <c r="S12" i="16" s="1"/>
  <c r="AA12" i="16" s="1"/>
  <c r="AD12" i="16" s="1"/>
  <c r="AF12" i="16" s="1"/>
  <c r="K15" i="16"/>
  <c r="M15" i="16" s="1"/>
  <c r="S15" i="16" s="1"/>
  <c r="AA15" i="16" s="1"/>
  <c r="AD15" i="16" s="1"/>
  <c r="AF15" i="16" s="1"/>
  <c r="K33" i="16"/>
  <c r="M33" i="16" s="1"/>
  <c r="S33" i="16" s="1"/>
  <c r="AA33" i="16" s="1"/>
  <c r="AD33" i="16" s="1"/>
  <c r="AF33" i="16" s="1"/>
  <c r="K62" i="16"/>
  <c r="M62" i="16" s="1"/>
  <c r="S62" i="16" s="1"/>
  <c r="AA62" i="16" s="1"/>
  <c r="AD62" i="16" s="1"/>
  <c r="AF62" i="16" s="1"/>
  <c r="K68" i="16"/>
  <c r="M68" i="16" s="1"/>
  <c r="S68" i="16" s="1"/>
  <c r="AA68" i="16" s="1"/>
  <c r="AD68" i="16" s="1"/>
  <c r="AF68" i="16" s="1"/>
  <c r="K73" i="16"/>
  <c r="M73" i="16" s="1"/>
  <c r="S73" i="16" s="1"/>
  <c r="AA73" i="16" s="1"/>
  <c r="AD73" i="16" s="1"/>
  <c r="AF73" i="16" s="1"/>
  <c r="K21" i="16"/>
  <c r="M21" i="16" s="1"/>
  <c r="S21" i="16" s="1"/>
  <c r="AA21" i="16" s="1"/>
  <c r="AD21" i="16" s="1"/>
  <c r="AF21" i="16" s="1"/>
  <c r="K37" i="16"/>
  <c r="M37" i="16" s="1"/>
  <c r="S37" i="16" s="1"/>
  <c r="AA37" i="16" s="1"/>
  <c r="AD37" i="16" s="1"/>
  <c r="AF37" i="16" s="1"/>
  <c r="K39" i="16"/>
  <c r="M39" i="16" s="1"/>
  <c r="S39" i="16" s="1"/>
  <c r="AA39" i="16" s="1"/>
  <c r="AD39" i="16" s="1"/>
  <c r="AF39" i="16" s="1"/>
  <c r="K42" i="16"/>
  <c r="M42" i="16" s="1"/>
  <c r="S42" i="16" s="1"/>
  <c r="AA42" i="16" s="1"/>
  <c r="AD42" i="16" s="1"/>
  <c r="AF42" i="16" s="1"/>
  <c r="K40" i="16"/>
  <c r="M40" i="16" s="1"/>
  <c r="S40" i="16" s="1"/>
  <c r="AA40" i="16" s="1"/>
  <c r="AD40" i="16" s="1"/>
  <c r="AF40" i="16" s="1"/>
  <c r="K16" i="16"/>
  <c r="M16" i="16" s="1"/>
  <c r="S16" i="16" s="1"/>
  <c r="AA16" i="16" s="1"/>
  <c r="AD16" i="16" s="1"/>
  <c r="AF16" i="16" s="1"/>
  <c r="K31" i="16"/>
  <c r="M31" i="16" s="1"/>
  <c r="S31" i="16" s="1"/>
  <c r="AA31" i="16" s="1"/>
  <c r="AD31" i="16" s="1"/>
  <c r="AF31" i="16" s="1"/>
  <c r="K61" i="16"/>
  <c r="M61" i="16" s="1"/>
  <c r="S61" i="16" s="1"/>
  <c r="AA61" i="16" s="1"/>
  <c r="AD61" i="16" s="1"/>
  <c r="AF61" i="16" s="1"/>
  <c r="K22" i="16"/>
  <c r="M22" i="16" s="1"/>
  <c r="S22" i="16" s="1"/>
  <c r="AA22" i="16" s="1"/>
  <c r="AD22" i="16" s="1"/>
  <c r="AF22" i="16" s="1"/>
  <c r="K19" i="16"/>
  <c r="M19" i="16" s="1"/>
  <c r="S19" i="16" s="1"/>
  <c r="AA19" i="16" s="1"/>
  <c r="AD19" i="16" s="1"/>
  <c r="AF19" i="16" s="1"/>
  <c r="K13" i="16"/>
  <c r="K49" i="16"/>
  <c r="M49" i="16" s="1"/>
  <c r="S49" i="16" s="1"/>
  <c r="AA49" i="16" s="1"/>
  <c r="AD49" i="16" s="1"/>
  <c r="AF49" i="16" s="1"/>
  <c r="K70" i="16"/>
  <c r="M70" i="16" s="1"/>
  <c r="S70" i="16" s="1"/>
  <c r="AA70" i="16" s="1"/>
  <c r="AD70" i="16" s="1"/>
  <c r="AF70" i="16" s="1"/>
  <c r="K35" i="16"/>
  <c r="M35" i="16" s="1"/>
  <c r="S35" i="16" s="1"/>
  <c r="AA35" i="16" s="1"/>
  <c r="AD35" i="16" s="1"/>
  <c r="AF35" i="16" s="1"/>
  <c r="K30" i="16"/>
  <c r="M30" i="16" s="1"/>
  <c r="S30" i="16" s="1"/>
  <c r="AA30" i="16" s="1"/>
  <c r="AD30" i="16" s="1"/>
  <c r="AF30" i="16" s="1"/>
  <c r="K56" i="16"/>
  <c r="M56" i="16" s="1"/>
  <c r="S56" i="16" s="1"/>
  <c r="AA56" i="16" s="1"/>
  <c r="AD56" i="16" s="1"/>
  <c r="AF56" i="16" s="1"/>
  <c r="K71" i="16"/>
  <c r="M71" i="16" s="1"/>
  <c r="S71" i="16" s="1"/>
  <c r="AA71" i="16" s="1"/>
  <c r="AD71" i="16" s="1"/>
  <c r="AF71" i="16" s="1"/>
  <c r="K48" i="16"/>
  <c r="M48" i="16" s="1"/>
  <c r="S48" i="16" s="1"/>
  <c r="AA48" i="16" s="1"/>
  <c r="AD48" i="16" s="1"/>
  <c r="AF48" i="16" s="1"/>
  <c r="K50" i="16"/>
  <c r="M50" i="16" s="1"/>
  <c r="S50" i="16" s="1"/>
  <c r="AA50" i="16" s="1"/>
  <c r="AD50" i="16" s="1"/>
  <c r="AF50" i="16" s="1"/>
  <c r="K29" i="16"/>
  <c r="M29" i="16" s="1"/>
  <c r="S29" i="16" s="1"/>
  <c r="AA29" i="16" s="1"/>
  <c r="AD29" i="16" s="1"/>
  <c r="AF29" i="16" s="1"/>
  <c r="K14" i="16"/>
  <c r="M14" i="16" s="1"/>
  <c r="S14" i="16" s="1"/>
  <c r="AA14" i="16" s="1"/>
  <c r="AD14" i="16" s="1"/>
  <c r="AF14" i="16" s="1"/>
  <c r="K17" i="16"/>
  <c r="M17" i="16" s="1"/>
  <c r="S17" i="16" s="1"/>
  <c r="AA17" i="16" s="1"/>
  <c r="AD17" i="16" s="1"/>
  <c r="AF17" i="16" s="1"/>
  <c r="K38" i="16"/>
  <c r="M38" i="16" s="1"/>
  <c r="S38" i="16" s="1"/>
  <c r="AA38" i="16" s="1"/>
  <c r="AD38" i="16" s="1"/>
  <c r="AF38" i="16" s="1"/>
  <c r="K41" i="16"/>
  <c r="M41" i="16" s="1"/>
  <c r="S41" i="16" s="1"/>
  <c r="AA41" i="16" s="1"/>
  <c r="AD41" i="16" s="1"/>
  <c r="AF41" i="16" s="1"/>
  <c r="K43" i="16"/>
  <c r="M43" i="16" s="1"/>
  <c r="S43" i="16" s="1"/>
  <c r="AA43" i="16" s="1"/>
  <c r="AD43" i="16" s="1"/>
  <c r="AF43" i="16" s="1"/>
  <c r="K32" i="16"/>
  <c r="M32" i="16" s="1"/>
  <c r="S32" i="16" s="1"/>
  <c r="AA32" i="16" s="1"/>
  <c r="AD32" i="16" s="1"/>
  <c r="AF32" i="16" s="1"/>
  <c r="K7" i="28"/>
  <c r="M7" i="28" s="1"/>
  <c r="S7" i="28" s="1"/>
  <c r="AA7" i="28" s="1"/>
  <c r="AD7" i="28" s="1"/>
  <c r="AF7" i="28" s="1"/>
  <c r="K9" i="28"/>
  <c r="M9" i="28" s="1"/>
  <c r="S9" i="28" s="1"/>
  <c r="K8" i="28"/>
  <c r="M8" i="28" s="1"/>
  <c r="S8" i="28" s="1"/>
  <c r="I3" i="16"/>
  <c r="AU3" i="16"/>
  <c r="H3" i="16"/>
  <c r="B11" i="18"/>
  <c r="B10" i="18"/>
  <c r="B12" i="18"/>
  <c r="B16" i="18"/>
  <c r="B19" i="18"/>
  <c r="B15" i="18"/>
  <c r="B20" i="18"/>
  <c r="B24" i="18"/>
  <c r="B23" i="18"/>
  <c r="R65" i="16"/>
  <c r="B45" i="18"/>
  <c r="C8" i="16"/>
  <c r="C11" i="16"/>
  <c r="C10" i="16"/>
  <c r="C9" i="16"/>
  <c r="C23" i="16"/>
  <c r="R45" i="18"/>
  <c r="R19" i="18"/>
  <c r="R33" i="18"/>
  <c r="B34" i="18"/>
  <c r="B39" i="18"/>
  <c r="R3" i="18"/>
  <c r="H3" i="18"/>
  <c r="S3" i="18"/>
  <c r="B42" i="18"/>
  <c r="J3" i="18"/>
  <c r="B47" i="18"/>
  <c r="E3" i="18"/>
  <c r="B1" i="18"/>
  <c r="B30" i="18"/>
  <c r="F3" i="18"/>
  <c r="B2" i="18"/>
  <c r="U4" i="18"/>
  <c r="B35" i="18"/>
  <c r="B8" i="18"/>
  <c r="F8" i="18"/>
  <c r="H8" i="18" s="1"/>
  <c r="R8" i="18" s="1"/>
  <c r="B37" i="18"/>
  <c r="U3" i="18"/>
  <c r="D3" i="18"/>
  <c r="B7" i="18"/>
  <c r="F3" i="28"/>
  <c r="C26" i="16"/>
  <c r="CB26" i="16" s="1"/>
  <c r="R26" i="16"/>
  <c r="C51" i="16"/>
  <c r="CB51" i="16" s="1"/>
  <c r="C25" i="16"/>
  <c r="CB25" i="16" s="1"/>
  <c r="C74" i="16"/>
  <c r="P3" i="28"/>
  <c r="C6" i="28"/>
  <c r="AN27" i="16"/>
  <c r="Q3" i="18"/>
  <c r="B33" i="18"/>
  <c r="C67" i="16"/>
  <c r="AK5" i="28"/>
  <c r="R3" i="28"/>
  <c r="AK4" i="28"/>
  <c r="K3" i="28"/>
  <c r="K3" i="16"/>
  <c r="V3" i="28"/>
  <c r="AG4" i="16"/>
  <c r="C41" i="16"/>
  <c r="C32" i="16"/>
  <c r="CB63" i="16"/>
  <c r="AA3" i="28"/>
  <c r="U3" i="16"/>
  <c r="J3" i="28"/>
  <c r="AL4" i="28"/>
  <c r="C22" i="16"/>
  <c r="AA3" i="16"/>
  <c r="C14" i="16"/>
  <c r="Z3" i="16"/>
  <c r="C50" i="16"/>
  <c r="CB50" i="16" s="1"/>
  <c r="C73" i="16"/>
  <c r="C55" i="16"/>
  <c r="CB55" i="16" s="1"/>
  <c r="C62" i="16"/>
  <c r="CB62" i="16" s="1"/>
  <c r="C43" i="16"/>
  <c r="C7" i="16"/>
  <c r="U3" i="28"/>
  <c r="C76" i="16"/>
  <c r="AI3" i="16"/>
  <c r="C68" i="16"/>
  <c r="C61" i="16"/>
  <c r="CB61" i="16" s="1"/>
  <c r="C33" i="16"/>
  <c r="M3" i="16"/>
  <c r="C40" i="16"/>
  <c r="C44" i="16"/>
  <c r="C65" i="16"/>
  <c r="CB65" i="16" s="1"/>
  <c r="E3" i="28"/>
  <c r="AG3" i="16"/>
  <c r="AK5" i="16"/>
  <c r="X3" i="28"/>
  <c r="R3" i="16"/>
  <c r="Y3" i="28"/>
  <c r="X3" i="16"/>
  <c r="AL4" i="16"/>
  <c r="F3" i="16"/>
  <c r="E3" i="16"/>
  <c r="AG3" i="28"/>
  <c r="AG4" i="28"/>
  <c r="C70" i="16"/>
  <c r="C6" i="16"/>
  <c r="C2" i="28"/>
  <c r="C16" i="16"/>
  <c r="C56" i="16"/>
  <c r="CB56" i="16" s="1"/>
  <c r="P3" i="18"/>
  <c r="C34" i="16"/>
  <c r="C42" i="16"/>
  <c r="F7" i="18"/>
  <c r="H7" i="18" s="1"/>
  <c r="R7" i="18" s="1"/>
  <c r="C18" i="16"/>
  <c r="C17" i="16"/>
  <c r="C19" i="16"/>
  <c r="C20" i="16"/>
  <c r="C15" i="16"/>
  <c r="C13" i="16"/>
  <c r="M3" i="28"/>
  <c r="W3" i="28"/>
  <c r="V3" i="16"/>
  <c r="C12" i="16"/>
  <c r="C1" i="16"/>
  <c r="C1" i="28"/>
  <c r="AI3" i="28"/>
  <c r="P3" i="16"/>
  <c r="AK4" i="16"/>
  <c r="C72" i="16"/>
  <c r="C71" i="16"/>
  <c r="Y3" i="16"/>
  <c r="W3" i="16"/>
  <c r="J3" i="16"/>
  <c r="Z3" i="28"/>
  <c r="C21" i="16"/>
  <c r="C35" i="16"/>
  <c r="C49" i="16"/>
  <c r="CB49" i="16" s="1"/>
  <c r="T3" i="18"/>
  <c r="C57" i="16"/>
  <c r="CB57" i="16" s="1"/>
  <c r="R35" i="18"/>
  <c r="R11" i="18"/>
  <c r="R10" i="18"/>
  <c r="R24" i="18"/>
  <c r="R23" i="18"/>
  <c r="R15" i="18"/>
  <c r="R20" i="18"/>
  <c r="R34" i="18"/>
  <c r="R16" i="18"/>
  <c r="R12" i="18"/>
  <c r="Y74" i="16"/>
  <c r="Y63" i="16"/>
  <c r="Y57" i="16"/>
  <c r="Y51" i="16"/>
  <c r="Y65" i="16"/>
  <c r="R51" i="16"/>
  <c r="R44" i="16"/>
  <c r="Y44" i="16"/>
  <c r="R23" i="16"/>
  <c r="AL2" i="28"/>
  <c r="U2" i="18"/>
  <c r="Y23" i="16"/>
  <c r="BQ3" i="16" l="1"/>
  <c r="DB3" i="16"/>
  <c r="BS3" i="16"/>
  <c r="DD3" i="16"/>
  <c r="BP3" i="16"/>
  <c r="DA3" i="16"/>
  <c r="AQ17" i="16"/>
  <c r="CB17" i="16"/>
  <c r="BM3" i="16"/>
  <c r="CX3" i="16"/>
  <c r="AQ12" i="16"/>
  <c r="CB12" i="16"/>
  <c r="AQ7" i="16"/>
  <c r="CB7" i="16"/>
  <c r="AW3" i="16"/>
  <c r="CH3" i="16"/>
  <c r="BJ3" i="16"/>
  <c r="CU3" i="16"/>
  <c r="AQ15" i="16"/>
  <c r="CB15" i="16"/>
  <c r="AQ18" i="16"/>
  <c r="CB18" i="16"/>
  <c r="CB6" i="16"/>
  <c r="AQ6" i="16"/>
  <c r="AS3" i="16"/>
  <c r="CD3" i="16"/>
  <c r="BL3" i="16"/>
  <c r="CW3" i="16"/>
  <c r="AQ33" i="16"/>
  <c r="CB33" i="16"/>
  <c r="BW3" i="16"/>
  <c r="DH3" i="16"/>
  <c r="BO3" i="16"/>
  <c r="CZ3" i="16"/>
  <c r="AQ32" i="16"/>
  <c r="CB32" i="16"/>
  <c r="AQ10" i="16"/>
  <c r="CB10" i="16"/>
  <c r="AQ21" i="16"/>
  <c r="CB21" i="16"/>
  <c r="AQ13" i="16"/>
  <c r="CB13" i="16"/>
  <c r="BA3" i="16"/>
  <c r="CL3" i="16"/>
  <c r="AX3" i="16"/>
  <c r="CI3" i="16"/>
  <c r="AQ20" i="16"/>
  <c r="CB20" i="16"/>
  <c r="AT3" i="16"/>
  <c r="CE3" i="16"/>
  <c r="BU3" i="16"/>
  <c r="DF3" i="16"/>
  <c r="AQ44" i="16"/>
  <c r="CB44" i="16"/>
  <c r="AQ43" i="16"/>
  <c r="CB43" i="16"/>
  <c r="BI3" i="16"/>
  <c r="CT3" i="16"/>
  <c r="AQ41" i="16"/>
  <c r="CB41" i="16"/>
  <c r="AY3" i="16"/>
  <c r="CJ3" i="16"/>
  <c r="AQ11" i="16"/>
  <c r="CB11" i="16"/>
  <c r="AV3" i="16"/>
  <c r="CG3" i="16"/>
  <c r="CJ26" i="16"/>
  <c r="CL26" i="16" s="1"/>
  <c r="CR26" i="16" s="1"/>
  <c r="CZ26" i="16" s="1"/>
  <c r="DC26" i="16" s="1"/>
  <c r="DE26" i="16" s="1"/>
  <c r="AQ34" i="16"/>
  <c r="CB34" i="16"/>
  <c r="AQ14" i="16"/>
  <c r="CB14" i="16"/>
  <c r="AQ9" i="16"/>
  <c r="CB9" i="16"/>
  <c r="AQ35" i="16"/>
  <c r="CB35" i="16"/>
  <c r="BK3" i="16"/>
  <c r="CV3" i="16"/>
  <c r="BD3" i="16"/>
  <c r="CO3" i="16"/>
  <c r="AQ19" i="16"/>
  <c r="CB19" i="16"/>
  <c r="AQ42" i="16"/>
  <c r="CB42" i="16"/>
  <c r="AQ16" i="16"/>
  <c r="CB16" i="16"/>
  <c r="BF3" i="16"/>
  <c r="CQ3" i="16"/>
  <c r="AQ40" i="16"/>
  <c r="CB40" i="16"/>
  <c r="BN3" i="16"/>
  <c r="CY3" i="16"/>
  <c r="AQ22" i="16"/>
  <c r="CB22" i="16"/>
  <c r="BU4" i="16"/>
  <c r="DF4" i="16"/>
  <c r="AQ23" i="16"/>
  <c r="CB23" i="16"/>
  <c r="AQ8" i="16"/>
  <c r="CB8" i="16"/>
  <c r="CL29" i="16"/>
  <c r="CR29" i="16" s="1"/>
  <c r="CZ29" i="16" s="1"/>
  <c r="DC29" i="16" s="1"/>
  <c r="DE29" i="16" s="1"/>
  <c r="CJ65" i="16"/>
  <c r="CL65" i="16" s="1"/>
  <c r="CR65" i="16" s="1"/>
  <c r="CZ65" i="16" s="1"/>
  <c r="DC65" i="16" s="1"/>
  <c r="DE65" i="16" s="1"/>
  <c r="CJ44" i="16"/>
  <c r="CL44" i="16" s="1"/>
  <c r="CR44" i="16" s="1"/>
  <c r="CZ44" i="16" s="1"/>
  <c r="DC44" i="16" s="1"/>
  <c r="DE44" i="16" s="1"/>
  <c r="CJ23" i="16"/>
  <c r="CL23" i="16" s="1"/>
  <c r="CR23" i="16" s="1"/>
  <c r="CZ23" i="16" s="1"/>
  <c r="DC23" i="16" s="1"/>
  <c r="DE23" i="16" s="1"/>
  <c r="AY23" i="16"/>
  <c r="BA23" i="16" s="1"/>
  <c r="BG23" i="16" s="1"/>
  <c r="BO23" i="16" s="1"/>
  <c r="BR23" i="16" s="1"/>
  <c r="BT23" i="16" s="1"/>
  <c r="K57" i="16"/>
  <c r="K63" i="16"/>
  <c r="M63" i="16" s="1"/>
  <c r="S63" i="16" s="1"/>
  <c r="AA63" i="16" s="1"/>
  <c r="AD63" i="16" s="1"/>
  <c r="AF63" i="16" s="1"/>
  <c r="AY44" i="16"/>
  <c r="BA44" i="16" s="1"/>
  <c r="BG44" i="16" s="1"/>
  <c r="BO44" i="16" s="1"/>
  <c r="BR44" i="16" s="1"/>
  <c r="BT44" i="16" s="1"/>
  <c r="K23" i="16"/>
  <c r="M23" i="16" s="1"/>
  <c r="S23" i="16" s="1"/>
  <c r="AA23" i="16" s="1"/>
  <c r="AD23" i="16" s="1"/>
  <c r="AF23" i="16" s="1"/>
  <c r="BA7" i="16"/>
  <c r="BG7" i="16" s="1"/>
  <c r="BO7" i="16" s="1"/>
  <c r="BR7" i="16" s="1"/>
  <c r="BT7" i="16" s="1"/>
  <c r="K26" i="16"/>
  <c r="M26" i="16" s="1"/>
  <c r="S26" i="16" s="1"/>
  <c r="AA26" i="16" s="1"/>
  <c r="AD26" i="16" s="1"/>
  <c r="AF26" i="16" s="1"/>
  <c r="K65" i="16"/>
  <c r="M65" i="16" s="1"/>
  <c r="S65" i="16" s="1"/>
  <c r="AA65" i="16" s="1"/>
  <c r="AD65" i="16" s="1"/>
  <c r="AF65" i="16" s="1"/>
  <c r="K51" i="16"/>
  <c r="M51" i="16" s="1"/>
  <c r="S51" i="16" s="1"/>
  <c r="AA51" i="16" s="1"/>
  <c r="AD51" i="16" s="1"/>
  <c r="AF51" i="16" s="1"/>
  <c r="K74" i="16"/>
  <c r="M74" i="16" s="1"/>
  <c r="S74" i="16" s="1"/>
  <c r="AA74" i="16" s="1"/>
  <c r="AD74" i="16" s="1"/>
  <c r="AF74" i="16" s="1"/>
  <c r="K44" i="16"/>
  <c r="M44" i="16" s="1"/>
  <c r="S44" i="16" s="1"/>
  <c r="AA44" i="16" s="1"/>
  <c r="AD44" i="16" s="1"/>
  <c r="AF44" i="16" s="1"/>
  <c r="M13" i="16"/>
  <c r="S13" i="16" s="1"/>
  <c r="AA13" i="16" s="1"/>
  <c r="AD13" i="16" s="1"/>
  <c r="AF13" i="16" s="1"/>
  <c r="AA7" i="16"/>
  <c r="AD7" i="16" s="1"/>
  <c r="AF7" i="16" s="1"/>
  <c r="AA8" i="28"/>
  <c r="AD8" i="28" s="1"/>
  <c r="AF8" i="28" s="1"/>
  <c r="AA9" i="28"/>
  <c r="AD9" i="28" s="1"/>
  <c r="AF9" i="28" s="1"/>
  <c r="M57" i="16" l="1"/>
  <c r="S57" i="16" s="1"/>
  <c r="AA57" i="16" s="1"/>
  <c r="AD57" i="16" s="1"/>
  <c r="AF5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Van Uffelen</author>
    <author>VAN UFFELEN Luc</author>
  </authors>
  <commentList>
    <comment ref="AV3" authorId="0" shapeId="0" xr:uid="{00000000-0006-0000-0100-000002000000}">
      <text>
        <r>
          <rPr>
            <sz val="8"/>
            <color indexed="81"/>
            <rFont val="Tahoma"/>
            <family val="2"/>
          </rPr>
          <t>WK&amp;IK: premies (collar+prepayment), berekeningen ALM per einde maand
 (historiek in ...\Kredieten &amp; -verliezen\20yy\20yy salap\20yy salap WK.xlsx[Samenvatting-TKO_AddOn SAS]).</t>
        </r>
      </text>
    </comment>
    <comment ref="AW3" authorId="0" shapeId="0" xr:uid="{00000000-0006-0000-0100-000003000000}">
      <text>
        <r>
          <rPr>
            <sz val="8"/>
            <color indexed="81"/>
            <rFont val="Tahoma"/>
            <family val="2"/>
          </rPr>
          <t>WK&amp;IK: premies (collar+prepayment), berekeningen ALM per einde maand
 (historiek in ...\Kredieten &amp; -verliezen\20yy\20yy salap\20yy salap WK.xlsx[Samenvatting-TKO_AddOn SAS]).</t>
        </r>
      </text>
    </comment>
    <comment ref="N5" authorId="0" shapeId="0" xr:uid="{00000000-0006-0000-0100-000006000000}">
      <text>
        <r>
          <rPr>
            <sz val="8"/>
            <color indexed="81"/>
            <rFont val="Tahoma"/>
            <family val="2"/>
          </rPr>
          <t>WK: pipeline premie cfr. ALCO dd20131122, 
berekening dr ALM per einde kwartaal.</t>
        </r>
      </text>
    </comment>
    <comment ref="O5" authorId="0" shapeId="0" xr:uid="{00000000-0006-0000-0100-000007000000}">
      <text>
        <r>
          <rPr>
            <sz val="8"/>
            <color indexed="81"/>
            <rFont val="Tahoma"/>
            <family val="2"/>
          </rPr>
          <t>WK: premies (collar+prepayment), berekeningen ALM per einde maand
 (historiek in ...\K &amp; -V\Opties\Basismodel\OptiePremies ALM\OptiePremies ALM.xls[Annual Cost by ALM, SignRap].</t>
        </r>
      </text>
    </comment>
    <comment ref="P5" authorId="0" shapeId="0" xr:uid="{00000000-0006-0000-0100-000008000000}">
      <text>
        <r>
          <rPr>
            <sz val="8"/>
            <color indexed="81"/>
            <rFont val="Tahoma"/>
            <family val="2"/>
          </rPr>
          <t>IK prepay: 80% vd WK prepayment premies (cfr. ALCO van 20061027).</t>
        </r>
      </text>
    </comment>
    <comment ref="Q5" authorId="0" shapeId="0" xr:uid="{00000000-0006-0000-0100-000009000000}">
      <text>
        <r>
          <rPr>
            <sz val="8"/>
            <color indexed="81"/>
            <rFont val="Tahoma"/>
            <family val="2"/>
          </rPr>
          <t xml:space="preserve">verrekening wederbeleggingsvergoeding bij input NPR </t>
        </r>
      </text>
    </comment>
    <comment ref="AK7" authorId="1" shapeId="0" xr:uid="{00000000-0006-0000-0100-00000A000000}">
      <text>
        <r>
          <rPr>
            <sz val="8"/>
            <color indexed="81"/>
            <rFont val="Tahoma"/>
            <family val="2"/>
          </rPr>
          <t>New+Ext refin</t>
        </r>
      </text>
    </comment>
    <comment ref="P29" authorId="0" shapeId="0" xr:uid="{00000000-0006-0000-0100-00000B000000}">
      <text>
        <r>
          <rPr>
            <sz val="8"/>
            <color indexed="81"/>
            <rFont val="Tahoma"/>
            <family val="2"/>
          </rPr>
          <t>IK: upfront premies (prepayment) 
in relatie tot WK (80% van) 
(cfr. ALCO van 20061027)
van berekeningen ALM.</t>
        </r>
      </text>
    </comment>
    <comment ref="C68" authorId="1" shapeId="0" xr:uid="{00000000-0006-0000-0100-00000C000000}">
      <text>
        <r>
          <rPr>
            <sz val="8"/>
            <color indexed="81"/>
            <rFont val="Tahoma"/>
            <family val="2"/>
          </rPr>
          <t>dd20170313: één lijn voor PRODCODE 7210100/0500/0400</t>
        </r>
      </text>
    </comment>
    <comment ref="C69" authorId="1" shapeId="0" xr:uid="{00000000-0006-0000-0100-00000D000000}">
      <text>
        <r>
          <rPr>
            <sz val="8"/>
            <color indexed="81"/>
            <rFont val="Tahoma"/>
            <family val="2"/>
          </rPr>
          <t>dd20200120: één lijn voor PRODCODE 7212400/2500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UFFELEN Luc</author>
    <author>LucVU</author>
    <author>Sven Driessen</author>
  </authors>
  <commentList>
    <comment ref="T4" authorId="0" shapeId="0" xr:uid="{00000000-0006-0000-0200-000002000000}">
      <text>
        <r>
          <rPr>
            <sz val="8"/>
            <color indexed="81"/>
            <rFont val="Tahoma"/>
            <family val="2"/>
          </rPr>
          <t>invoer cijfer met SIGNRAP1811.xlsx</t>
        </r>
      </text>
    </comment>
    <comment ref="C7" authorId="1" shapeId="0" xr:uid="{00000000-0006-0000-0200-000005000000}">
      <text>
        <r>
          <rPr>
            <sz val="8"/>
            <color indexed="81"/>
            <rFont val="Tahoma"/>
            <family val="2"/>
          </rPr>
          <t>tarief ExtranetPro dd20200313</t>
        </r>
      </text>
    </comment>
    <comment ref="C8" authorId="1" shapeId="0" xr:uid="{00000000-0006-0000-0200-000006000000}">
      <text>
        <r>
          <rPr>
            <sz val="8"/>
            <color indexed="81"/>
            <rFont val="Tahoma"/>
            <family val="2"/>
          </rPr>
          <t>JKP-tarief dd20220613</t>
        </r>
      </text>
    </comment>
    <comment ref="D10" authorId="2" shapeId="0" xr:uid="{00000000-0006-0000-0200-000007000000}">
      <text>
        <r>
          <rPr>
            <b/>
            <sz val="8"/>
            <color indexed="81"/>
            <rFont val="Tahoma"/>
            <family val="2"/>
          </rPr>
          <t>' GEMIDDELD '</t>
        </r>
        <r>
          <rPr>
            <sz val="8"/>
            <color indexed="81"/>
            <rFont val="Tahoma"/>
            <family val="2"/>
          </rPr>
          <t>:
Anaplan,7.10 - Signaal vervanging LTP6 + fiscal:
laatste aanpassing: ER&amp;OR&amp;LP Mnd 202401</t>
        </r>
      </text>
    </comment>
    <comment ref="E10" authorId="2" shapeId="0" xr:uid="{8315B299-B78D-4479-B1EA-450B333BFB76}">
      <text>
        <r>
          <rPr>
            <b/>
            <sz val="8"/>
            <color indexed="81"/>
            <rFont val="Tahoma"/>
            <family val="2"/>
          </rPr>
          <t>' GEMIDDELD '</t>
        </r>
        <r>
          <rPr>
            <sz val="8"/>
            <color indexed="81"/>
            <rFont val="Tahoma"/>
            <family val="2"/>
          </rPr>
          <t>:
Anaplan,7.10 - Signaal vervanging LTP6 + fiscal:
laatste aanpassing: ER&amp;OR&amp;LP Mnd 202401</t>
        </r>
      </text>
    </comment>
    <comment ref="G10" authorId="2" shapeId="0" xr:uid="{2AB3FD31-C948-43FF-B8D7-C66E72549EFC}">
      <text>
        <r>
          <rPr>
            <b/>
            <sz val="8"/>
            <color indexed="81"/>
            <rFont val="Tahoma"/>
            <family val="2"/>
          </rPr>
          <t>' GEMIDDELD '</t>
        </r>
        <r>
          <rPr>
            <sz val="8"/>
            <color indexed="81"/>
            <rFont val="Tahoma"/>
            <family val="2"/>
          </rPr>
          <t>:
Anaplan,7.10 - Signaal vervanging LTP6 + fiscal:
laatste aanpassing: ER&amp;OR&amp;LP Mnd 202401</t>
        </r>
      </text>
    </comment>
    <comment ref="D15" authorId="2" shapeId="0" xr:uid="{00000000-0006-0000-0200-00000E000000}">
      <text>
        <r>
          <rPr>
            <b/>
            <sz val="8"/>
            <color indexed="81"/>
            <rFont val="Tahoma"/>
            <family val="2"/>
          </rPr>
          <t>' MARGINAAL '</t>
        </r>
        <r>
          <rPr>
            <sz val="8"/>
            <color indexed="81"/>
            <rFont val="Tahoma"/>
            <family val="2"/>
          </rPr>
          <t>:
laatst bekende tarief basis + 
aandeel laatst bekende tarief getrouwheid</t>
        </r>
      </text>
    </comment>
    <comment ref="D16" authorId="2" shapeId="0" xr:uid="{FF224883-92E9-420D-805F-EEC86436C45F}">
      <text>
        <r>
          <rPr>
            <b/>
            <sz val="8"/>
            <color indexed="81"/>
            <rFont val="Tahoma"/>
            <family val="2"/>
          </rPr>
          <t>' GEMIDDELD '</t>
        </r>
        <r>
          <rPr>
            <sz val="8"/>
            <color indexed="81"/>
            <rFont val="Tahoma"/>
            <family val="2"/>
          </rPr>
          <t>:
Anaplan,7.10 - Signaal vervanging LTP6 + fiscal:
laatste aanpassing: ER&amp;OR&amp;LP Mnd 202401</t>
        </r>
      </text>
    </comment>
    <comment ref="E16" authorId="2" shapeId="0" xr:uid="{A62AFE1C-2547-429C-9704-DB3DD837A701}">
      <text>
        <r>
          <rPr>
            <b/>
            <sz val="8"/>
            <color indexed="81"/>
            <rFont val="Tahoma"/>
            <family val="2"/>
          </rPr>
          <t>' GEMIDDELD '</t>
        </r>
        <r>
          <rPr>
            <sz val="8"/>
            <color indexed="81"/>
            <rFont val="Tahoma"/>
            <family val="2"/>
          </rPr>
          <t>:
Anaplan,7.10 - Signaal vervanging LTP6 + fiscal:
laatste aanpassing: ER&amp;OR&amp;LP Mnd 202401</t>
        </r>
      </text>
    </comment>
    <comment ref="G16" authorId="2" shapeId="0" xr:uid="{75125EBB-7C68-48F1-B706-FE1B5B8A16E8}">
      <text>
        <r>
          <rPr>
            <b/>
            <sz val="8"/>
            <color indexed="81"/>
            <rFont val="Tahoma"/>
            <family val="2"/>
          </rPr>
          <t>' GEMIDDELD '</t>
        </r>
        <r>
          <rPr>
            <sz val="8"/>
            <color indexed="81"/>
            <rFont val="Tahoma"/>
            <family val="2"/>
          </rPr>
          <t>:
Anaplan,7.10 - Signaal vervanging LTP6 + fiscal:
laatste aanpassing: ER&amp;OR&amp;LP Mnd 202401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 UFFELEN Luc</author>
    <author>Luc Van Uffelen</author>
  </authors>
  <commentList>
    <comment ref="A1" authorId="0" shapeId="0" xr:uid="{AD84243F-E970-4819-8BEA-7DFE7FDD3CEF}">
      <text>
        <r>
          <rPr>
            <b/>
            <sz val="9"/>
            <color indexed="81"/>
            <rFont val="Tahoma"/>
            <family val="2"/>
          </rPr>
          <t>VAN UFFELEN Luc: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1" shapeId="0" xr:uid="{00000000-0006-0000-0500-000001000000}">
      <text>
        <r>
          <rPr>
            <sz val="8"/>
            <color indexed="81"/>
            <rFont val="Tahoma"/>
            <family val="2"/>
          </rPr>
          <t>invoer vanaf 04/12/2002
van referentietarieven
(op wekelijkse basis)</t>
        </r>
      </text>
    </comment>
    <comment ref="AK7" authorId="0" shapeId="0" xr:uid="{00000000-0006-0000-0500-000002000000}">
      <text>
        <r>
          <rPr>
            <sz val="8"/>
            <color indexed="81"/>
            <rFont val="Tahoma"/>
            <family val="2"/>
          </rPr>
          <t>New+Ext refin</t>
        </r>
      </text>
    </comment>
  </commentList>
</comments>
</file>

<file path=xl/sharedStrings.xml><?xml version="1.0" encoding="utf-8"?>
<sst xmlns="http://schemas.openxmlformats.org/spreadsheetml/2006/main" count="894" uniqueCount="415">
  <si>
    <t>Datum</t>
  </si>
  <si>
    <t>WEEK</t>
  </si>
  <si>
    <t>O/N</t>
  </si>
  <si>
    <t>looptijd</t>
  </si>
  <si>
    <t>%</t>
  </si>
  <si>
    <t>Kaskrediet (encours)</t>
  </si>
  <si>
    <t>Giro - (incl. bijprodukten)</t>
  </si>
  <si>
    <t xml:space="preserve">TR 1 maand </t>
  </si>
  <si>
    <t xml:space="preserve">TR 3 maanden </t>
  </si>
  <si>
    <t>TR 6 maanden</t>
  </si>
  <si>
    <t>Doel 2 jaar</t>
  </si>
  <si>
    <t>PRODUCT</t>
  </si>
  <si>
    <t>RTV0001</t>
  </si>
  <si>
    <t>RTV0002</t>
  </si>
  <si>
    <t>RTV0003</t>
  </si>
  <si>
    <t>RTV0004</t>
  </si>
  <si>
    <t>RTV0005</t>
  </si>
  <si>
    <t>RTV0006</t>
  </si>
  <si>
    <t>RTV0007</t>
  </si>
  <si>
    <t>RTV0008</t>
  </si>
  <si>
    <t>RTV0009</t>
  </si>
  <si>
    <t>RTV0010</t>
  </si>
  <si>
    <t>RTV0011</t>
  </si>
  <si>
    <t>RTV0012</t>
  </si>
  <si>
    <t>RTV0013</t>
  </si>
  <si>
    <t>RTV0014</t>
  </si>
  <si>
    <t>RTV0015</t>
  </si>
  <si>
    <t>RTV0016</t>
  </si>
  <si>
    <t>RTV0017</t>
  </si>
  <si>
    <t>RTV0018</t>
  </si>
  <si>
    <t>RTV0019</t>
  </si>
  <si>
    <t>RTV0020</t>
  </si>
  <si>
    <t>RTV0021</t>
  </si>
  <si>
    <t>RTV0022</t>
  </si>
  <si>
    <t>RTV0023</t>
  </si>
  <si>
    <t>RTV0024</t>
  </si>
  <si>
    <t>RTV0025</t>
  </si>
  <si>
    <t>RTV0026</t>
  </si>
  <si>
    <t>RTV0027</t>
  </si>
  <si>
    <t>RTV0028</t>
  </si>
  <si>
    <t>RTV0029</t>
  </si>
  <si>
    <t>RTV0030</t>
  </si>
  <si>
    <t>RTV0031</t>
  </si>
  <si>
    <t>RTV0032</t>
  </si>
  <si>
    <t>RTV0033</t>
  </si>
  <si>
    <t>RTV0034</t>
  </si>
  <si>
    <t>RTV0035</t>
  </si>
  <si>
    <t>RTV0036</t>
  </si>
  <si>
    <t>RTV0037</t>
  </si>
  <si>
    <t>RTV0038</t>
  </si>
  <si>
    <t>RTV0039</t>
  </si>
  <si>
    <t>RTV0040</t>
  </si>
  <si>
    <t>RTV0041</t>
  </si>
  <si>
    <t>RTV0042</t>
  </si>
  <si>
    <t>RTV0043</t>
  </si>
  <si>
    <t>RTV0044</t>
  </si>
  <si>
    <t>RTV0045</t>
  </si>
  <si>
    <t>bedrag</t>
  </si>
  <si>
    <t>29 JR</t>
  </si>
  <si>
    <t>30 JR</t>
  </si>
  <si>
    <t>1 JR</t>
  </si>
  <si>
    <t>2 JR</t>
  </si>
  <si>
    <t>3 JR</t>
  </si>
  <si>
    <t>4 JR</t>
  </si>
  <si>
    <t>5 JR</t>
  </si>
  <si>
    <t>6 JR</t>
  </si>
  <si>
    <t>7 JR</t>
  </si>
  <si>
    <t>8 JR</t>
  </si>
  <si>
    <t>9 JR</t>
  </si>
  <si>
    <t>10 JR</t>
  </si>
  <si>
    <t>11 JR</t>
  </si>
  <si>
    <t>12 JR</t>
  </si>
  <si>
    <t>13 JR</t>
  </si>
  <si>
    <t>14 JR</t>
  </si>
  <si>
    <t>15 JR</t>
  </si>
  <si>
    <t>16 JR</t>
  </si>
  <si>
    <t>17 JR</t>
  </si>
  <si>
    <t>18 JR</t>
  </si>
  <si>
    <t>19 JR</t>
  </si>
  <si>
    <t>20 JR</t>
  </si>
  <si>
    <t>21 JR</t>
  </si>
  <si>
    <t>22 JR</t>
  </si>
  <si>
    <t>23 JR</t>
  </si>
  <si>
    <t>24 JR</t>
  </si>
  <si>
    <t>25 JR</t>
  </si>
  <si>
    <t>26 JR</t>
  </si>
  <si>
    <t>27 JR</t>
  </si>
  <si>
    <t>28 JR</t>
  </si>
  <si>
    <t>2 WK</t>
  </si>
  <si>
    <t>1 WK</t>
  </si>
  <si>
    <t>T/N</t>
  </si>
  <si>
    <t>2 MD</t>
  </si>
  <si>
    <t>3 MD</t>
  </si>
  <si>
    <t>4 MD</t>
  </si>
  <si>
    <t>5 MD</t>
  </si>
  <si>
    <t>6 MD</t>
  </si>
  <si>
    <t>7 MD</t>
  </si>
  <si>
    <t>8 MD</t>
  </si>
  <si>
    <t>9 MD</t>
  </si>
  <si>
    <t>10 MD</t>
  </si>
  <si>
    <t>11 MD</t>
  </si>
  <si>
    <t>1 MD</t>
  </si>
  <si>
    <t>Achtergesteld Certificaat 8j</t>
  </si>
  <si>
    <t>Achtergesteld Certificaat 10j</t>
  </si>
  <si>
    <t>Achtergesteld Cert.10j PERPETUAL</t>
  </si>
  <si>
    <t>SIGNAALRAPPORT : Opportuniteitsrentes</t>
  </si>
  <si>
    <t>collar</t>
  </si>
  <si>
    <t>na</t>
  </si>
  <si>
    <t>prepay</t>
  </si>
  <si>
    <t>in mnd</t>
  </si>
  <si>
    <t>in EUR</t>
  </si>
  <si>
    <t>SIGNAALRAPPORT : Passiva</t>
  </si>
  <si>
    <t>Enkel voor intern gebruik</t>
  </si>
  <si>
    <t>Destiné à usage interne uniquement</t>
  </si>
  <si>
    <t>income</t>
  </si>
  <si>
    <t>kosten</t>
  </si>
  <si>
    <t>tioneel</t>
  </si>
  <si>
    <t>kapitaal</t>
  </si>
  <si>
    <t>fee</t>
  </si>
  <si>
    <t>wbv NPR</t>
  </si>
  <si>
    <t>&amp; wbv NPR</t>
  </si>
  <si>
    <t>Sicav (RentaClick 21)</t>
  </si>
  <si>
    <t>aandeel</t>
  </si>
  <si>
    <t>k_vgd</t>
  </si>
  <si>
    <t/>
  </si>
  <si>
    <t>WK 10 jaar vast Bullet</t>
  </si>
  <si>
    <t>WK 15 jaar vast Bullet</t>
  </si>
  <si>
    <t>WK 20 jaar vast Bullet</t>
  </si>
  <si>
    <t>Nederlands</t>
  </si>
  <si>
    <t>Français</t>
  </si>
  <si>
    <t>English</t>
  </si>
  <si>
    <t>Only used for internal purposes</t>
  </si>
  <si>
    <t>SIGNAALRAPPORT : Crédits</t>
  </si>
  <si>
    <t>SIGNAALRAPPORT : Loans</t>
  </si>
  <si>
    <t>Woonkredieten</t>
  </si>
  <si>
    <t>Crédit-logement</t>
  </si>
  <si>
    <t>Mortgages</t>
  </si>
  <si>
    <t>WK</t>
  </si>
  <si>
    <t>CL</t>
  </si>
  <si>
    <t>Mtg</t>
  </si>
  <si>
    <t>Bedrijfsfinancieringen</t>
  </si>
  <si>
    <t>Financement-Bizness</t>
  </si>
  <si>
    <t>Financing Loans</t>
  </si>
  <si>
    <t>Lening op afbetaling</t>
  </si>
  <si>
    <t>Prêt à tempérament</t>
  </si>
  <si>
    <t>Consumer Loans</t>
  </si>
  <si>
    <t>PaT : energy@home</t>
  </si>
  <si>
    <t>CL : energy@home</t>
  </si>
  <si>
    <t>LoA : Classic</t>
  </si>
  <si>
    <t>PaT : Classic</t>
  </si>
  <si>
    <t>CL : Classic</t>
  </si>
  <si>
    <t xml:space="preserve"> Totaal: brutomarges gewogen met %aandeel</t>
  </si>
  <si>
    <t xml:space="preserve"> Total: marges brutes pondérées par les quote-parts</t>
  </si>
  <si>
    <t xml:space="preserve"> Total: share weighted gross margin</t>
  </si>
  <si>
    <t>coûts</t>
  </si>
  <si>
    <t>tionels</t>
  </si>
  <si>
    <t>tions</t>
  </si>
  <si>
    <t>capital</t>
  </si>
  <si>
    <t>quote-part</t>
  </si>
  <si>
    <t>share</t>
  </si>
  <si>
    <t>gemidd.</t>
  </si>
  <si>
    <t>moyenne</t>
  </si>
  <si>
    <t>average</t>
  </si>
  <si>
    <t>durée</t>
  </si>
  <si>
    <t>period</t>
  </si>
  <si>
    <t>montant</t>
  </si>
  <si>
    <t>amount</t>
  </si>
  <si>
    <t>en mois</t>
  </si>
  <si>
    <t>in mos.</t>
  </si>
  <si>
    <t>input :</t>
  </si>
  <si>
    <t>ans fixe</t>
  </si>
  <si>
    <t>jaar vast</t>
  </si>
  <si>
    <t>years fixed</t>
  </si>
  <si>
    <t xml:space="preserve"> Onroerend</t>
  </si>
  <si>
    <t xml:space="preserve"> Roerend</t>
  </si>
  <si>
    <t xml:space="preserve"> Mobilier</t>
  </si>
  <si>
    <t xml:space="preserve"> Immobilier</t>
  </si>
  <si>
    <t xml:space="preserve"> Estate</t>
  </si>
  <si>
    <t xml:space="preserve"> Other</t>
  </si>
  <si>
    <t>LoA</t>
  </si>
  <si>
    <t>PaT</t>
  </si>
  <si>
    <t>tarief klant act</t>
  </si>
  <si>
    <t>taux client act</t>
  </si>
  <si>
    <t>tariff client act</t>
  </si>
  <si>
    <t>tarief klant nom</t>
  </si>
  <si>
    <t>taux client nom</t>
  </si>
  <si>
    <t>tariff client nom</t>
  </si>
  <si>
    <t>tarief funding nom</t>
  </si>
  <si>
    <t>taux funding nom</t>
  </si>
  <si>
    <t>tariff funding nom</t>
  </si>
  <si>
    <t>con-cessie</t>
  </si>
  <si>
    <t>con-cession</t>
  </si>
  <si>
    <t>bruto marge</t>
  </si>
  <si>
    <t>marge brute</t>
  </si>
  <si>
    <t>gross margin</t>
  </si>
  <si>
    <t>com-missie</t>
  </si>
  <si>
    <t>com-mission</t>
  </si>
  <si>
    <t>kosten opties</t>
  </si>
  <si>
    <t>coûts options</t>
  </si>
  <si>
    <t>exp options</t>
  </si>
  <si>
    <t>marge vóór kosten</t>
  </si>
  <si>
    <t>marge avant coûts</t>
  </si>
  <si>
    <t>margin before exp</t>
  </si>
  <si>
    <t>exp</t>
  </si>
  <si>
    <t>netto marge</t>
  </si>
  <si>
    <t>marge nette</t>
  </si>
  <si>
    <t>net margin</t>
  </si>
  <si>
    <t>SIGNAALRAPPORT : Kredieten</t>
  </si>
  <si>
    <t>krediet-verlies</t>
  </si>
  <si>
    <t>sinis-tralité</t>
  </si>
  <si>
    <t>loan loss</t>
  </si>
  <si>
    <t>ActLangListValue</t>
  </si>
  <si>
    <t>ActLangList</t>
  </si>
  <si>
    <t>ActLangID :</t>
  </si>
  <si>
    <t>PasLangID :</t>
  </si>
  <si>
    <t>PasLangList</t>
  </si>
  <si>
    <t>PasLangListValue</t>
  </si>
  <si>
    <t>SIGNAALRAPPORT : Saving Products</t>
  </si>
  <si>
    <t>Overdraft (encours)</t>
  </si>
  <si>
    <t>Term accounts</t>
  </si>
  <si>
    <t>Certificates of deposit</t>
  </si>
  <si>
    <t>Subordinated certificates</t>
  </si>
  <si>
    <t>Sicav</t>
  </si>
  <si>
    <t>Eurobonds</t>
  </si>
  <si>
    <t>Gov.bonds</t>
  </si>
  <si>
    <t>Current accounts - (incl. related products)</t>
  </si>
  <si>
    <t>Termijnrekeningen</t>
  </si>
  <si>
    <t>Kasbons</t>
  </si>
  <si>
    <t>Achtergestelde certificaten</t>
  </si>
  <si>
    <t>Compte à terme</t>
  </si>
  <si>
    <t>Compte à but 2ans</t>
  </si>
  <si>
    <t>Bons de caisse</t>
  </si>
  <si>
    <t>Certificat subordonné</t>
  </si>
  <si>
    <t>Cert.Sub. 8ans</t>
  </si>
  <si>
    <t>Cert.Sub. 10ans</t>
  </si>
  <si>
    <t>Cert.Sub. 10ans PERPETUAL</t>
  </si>
  <si>
    <t>Sub.Cert.8y</t>
  </si>
  <si>
    <t>Sub.Cert.10y</t>
  </si>
  <si>
    <t>Sub.Cert.10y PERPETUAL</t>
  </si>
  <si>
    <t>Compte à vue - (incl.autres services)</t>
  </si>
  <si>
    <t>Crédit de caisse (encours)</t>
  </si>
  <si>
    <t>Term 1 mo.</t>
  </si>
  <si>
    <t>Term 3 mos.</t>
  </si>
  <si>
    <t>Term 6 mos.</t>
  </si>
  <si>
    <t>Terme 1 mois</t>
  </si>
  <si>
    <t>Terme 3 mois</t>
  </si>
  <si>
    <t>Terme 6 mois</t>
  </si>
  <si>
    <t>Bons d'Etat</t>
  </si>
  <si>
    <t>Euro-obligations</t>
  </si>
  <si>
    <t>taux funding act</t>
  </si>
  <si>
    <t>tariff funding act</t>
  </si>
  <si>
    <t>Term scheme 2y</t>
  </si>
  <si>
    <t>Vlotte Rekeningen (marginaal)</t>
  </si>
  <si>
    <t>SpaarPlus (marginaal)</t>
  </si>
  <si>
    <t>Compte d'épargne (marginal)</t>
  </si>
  <si>
    <t>EpargnePlus (marginal)</t>
  </si>
  <si>
    <t>Deposit Accounts (marginal)</t>
  </si>
  <si>
    <t>SpaarPlus (marginal)</t>
  </si>
  <si>
    <t>commissie</t>
  </si>
  <si>
    <t>commission</t>
  </si>
  <si>
    <t>basis</t>
  </si>
  <si>
    <t>aangroei</t>
  </si>
  <si>
    <t>growth</t>
  </si>
  <si>
    <t>croissance</t>
  </si>
  <si>
    <t>encours</t>
  </si>
  <si>
    <t>Kosten en provisies worden over de volledige looptijd van het krediettype gespreid.</t>
  </si>
  <si>
    <t>OAS</t>
  </si>
  <si>
    <t>bruto na</t>
  </si>
  <si>
    <t>brute après</t>
  </si>
  <si>
    <t>gross after</t>
  </si>
  <si>
    <t>TR 1 jaar</t>
  </si>
  <si>
    <t>TR 3 jaar</t>
  </si>
  <si>
    <t>TR 5 jaar</t>
  </si>
  <si>
    <t>Terme 1 an</t>
  </si>
  <si>
    <t>Terme 3 ans</t>
  </si>
  <si>
    <t>Terme 5 ans</t>
  </si>
  <si>
    <t>Term 1 year</t>
  </si>
  <si>
    <t>Term 3 years</t>
  </si>
  <si>
    <t>Term 5 years</t>
  </si>
  <si>
    <t>netto na</t>
  </si>
  <si>
    <t>nette après</t>
  </si>
  <si>
    <t>net after</t>
  </si>
  <si>
    <t xml:space="preserve">Euro-obligaties, gespreid over </t>
  </si>
  <si>
    <t xml:space="preserve">Staatsbon, gespreid over </t>
  </si>
  <si>
    <t>nvt</t>
  </si>
  <si>
    <t>TR 7 jaar</t>
  </si>
  <si>
    <t>Terme 7 ans</t>
  </si>
  <si>
    <t>Term 7 years</t>
  </si>
  <si>
    <t>TR 10 jaar</t>
  </si>
  <si>
    <t>Terme 10 ans</t>
  </si>
  <si>
    <t>Term 10 years</t>
  </si>
  <si>
    <t>(*) Tarief klant en funding is het gemiddelde op portefeuille van de vorige maand (maandcijfer).</t>
  </si>
  <si>
    <t>Vlotte Rekeningen (gemiddeld)(*)</t>
  </si>
  <si>
    <t>Compte d'épargne (moyenne)(*)</t>
  </si>
  <si>
    <t>Deposit Accounts (average)(*)</t>
  </si>
  <si>
    <t>(*) Taux client et funding sont la moyenne du portefeuille du mois passé (un chiffre mensuel).</t>
  </si>
  <si>
    <t>(*) Tariff and funding are the last month's portfolio average (a monthly number).</t>
  </si>
  <si>
    <t>TR 2 jaar</t>
  </si>
  <si>
    <t>liquidity
premium</t>
  </si>
  <si>
    <t>LP</t>
  </si>
  <si>
    <t>tarief klant</t>
  </si>
  <si>
    <t>tarief funding</t>
  </si>
  <si>
    <t>TR 3,5 jaar</t>
  </si>
  <si>
    <t>Terme 3,5 ans</t>
  </si>
  <si>
    <t>Term 3,5 years</t>
  </si>
  <si>
    <t>TR 6 jaar</t>
  </si>
  <si>
    <t>Terme 6 ans</t>
  </si>
  <si>
    <t>Term 6 years</t>
  </si>
  <si>
    <t>pipeline</t>
  </si>
  <si>
    <t>Terme 2 ans</t>
  </si>
  <si>
    <t>Term 2 years</t>
  </si>
  <si>
    <t>jaar</t>
  </si>
  <si>
    <t>ans</t>
  </si>
  <si>
    <t>years</t>
  </si>
  <si>
    <t>incl</t>
  </si>
  <si>
    <t>LoA : immo-aankoop en renovatie</t>
  </si>
  <si>
    <t>LoA : immo-energy@home</t>
  </si>
  <si>
    <t>PaT : achat et rénovation</t>
  </si>
  <si>
    <t>CL : estate &amp; renovation</t>
  </si>
  <si>
    <t>Car4Pro</t>
  </si>
  <si>
    <t>Termijn &lt;= 5jr</t>
  </si>
  <si>
    <t>Loan Term &lt;= 5y</t>
  </si>
  <si>
    <t>Durée &lt;= 5ans</t>
  </si>
  <si>
    <t>Termijn &gt; 5jr</t>
  </si>
  <si>
    <t>Durée &gt; 5ans</t>
  </si>
  <si>
    <t>Loan Term &gt; 5y</t>
  </si>
  <si>
    <t>Capital4Pro</t>
  </si>
  <si>
    <t>Immo4Pro Private</t>
  </si>
  <si>
    <t>Immo4Pro Professional</t>
  </si>
  <si>
    <t>Equipment4Pro</t>
  </si>
  <si>
    <t>Immo/Equi4Pro</t>
  </si>
  <si>
    <t>Car/Cap4Pro</t>
  </si>
  <si>
    <t>Taxes</t>
  </si>
  <si>
    <t>PK</t>
  </si>
  <si>
    <t>CP</t>
  </si>
  <si>
    <t>PC</t>
  </si>
  <si>
    <t>---</t>
  </si>
  <si>
    <t>commerciële marge vóór kosten</t>
  </si>
  <si>
    <t>commercial margin before exp</t>
  </si>
  <si>
    <t>marge commerciale avant coûts</t>
  </si>
  <si>
    <t>Overbruggingskrediet</t>
  </si>
  <si>
    <t>Crédit-Pont</t>
  </si>
  <si>
    <t>Bridging Loans</t>
  </si>
  <si>
    <t xml:space="preserve"> brutomarges gewogen met %aandeel</t>
  </si>
  <si>
    <t xml:space="preserve"> marges brutes pondérées par les quote-parts</t>
  </si>
  <si>
    <t xml:space="preserve"> share weighted gross margin</t>
  </si>
  <si>
    <t>daily banking</t>
  </si>
  <si>
    <t>save stock</t>
  </si>
  <si>
    <t xml:space="preserve">save attraction </t>
  </si>
  <si>
    <t>client</t>
  </si>
  <si>
    <t>strategic budget</t>
  </si>
  <si>
    <t>outside scheme</t>
  </si>
  <si>
    <t>FE</t>
  </si>
  <si>
    <t>strategic</t>
  </si>
  <si>
    <t>outside</t>
  </si>
  <si>
    <t xml:space="preserve"> (marginaal)</t>
  </si>
  <si>
    <t xml:space="preserve"> (marginal)</t>
  </si>
  <si>
    <t xml:space="preserve"> (gemiddeld)(*)</t>
  </si>
  <si>
    <t xml:space="preserve"> (moyenne)(*)</t>
  </si>
  <si>
    <t xml:space="preserve"> (average)(*)</t>
  </si>
  <si>
    <t>I-Plus</t>
  </si>
  <si>
    <t>St@rt2Bank</t>
  </si>
  <si>
    <t>St@rt2B Fidelity</t>
  </si>
  <si>
    <t>Notarisrekeningen</t>
  </si>
  <si>
    <t>Compte rubriqué</t>
  </si>
  <si>
    <t>Notary accounts</t>
  </si>
  <si>
    <t>Giro + (incl. bijprod.)</t>
  </si>
  <si>
    <t>Compte à vue + (incl.autres services)</t>
  </si>
  <si>
    <t>Current accounts + (incl. related products)</t>
  </si>
  <si>
    <t>TKO AddOn funding</t>
  </si>
  <si>
    <t>ResVrgd TKO</t>
  </si>
  <si>
    <t>Indemnité TKO</t>
  </si>
  <si>
    <t>Indemnity TKO</t>
  </si>
  <si>
    <t>aandeel TKO</t>
  </si>
  <si>
    <t>Voertuigen &lt;= 3jr</t>
  </si>
  <si>
    <t>Véhicules &lt;= 3ans</t>
  </si>
  <si>
    <t>Cars &lt;= 3y</t>
  </si>
  <si>
    <t>Voertuigen &gt; 3jr</t>
  </si>
  <si>
    <t>Véhicules &gt; 3ans</t>
  </si>
  <si>
    <t>Cars &gt; 3y</t>
  </si>
  <si>
    <t>LoA : moto en occasies &lt;= 3jr</t>
  </si>
  <si>
    <t>LoA : voertuigen &lt;= 3jr</t>
  </si>
  <si>
    <t>LoA : occasiewagens &gt; 3jr</t>
  </si>
  <si>
    <t>PaT : véhicules récents &lt;= 3ans</t>
  </si>
  <si>
    <t>PaT : véhicules &lt;= 3ans</t>
  </si>
  <si>
    <t>PaT : véhicules d'occasion &gt; 3ans</t>
  </si>
  <si>
    <t>CL : 2hand cars &lt;= 3y</t>
  </si>
  <si>
    <t>CL : cars &lt;= 3y</t>
  </si>
  <si>
    <t>CL : 2hand cars &gt; 3y</t>
  </si>
  <si>
    <t>LoA : ECO Vtg &lt;= 3jr</t>
  </si>
  <si>
    <t>PaT : EVO véhicules &lt;= 3ans</t>
  </si>
  <si>
    <t>CL : ECO cars &lt;= 3y</t>
  </si>
  <si>
    <t>Direct</t>
  </si>
  <si>
    <t>-</t>
  </si>
  <si>
    <t>acq</t>
  </si>
  <si>
    <t>admin</t>
  </si>
  <si>
    <t>Indirect</t>
  </si>
  <si>
    <t>SNM</t>
  </si>
  <si>
    <t>Net 
Margin</t>
  </si>
  <si>
    <t>TR 4 jaar</t>
  </si>
  <si>
    <t>Terme 4 ans</t>
  </si>
  <si>
    <t>Term 4 years</t>
  </si>
  <si>
    <t>TR 8 jaar</t>
  </si>
  <si>
    <t>Terme 8 ans</t>
  </si>
  <si>
    <t>Term 8 years</t>
  </si>
  <si>
    <t>TR 9 jaar</t>
  </si>
  <si>
    <t>Terme 9 ans</t>
  </si>
  <si>
    <t>Term 9 years</t>
  </si>
  <si>
    <t>TR 3 mnd</t>
  </si>
  <si>
    <t>TR 6 mnd</t>
  </si>
  <si>
    <t>Term 3 months</t>
  </si>
  <si>
    <t>Term 6 months</t>
  </si>
  <si>
    <t>St@rt2B Fidelity Plus</t>
  </si>
  <si>
    <t>2023/08-11</t>
  </si>
  <si>
    <t>wk18-21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</si>
</sst>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_ * #,##0.00_ ;_ * \-#,##0.00_ ;_ * &quot;-&quot;??_ ;_ @_ "/>
    <numFmt numFmtId="166" formatCode="dd/mm/yy_)"/>
    <numFmt numFmtId="167" formatCode="0.00_)"/>
    <numFmt numFmtId="168" formatCode="mmm\-yy_)"/>
    <numFmt numFmtId="169" formatCode="0.0000"/>
    <numFmt numFmtId="170" formatCode="0.000"/>
    <numFmt numFmtId="171" formatCode="0.00;\(0.00\)"/>
    <numFmt numFmtId="172" formatCode="\+0.00;\-0.00"/>
    <numFmt numFmtId="173" formatCode="\+0.00;[Red]\-0.00"/>
    <numFmt numFmtId="174" formatCode="00"/>
    <numFmt numFmtId="175" formatCode="\+0.00000;\-0.00000"/>
    <numFmt numFmtId="176" formatCode="0.00_ ;\-0.00\ "/>
  </numFmts>
  <fonts count="5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i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55"/>
      <name val="Arial"/>
      <family val="2"/>
    </font>
    <font>
      <sz val="10"/>
      <name val="Tahoma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8"/>
      <name val="Arial CYR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i/>
      <sz val="10"/>
      <name val="Arial"/>
      <family val="2"/>
    </font>
    <font>
      <b/>
      <sz val="8"/>
      <color indexed="81"/>
      <name val="Tahoma"/>
      <family val="2"/>
    </font>
    <font>
      <strike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sz val="10"/>
      <color rgb="FF0000FF"/>
      <name val="Calibri"/>
      <family val="2"/>
    </font>
    <font>
      <sz val="10"/>
      <color rgb="FF0000FF"/>
      <name val="Arial"/>
      <family val="2"/>
    </font>
    <font>
      <strike/>
      <sz val="10"/>
      <name val="Arial"/>
      <family val="2"/>
      <charset val="204"/>
    </font>
    <font>
      <b/>
      <sz val="10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10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auto="1"/>
      </right>
      <top/>
      <bottom style="thin">
        <color indexed="8"/>
      </bottom>
      <diagonal/>
    </border>
  </borders>
  <cellStyleXfs count="47">
    <xf numFmtId="0" fontId="0" fillId="0" borderId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2" borderId="0" applyNumberFormat="0" applyBorder="0" applyAlignment="0" applyProtection="0"/>
    <xf numFmtId="0" fontId="21" fillId="13" borderId="0" applyNumberFormat="0" applyBorder="0" applyAlignment="0" applyProtection="0"/>
    <xf numFmtId="0" fontId="22" fillId="15" borderId="0" applyNumberFormat="0" applyBorder="0" applyAlignment="0" applyProtection="0"/>
    <xf numFmtId="0" fontId="22" fillId="3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2" fillId="21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4" borderId="0" applyNumberFormat="0" applyBorder="0" applyAlignment="0" applyProtection="0"/>
    <xf numFmtId="0" fontId="23" fillId="5" borderId="1" applyNumberFormat="0" applyAlignment="0" applyProtection="0"/>
    <xf numFmtId="0" fontId="24" fillId="23" borderId="4" applyNumberFormat="0" applyAlignment="0" applyProtection="0"/>
    <xf numFmtId="0" fontId="25" fillId="23" borderId="1" applyNumberFormat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8" applyNumberFormat="0" applyFill="0" applyAlignment="0" applyProtection="0"/>
    <xf numFmtId="0" fontId="30" fillId="20" borderId="2" applyNumberFormat="0" applyAlignment="0" applyProtection="0"/>
    <xf numFmtId="0" fontId="31" fillId="0" borderId="0" applyNumberFormat="0" applyFill="0" applyBorder="0" applyAlignment="0" applyProtection="0"/>
    <xf numFmtId="0" fontId="32" fillId="11" borderId="0" applyNumberFormat="0" applyBorder="0" applyAlignment="0" applyProtection="0"/>
    <xf numFmtId="0" fontId="33" fillId="0" borderId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4" borderId="3" applyNumberFormat="0" applyFont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9" fillId="9" borderId="0" applyNumberFormat="0" applyBorder="0" applyAlignment="0" applyProtection="0"/>
    <xf numFmtId="165" fontId="45" fillId="0" borderId="0" applyFont="0" applyFill="0" applyBorder="0" applyAlignment="0" applyProtection="0"/>
    <xf numFmtId="0" fontId="2" fillId="0" borderId="0"/>
  </cellStyleXfs>
  <cellXfs count="501">
    <xf numFmtId="0" fontId="0" fillId="0" borderId="0" xfId="0"/>
    <xf numFmtId="0" fontId="7" fillId="0" borderId="0" xfId="0" applyFont="1" applyFill="1" applyAlignment="1"/>
    <xf numFmtId="3" fontId="5" fillId="0" borderId="0" xfId="19" applyNumberFormat="1" applyFont="1" applyFill="1" applyBorder="1" applyAlignment="1" applyProtection="1"/>
    <xf numFmtId="0" fontId="7" fillId="0" borderId="0" xfId="0" applyFont="1" applyFill="1" applyBorder="1" applyAlignment="1"/>
    <xf numFmtId="0" fontId="7" fillId="0" borderId="0" xfId="0" quotePrefix="1" applyFont="1" applyFill="1" applyBorder="1" applyAlignment="1">
      <alignment horizontal="left"/>
    </xf>
    <xf numFmtId="2" fontId="0" fillId="0" borderId="0" xfId="0" applyNumberFormat="1" applyBorder="1"/>
    <xf numFmtId="0" fontId="9" fillId="0" borderId="0" xfId="0" quotePrefix="1" applyFont="1" applyAlignment="1">
      <alignment horizontal="left"/>
    </xf>
    <xf numFmtId="0" fontId="7" fillId="0" borderId="0" xfId="0" applyFont="1"/>
    <xf numFmtId="40" fontId="7" fillId="0" borderId="0" xfId="0" applyNumberFormat="1" applyFont="1"/>
    <xf numFmtId="0" fontId="10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  <xf numFmtId="0" fontId="7" fillId="24" borderId="10" xfId="0" applyFont="1" applyFill="1" applyBorder="1" applyAlignment="1">
      <alignment horizontal="centerContinuous" wrapText="1"/>
    </xf>
    <xf numFmtId="0" fontId="7" fillId="24" borderId="11" xfId="0" applyFont="1" applyFill="1" applyBorder="1" applyAlignment="1">
      <alignment horizontal="center" wrapText="1"/>
    </xf>
    <xf numFmtId="2" fontId="7" fillId="24" borderId="12" xfId="0" applyNumberFormat="1" applyFont="1" applyFill="1" applyBorder="1" applyAlignment="1">
      <alignment horizontal="center" wrapText="1"/>
    </xf>
    <xf numFmtId="2" fontId="7" fillId="0" borderId="0" xfId="0" applyNumberFormat="1" applyFont="1"/>
    <xf numFmtId="2" fontId="7" fillId="0" borderId="13" xfId="0" applyNumberFormat="1" applyFont="1" applyBorder="1" applyAlignment="1">
      <alignment horizontal="left"/>
    </xf>
    <xf numFmtId="167" fontId="7" fillId="0" borderId="12" xfId="0" applyNumberFormat="1" applyFont="1" applyBorder="1" applyProtection="1"/>
    <xf numFmtId="2" fontId="7" fillId="0" borderId="14" xfId="0" applyNumberFormat="1" applyFont="1" applyBorder="1" applyAlignment="1">
      <alignment horizontal="left"/>
    </xf>
    <xf numFmtId="166" fontId="7" fillId="0" borderId="0" xfId="0" applyNumberFormat="1" applyFont="1" applyProtection="1"/>
    <xf numFmtId="168" fontId="7" fillId="0" borderId="0" xfId="0" applyNumberFormat="1" applyFont="1" applyProtection="1"/>
    <xf numFmtId="167" fontId="7" fillId="0" borderId="0" xfId="0" applyNumberFormat="1" applyFont="1" applyProtection="1"/>
    <xf numFmtId="2" fontId="7" fillId="0" borderId="15" xfId="0" applyNumberFormat="1" applyFont="1" applyBorder="1" applyAlignment="1">
      <alignment horizontal="left"/>
    </xf>
    <xf numFmtId="0" fontId="0" fillId="0" borderId="0" xfId="0" applyBorder="1"/>
    <xf numFmtId="2" fontId="7" fillId="0" borderId="0" xfId="0" applyNumberFormat="1" applyFont="1" applyFill="1" applyAlignment="1"/>
    <xf numFmtId="0" fontId="13" fillId="0" borderId="0" xfId="0" quotePrefix="1" applyFont="1" applyAlignment="1">
      <alignment horizontal="left"/>
    </xf>
    <xf numFmtId="40" fontId="5" fillId="0" borderId="16" xfId="0" applyNumberFormat="1" applyFont="1" applyBorder="1"/>
    <xf numFmtId="0" fontId="7" fillId="0" borderId="0" xfId="0" applyFont="1" applyFill="1" applyBorder="1" applyAlignment="1">
      <alignment horizontal="left"/>
    </xf>
    <xf numFmtId="40" fontId="5" fillId="0" borderId="0" xfId="0" applyNumberFormat="1" applyFont="1" applyBorder="1"/>
    <xf numFmtId="169" fontId="7" fillId="0" borderId="0" xfId="0" applyNumberFormat="1" applyFont="1"/>
    <xf numFmtId="172" fontId="5" fillId="0" borderId="17" xfId="0" applyNumberFormat="1" applyFont="1" applyBorder="1" applyAlignment="1">
      <alignment horizontal="center"/>
    </xf>
    <xf numFmtId="172" fontId="7" fillId="0" borderId="16" xfId="0" applyNumberFormat="1" applyFont="1" applyBorder="1" applyAlignment="1">
      <alignment horizontal="center"/>
    </xf>
    <xf numFmtId="40" fontId="7" fillId="0" borderId="17" xfId="0" applyNumberFormat="1" applyFont="1" applyBorder="1"/>
    <xf numFmtId="172" fontId="7" fillId="0" borderId="17" xfId="0" applyNumberFormat="1" applyFont="1" applyBorder="1" applyAlignment="1">
      <alignment horizontal="center"/>
    </xf>
    <xf numFmtId="171" fontId="7" fillId="0" borderId="17" xfId="0" applyNumberFormat="1" applyFont="1" applyBorder="1" applyAlignment="1">
      <alignment horizontal="center"/>
    </xf>
    <xf numFmtId="171" fontId="7" fillId="0" borderId="16" xfId="0" applyNumberFormat="1" applyFont="1" applyBorder="1" applyAlignment="1" applyProtection="1">
      <alignment horizontal="centerContinuous"/>
    </xf>
    <xf numFmtId="172" fontId="7" fillId="0" borderId="17" xfId="0" applyNumberFormat="1" applyFont="1" applyFill="1" applyBorder="1" applyAlignment="1">
      <alignment horizontal="center"/>
    </xf>
    <xf numFmtId="171" fontId="5" fillId="0" borderId="16" xfId="0" applyNumberFormat="1" applyFont="1" applyFill="1" applyBorder="1" applyAlignment="1" applyProtection="1">
      <alignment horizontal="center"/>
    </xf>
    <xf numFmtId="40" fontId="5" fillId="0" borderId="16" xfId="0" applyNumberFormat="1" applyFont="1" applyFill="1" applyBorder="1"/>
    <xf numFmtId="0" fontId="9" fillId="0" borderId="0" xfId="0" quotePrefix="1" applyFont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 applyProtection="1">
      <alignment horizontal="center"/>
    </xf>
    <xf numFmtId="171" fontId="5" fillId="0" borderId="0" xfId="0" applyNumberFormat="1" applyFont="1" applyFill="1" applyBorder="1" applyAlignment="1" applyProtection="1">
      <alignment horizontal="center"/>
    </xf>
    <xf numFmtId="40" fontId="5" fillId="0" borderId="0" xfId="0" applyNumberFormat="1" applyFont="1" applyFill="1" applyBorder="1"/>
    <xf numFmtId="172" fontId="5" fillId="0" borderId="0" xfId="0" applyNumberFormat="1" applyFont="1" applyFill="1" applyBorder="1" applyAlignment="1">
      <alignment horizontal="center"/>
    </xf>
    <xf numFmtId="172" fontId="5" fillId="0" borderId="0" xfId="0" applyNumberFormat="1" applyFont="1" applyFill="1" applyBorder="1" applyAlignment="1" applyProtection="1">
      <alignment horizontal="center"/>
    </xf>
    <xf numFmtId="2" fontId="7" fillId="0" borderId="0" xfId="0" applyNumberFormat="1" applyFont="1" applyFill="1" applyBorder="1" applyAlignment="1" applyProtection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16" xfId="0" applyNumberFormat="1" applyFont="1" applyFill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7" fillId="0" borderId="16" xfId="0" applyNumberFormat="1" applyFont="1" applyBorder="1" applyAlignment="1" applyProtection="1">
      <alignment horizontal="center"/>
    </xf>
    <xf numFmtId="2" fontId="7" fillId="0" borderId="0" xfId="0" applyNumberFormat="1" applyFont="1" applyBorder="1" applyAlignment="1" applyProtection="1">
      <alignment horizontal="center"/>
    </xf>
    <xf numFmtId="0" fontId="7" fillId="0" borderId="18" xfId="0" applyFont="1" applyFill="1" applyBorder="1" applyAlignment="1"/>
    <xf numFmtId="3" fontId="5" fillId="0" borderId="20" xfId="19" applyNumberFormat="1" applyFont="1" applyFill="1" applyBorder="1" applyAlignment="1"/>
    <xf numFmtId="172" fontId="5" fillId="0" borderId="19" xfId="0" applyNumberFormat="1" applyFont="1" applyFill="1" applyBorder="1" applyAlignment="1" applyProtection="1">
      <alignment horizontal="center"/>
    </xf>
    <xf numFmtId="171" fontId="5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Protection="1"/>
    <xf numFmtId="0" fontId="10" fillId="0" borderId="21" xfId="0" quotePrefix="1" applyFont="1" applyBorder="1" applyAlignment="1">
      <alignment horizontal="left"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horizontal="center"/>
    </xf>
    <xf numFmtId="0" fontId="10" fillId="0" borderId="23" xfId="0" quotePrefix="1" applyFont="1" applyBorder="1" applyAlignment="1">
      <alignment horizontal="center"/>
    </xf>
    <xf numFmtId="0" fontId="8" fillId="0" borderId="24" xfId="19" quotePrefix="1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7" xfId="0" applyFont="1" applyFill="1" applyBorder="1" applyAlignment="1">
      <alignment horizontal="center"/>
    </xf>
    <xf numFmtId="0" fontId="10" fillId="0" borderId="27" xfId="0" applyFont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10" fillId="0" borderId="27" xfId="0" applyFont="1" applyBorder="1" applyAlignment="1">
      <alignment horizontal="center"/>
    </xf>
    <xf numFmtId="0" fontId="8" fillId="0" borderId="28" xfId="19" quotePrefix="1" applyFont="1" applyFill="1" applyBorder="1" applyAlignment="1">
      <alignment horizontal="center"/>
    </xf>
    <xf numFmtId="0" fontId="8" fillId="0" borderId="29" xfId="19" applyFont="1" applyFill="1" applyBorder="1" applyAlignment="1">
      <alignment horizontal="center"/>
    </xf>
    <xf numFmtId="0" fontId="7" fillId="0" borderId="21" xfId="0" applyFont="1" applyBorder="1"/>
    <xf numFmtId="2" fontId="7" fillId="0" borderId="21" xfId="0" applyNumberFormat="1" applyFont="1" applyBorder="1" applyAlignment="1" applyProtection="1">
      <alignment horizontal="center"/>
    </xf>
    <xf numFmtId="172" fontId="5" fillId="0" borderId="16" xfId="0" applyNumberFormat="1" applyFont="1" applyFill="1" applyBorder="1" applyAlignment="1">
      <alignment horizontal="center"/>
    </xf>
    <xf numFmtId="172" fontId="5" fillId="0" borderId="16" xfId="0" applyNumberFormat="1" applyFont="1" applyFill="1" applyBorder="1" applyAlignment="1" applyProtection="1">
      <alignment horizontal="center"/>
    </xf>
    <xf numFmtId="171" fontId="5" fillId="0" borderId="16" xfId="0" applyNumberFormat="1" applyFont="1" applyFill="1" applyBorder="1" applyAlignment="1">
      <alignment horizontal="center"/>
    </xf>
    <xf numFmtId="0" fontId="7" fillId="0" borderId="28" xfId="19" quotePrefix="1" applyFont="1" applyFill="1" applyBorder="1" applyAlignment="1">
      <alignment horizontal="center"/>
    </xf>
    <xf numFmtId="0" fontId="7" fillId="0" borderId="29" xfId="19" quotePrefix="1" applyFont="1" applyFill="1" applyBorder="1" applyAlignment="1">
      <alignment horizontal="center"/>
    </xf>
    <xf numFmtId="0" fontId="7" fillId="0" borderId="15" xfId="0" quotePrefix="1" applyFont="1" applyFill="1" applyBorder="1" applyAlignment="1">
      <alignment horizontal="left"/>
    </xf>
    <xf numFmtId="2" fontId="7" fillId="0" borderId="15" xfId="0" applyNumberFormat="1" applyFont="1" applyFill="1" applyBorder="1" applyAlignment="1" applyProtection="1">
      <alignment horizontal="center"/>
    </xf>
    <xf numFmtId="2" fontId="5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>
      <alignment horizontal="center"/>
    </xf>
    <xf numFmtId="9" fontId="5" fillId="0" borderId="29" xfId="20" applyFont="1" applyFill="1" applyBorder="1" applyAlignment="1" applyProtection="1">
      <alignment horizontal="center"/>
    </xf>
    <xf numFmtId="38" fontId="5" fillId="0" borderId="28" xfId="19" applyNumberFormat="1" applyFont="1" applyFill="1" applyBorder="1"/>
    <xf numFmtId="3" fontId="5" fillId="0" borderId="29" xfId="19" applyNumberFormat="1" applyFont="1" applyFill="1" applyBorder="1" applyAlignment="1" applyProtection="1"/>
    <xf numFmtId="0" fontId="7" fillId="0" borderId="15" xfId="0" applyFont="1" applyFill="1" applyBorder="1" applyAlignment="1">
      <alignment horizontal="left"/>
    </xf>
    <xf numFmtId="170" fontId="11" fillId="0" borderId="0" xfId="0" applyNumberFormat="1" applyFont="1" applyFill="1" applyBorder="1"/>
    <xf numFmtId="39" fontId="5" fillId="0" borderId="19" xfId="0" applyNumberFormat="1" applyFont="1" applyBorder="1"/>
    <xf numFmtId="0" fontId="7" fillId="0" borderId="21" xfId="0" quotePrefix="1" applyFont="1" applyFill="1" applyBorder="1" applyAlignment="1">
      <alignment horizontal="left"/>
    </xf>
    <xf numFmtId="38" fontId="5" fillId="0" borderId="25" xfId="19" applyNumberFormat="1" applyFont="1" applyFill="1" applyBorder="1"/>
    <xf numFmtId="3" fontId="5" fillId="0" borderId="18" xfId="19" applyNumberFormat="1" applyFont="1" applyFill="1" applyBorder="1" applyAlignment="1" applyProtection="1"/>
    <xf numFmtId="0" fontId="7" fillId="0" borderId="14" xfId="0" quotePrefix="1" applyFont="1" applyFill="1" applyBorder="1" applyAlignment="1">
      <alignment horizontal="left"/>
    </xf>
    <xf numFmtId="3" fontId="5" fillId="0" borderId="30" xfId="19" applyNumberFormat="1" applyFont="1" applyFill="1" applyBorder="1" applyAlignment="1" applyProtection="1"/>
    <xf numFmtId="38" fontId="5" fillId="0" borderId="31" xfId="19" applyNumberFormat="1" applyFont="1" applyFill="1" applyBorder="1"/>
    <xf numFmtId="3" fontId="5" fillId="0" borderId="32" xfId="19" applyNumberFormat="1" applyFont="1" applyFill="1" applyBorder="1" applyAlignment="1" applyProtection="1"/>
    <xf numFmtId="0" fontId="7" fillId="0" borderId="15" xfId="0" applyFont="1" applyBorder="1"/>
    <xf numFmtId="0" fontId="7" fillId="0" borderId="15" xfId="0" quotePrefix="1" applyFont="1" applyBorder="1" applyAlignment="1">
      <alignment horizontal="left"/>
    </xf>
    <xf numFmtId="171" fontId="5" fillId="0" borderId="0" xfId="0" applyNumberFormat="1" applyFont="1" applyBorder="1" applyAlignment="1" applyProtection="1">
      <alignment horizontal="centerContinuous"/>
    </xf>
    <xf numFmtId="3" fontId="5" fillId="0" borderId="29" xfId="19" applyNumberFormat="1" applyFont="1" applyFill="1" applyBorder="1" applyAlignment="1"/>
    <xf numFmtId="0" fontId="7" fillId="0" borderId="15" xfId="0" applyFont="1" applyBorder="1" applyAlignment="1">
      <alignment horizontal="left"/>
    </xf>
    <xf numFmtId="0" fontId="7" fillId="0" borderId="28" xfId="19" applyFont="1" applyFill="1" applyBorder="1" applyAlignment="1"/>
    <xf numFmtId="1" fontId="7" fillId="0" borderId="20" xfId="19" applyNumberFormat="1" applyFont="1" applyFill="1" applyBorder="1" applyAlignment="1"/>
    <xf numFmtId="3" fontId="5" fillId="0" borderId="20" xfId="19" applyNumberFormat="1" applyFont="1" applyFill="1" applyBorder="1" applyAlignment="1" applyProtection="1"/>
    <xf numFmtId="172" fontId="5" fillId="0" borderId="17" xfId="0" applyNumberFormat="1" applyFont="1" applyFill="1" applyBorder="1" applyAlignment="1">
      <alignment horizontal="center"/>
    </xf>
    <xf numFmtId="39" fontId="5" fillId="0" borderId="19" xfId="0" applyNumberFormat="1" applyFont="1" applyBorder="1" applyAlignment="1">
      <alignment horizontal="center"/>
    </xf>
    <xf numFmtId="172" fontId="5" fillId="0" borderId="19" xfId="0" applyNumberFormat="1" applyFont="1" applyBorder="1" applyAlignment="1">
      <alignment horizontal="center"/>
    </xf>
    <xf numFmtId="0" fontId="7" fillId="0" borderId="30" xfId="0" applyFont="1" applyFill="1" applyBorder="1" applyAlignment="1"/>
    <xf numFmtId="2" fontId="5" fillId="0" borderId="15" xfId="0" applyNumberFormat="1" applyFont="1" applyFill="1" applyBorder="1" applyAlignment="1" applyProtection="1">
      <alignment horizontal="center"/>
    </xf>
    <xf numFmtId="2" fontId="5" fillId="0" borderId="28" xfId="0" applyNumberFormat="1" applyFont="1" applyBorder="1" applyAlignment="1" applyProtection="1">
      <alignment horizontal="center"/>
    </xf>
    <xf numFmtId="0" fontId="16" fillId="0" borderId="0" xfId="0" quotePrefix="1" applyFont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7" fillId="0" borderId="13" xfId="0" quotePrefix="1" applyFont="1" applyBorder="1" applyAlignment="1">
      <alignment horizontal="left"/>
    </xf>
    <xf numFmtId="0" fontId="0" fillId="0" borderId="33" xfId="0" applyBorder="1"/>
    <xf numFmtId="2" fontId="17" fillId="0" borderId="15" xfId="0" applyNumberFormat="1" applyFont="1" applyFill="1" applyBorder="1" applyAlignment="1" applyProtection="1">
      <alignment horizontal="center"/>
    </xf>
    <xf numFmtId="0" fontId="10" fillId="0" borderId="15" xfId="0" quotePrefix="1" applyFont="1" applyBorder="1" applyAlignment="1">
      <alignment horizontal="left"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horizontal="center"/>
    </xf>
    <xf numFmtId="0" fontId="10" fillId="0" borderId="36" xfId="0" quotePrefix="1" applyFont="1" applyBorder="1" applyAlignment="1">
      <alignment horizontal="center"/>
    </xf>
    <xf numFmtId="0" fontId="7" fillId="0" borderId="25" xfId="0" applyFont="1" applyFill="1" applyBorder="1" applyAlignment="1"/>
    <xf numFmtId="0" fontId="7" fillId="0" borderId="24" xfId="0" applyFont="1" applyFill="1" applyBorder="1" applyAlignment="1"/>
    <xf numFmtId="0" fontId="10" fillId="24" borderId="27" xfId="0" applyFont="1" applyFill="1" applyBorder="1" applyAlignment="1">
      <alignment horizontal="center" vertical="center"/>
    </xf>
    <xf numFmtId="40" fontId="7" fillId="24" borderId="0" xfId="0" applyNumberFormat="1" applyFont="1" applyFill="1" applyBorder="1" applyProtection="1"/>
    <xf numFmtId="2" fontId="7" fillId="24" borderId="0" xfId="0" applyNumberFormat="1" applyFont="1" applyFill="1" applyBorder="1" applyAlignment="1" applyProtection="1">
      <alignment horizontal="center"/>
    </xf>
    <xf numFmtId="2" fontId="7" fillId="24" borderId="16" xfId="0" applyNumberFormat="1" applyFont="1" applyFill="1" applyBorder="1" applyAlignment="1" applyProtection="1">
      <alignment horizontal="center"/>
    </xf>
    <xf numFmtId="173" fontId="7" fillId="24" borderId="0" xfId="0" applyNumberFormat="1" applyFont="1" applyFill="1" applyBorder="1" applyAlignment="1" applyProtection="1">
      <alignment horizontal="center"/>
    </xf>
    <xf numFmtId="173" fontId="7" fillId="24" borderId="17" xfId="0" applyNumberFormat="1" applyFont="1" applyFill="1" applyBorder="1" applyAlignment="1" applyProtection="1">
      <alignment horizontal="center"/>
    </xf>
    <xf numFmtId="173" fontId="7" fillId="24" borderId="16" xfId="0" applyNumberFormat="1" applyFont="1" applyFill="1" applyBorder="1" applyAlignment="1" applyProtection="1">
      <alignment horizontal="center"/>
    </xf>
    <xf numFmtId="173" fontId="7" fillId="24" borderId="19" xfId="0" applyNumberFormat="1" applyFont="1" applyFill="1" applyBorder="1" applyAlignment="1" applyProtection="1">
      <alignment horizontal="center"/>
    </xf>
    <xf numFmtId="0" fontId="10" fillId="24" borderId="37" xfId="0" applyFont="1" applyFill="1" applyBorder="1" applyAlignment="1">
      <alignment horizontal="center"/>
    </xf>
    <xf numFmtId="171" fontId="7" fillId="0" borderId="16" xfId="0" applyNumberFormat="1" applyFont="1" applyBorder="1" applyAlignment="1" applyProtection="1">
      <alignment horizontal="center"/>
    </xf>
    <xf numFmtId="2" fontId="7" fillId="0" borderId="0" xfId="0" applyNumberFormat="1" applyFont="1" applyBorder="1" applyProtection="1"/>
    <xf numFmtId="2" fontId="0" fillId="0" borderId="0" xfId="0" applyNumberFormat="1"/>
    <xf numFmtId="2" fontId="7" fillId="0" borderId="16" xfId="0" applyNumberFormat="1" applyFont="1" applyFill="1" applyBorder="1"/>
    <xf numFmtId="2" fontId="19" fillId="0" borderId="0" xfId="0" applyNumberFormat="1" applyFont="1" applyFill="1" applyBorder="1" applyProtection="1"/>
    <xf numFmtId="0" fontId="10" fillId="0" borderId="14" xfId="0" quotePrefix="1" applyFont="1" applyBorder="1" applyAlignment="1">
      <alignment horizontal="left"/>
    </xf>
    <xf numFmtId="0" fontId="7" fillId="0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74" fontId="5" fillId="0" borderId="0" xfId="0" applyNumberFormat="1" applyFont="1" applyBorder="1"/>
    <xf numFmtId="174" fontId="5" fillId="0" borderId="38" xfId="0" applyNumberFormat="1" applyFont="1" applyBorder="1"/>
    <xf numFmtId="2" fontId="7" fillId="0" borderId="38" xfId="0" applyNumberFormat="1" applyFont="1" applyBorder="1"/>
    <xf numFmtId="9" fontId="15" fillId="0" borderId="30" xfId="19" applyNumberFormat="1" applyFont="1" applyFill="1" applyBorder="1" applyAlignment="1" applyProtection="1">
      <alignment horizontal="center"/>
    </xf>
    <xf numFmtId="9" fontId="7" fillId="0" borderId="24" xfId="19" applyNumberFormat="1" applyFont="1" applyFill="1" applyBorder="1" applyAlignment="1" applyProtection="1">
      <alignment horizontal="center"/>
    </xf>
    <xf numFmtId="0" fontId="8" fillId="25" borderId="0" xfId="38" applyFont="1" applyFill="1" applyAlignment="1">
      <alignment horizontal="center"/>
    </xf>
    <xf numFmtId="0" fontId="33" fillId="0" borderId="0" xfId="38" applyFont="1"/>
    <xf numFmtId="0" fontId="33" fillId="0" borderId="0" xfId="38" quotePrefix="1" applyFont="1" applyAlignment="1">
      <alignment horizontal="left"/>
    </xf>
    <xf numFmtId="0" fontId="33" fillId="0" borderId="0" xfId="38" applyFont="1" applyFill="1"/>
    <xf numFmtId="0" fontId="20" fillId="0" borderId="0" xfId="38" applyFont="1" applyAlignment="1" applyProtection="1">
      <alignment vertical="center"/>
      <protection hidden="1"/>
    </xf>
    <xf numFmtId="0" fontId="33" fillId="0" borderId="25" xfId="38" applyFont="1" applyBorder="1"/>
    <xf numFmtId="0" fontId="33" fillId="0" borderId="18" xfId="38" applyFont="1" applyBorder="1"/>
    <xf numFmtId="0" fontId="33" fillId="0" borderId="28" xfId="38" applyFont="1" applyBorder="1"/>
    <xf numFmtId="0" fontId="33" fillId="0" borderId="20" xfId="38" applyFont="1" applyBorder="1"/>
    <xf numFmtId="0" fontId="33" fillId="0" borderId="31" xfId="38" applyFont="1" applyBorder="1"/>
    <xf numFmtId="0" fontId="33" fillId="0" borderId="32" xfId="38" applyFont="1" applyBorder="1"/>
    <xf numFmtId="0" fontId="33" fillId="0" borderId="0" xfId="38" quotePrefix="1" applyFont="1" applyAlignment="1">
      <alignment horizontal="right"/>
    </xf>
    <xf numFmtId="0" fontId="8" fillId="0" borderId="21" xfId="0" applyFont="1" applyBorder="1" applyAlignment="1">
      <alignment horizontal="right"/>
    </xf>
    <xf numFmtId="0" fontId="0" fillId="0" borderId="27" xfId="0" applyBorder="1" applyAlignment="1">
      <alignment horizontal="center"/>
    </xf>
    <xf numFmtId="0" fontId="33" fillId="0" borderId="0" xfId="38" applyFont="1" applyAlignment="1">
      <alignment horizontal="left"/>
    </xf>
    <xf numFmtId="0" fontId="33" fillId="24" borderId="0" xfId="38" quotePrefix="1" applyFont="1" applyFill="1" applyAlignment="1">
      <alignment horizontal="left"/>
    </xf>
    <xf numFmtId="0" fontId="40" fillId="24" borderId="0" xfId="38" quotePrefix="1" applyFont="1" applyFill="1" applyAlignment="1">
      <alignment horizontal="left"/>
    </xf>
    <xf numFmtId="0" fontId="8" fillId="0" borderId="15" xfId="0" quotePrefix="1" applyFont="1" applyFill="1" applyBorder="1" applyAlignment="1">
      <alignment horizontal="right"/>
    </xf>
    <xf numFmtId="2" fontId="7" fillId="0" borderId="0" xfId="0" applyNumberFormat="1" applyFont="1" applyBorder="1"/>
    <xf numFmtId="0" fontId="14" fillId="0" borderId="0" xfId="0" quotePrefix="1" applyFont="1" applyBorder="1" applyAlignment="1">
      <alignment horizontal="left"/>
    </xf>
    <xf numFmtId="4" fontId="7" fillId="0" borderId="0" xfId="0" applyNumberFormat="1" applyFont="1"/>
    <xf numFmtId="4" fontId="7" fillId="0" borderId="21" xfId="0" applyNumberFormat="1" applyFont="1" applyBorder="1" applyAlignment="1" applyProtection="1">
      <alignment horizontal="center"/>
    </xf>
    <xf numFmtId="4" fontId="7" fillId="0" borderId="15" xfId="0" applyNumberFormat="1" applyFont="1" applyFill="1" applyBorder="1" applyAlignment="1" applyProtection="1">
      <alignment horizontal="center"/>
    </xf>
    <xf numFmtId="4" fontId="7" fillId="0" borderId="14" xfId="0" applyNumberFormat="1" applyFont="1" applyFill="1" applyBorder="1" applyAlignment="1" applyProtection="1">
      <alignment horizontal="center"/>
    </xf>
    <xf numFmtId="4" fontId="0" fillId="0" borderId="0" xfId="0" applyNumberFormat="1"/>
    <xf numFmtId="4" fontId="7" fillId="0" borderId="16" xfId="0" applyNumberFormat="1" applyFont="1" applyFill="1" applyBorder="1" applyAlignment="1" applyProtection="1">
      <alignment horizontal="center"/>
    </xf>
    <xf numFmtId="4" fontId="7" fillId="0" borderId="17" xfId="0" applyNumberFormat="1" applyFont="1" applyFill="1" applyBorder="1" applyAlignment="1" applyProtection="1">
      <alignment horizontal="center"/>
    </xf>
    <xf numFmtId="4" fontId="7" fillId="0" borderId="39" xfId="0" applyNumberFormat="1" applyFont="1" applyBorder="1" applyAlignment="1" applyProtection="1">
      <alignment horizontal="center"/>
    </xf>
    <xf numFmtId="4" fontId="7" fillId="0" borderId="28" xfId="0" applyNumberFormat="1" applyFont="1" applyBorder="1"/>
    <xf numFmtId="4" fontId="7" fillId="0" borderId="28" xfId="0" applyNumberFormat="1" applyFont="1" applyBorder="1" applyAlignment="1" applyProtection="1">
      <alignment horizontal="center"/>
    </xf>
    <xf numFmtId="4" fontId="7" fillId="0" borderId="16" xfId="0" applyNumberFormat="1" applyFont="1" applyFill="1" applyBorder="1" applyProtection="1"/>
    <xf numFmtId="170" fontId="7" fillId="0" borderId="0" xfId="0" applyNumberFormat="1" applyFont="1"/>
    <xf numFmtId="170" fontId="10" fillId="0" borderId="22" xfId="0" applyNumberFormat="1" applyFont="1" applyBorder="1" applyAlignment="1">
      <alignment vertical="center"/>
    </xf>
    <xf numFmtId="170" fontId="10" fillId="0" borderId="35" xfId="0" applyNumberFormat="1" applyFont="1" applyBorder="1" applyAlignment="1">
      <alignment vertical="center"/>
    </xf>
    <xf numFmtId="170" fontId="10" fillId="0" borderId="26" xfId="0" applyNumberFormat="1" applyFont="1" applyBorder="1"/>
    <xf numFmtId="170" fontId="7" fillId="0" borderId="0" xfId="0" applyNumberFormat="1" applyFont="1" applyFill="1" applyBorder="1" applyProtection="1"/>
    <xf numFmtId="170" fontId="7" fillId="0" borderId="16" xfId="0" applyNumberFormat="1" applyFont="1" applyFill="1" applyBorder="1"/>
    <xf numFmtId="170" fontId="7" fillId="0" borderId="17" xfId="0" applyNumberFormat="1" applyFont="1" applyFill="1" applyBorder="1"/>
    <xf numFmtId="170" fontId="0" fillId="0" borderId="0" xfId="0" applyNumberFormat="1"/>
    <xf numFmtId="0" fontId="10" fillId="0" borderId="12" xfId="0" applyFont="1" applyBorder="1" applyAlignment="1">
      <alignment horizontal="center" vertical="center"/>
    </xf>
    <xf numFmtId="0" fontId="0" fillId="0" borderId="30" xfId="0" applyBorder="1" applyAlignment="1">
      <alignment vertical="top"/>
    </xf>
    <xf numFmtId="0" fontId="8" fillId="0" borderId="10" xfId="19" quotePrefix="1" applyFont="1" applyFill="1" applyBorder="1" applyAlignment="1">
      <alignment horizontal="center" vertical="center"/>
    </xf>
    <xf numFmtId="2" fontId="7" fillId="0" borderId="0" xfId="0" applyNumberFormat="1" applyFont="1" applyFill="1" applyBorder="1" applyProtection="1"/>
    <xf numFmtId="2" fontId="7" fillId="0" borderId="16" xfId="0" applyNumberFormat="1" applyFont="1" applyFill="1" applyBorder="1" applyProtection="1"/>
    <xf numFmtId="2" fontId="7" fillId="0" borderId="16" xfId="0" applyNumberFormat="1" applyFont="1" applyBorder="1" applyProtection="1"/>
    <xf numFmtId="2" fontId="10" fillId="24" borderId="23" xfId="0" applyNumberFormat="1" applyFont="1" applyFill="1" applyBorder="1" applyAlignment="1">
      <alignment horizontal="center" vertical="center" wrapText="1"/>
    </xf>
    <xf numFmtId="40" fontId="7" fillId="0" borderId="0" xfId="0" applyNumberFormat="1" applyFont="1" applyFill="1" applyBorder="1" applyProtection="1"/>
    <xf numFmtId="173" fontId="7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 applyProtection="1">
      <alignment horizontal="center"/>
    </xf>
    <xf numFmtId="173" fontId="5" fillId="0" borderId="0" xfId="0" applyNumberFormat="1" applyFont="1" applyFill="1" applyBorder="1" applyAlignment="1" applyProtection="1">
      <alignment horizontal="center"/>
    </xf>
    <xf numFmtId="2" fontId="5" fillId="0" borderId="17" xfId="0" applyNumberFormat="1" applyFont="1" applyBorder="1" applyAlignment="1" applyProtection="1">
      <alignment horizontal="center"/>
    </xf>
    <xf numFmtId="0" fontId="10" fillId="24" borderId="36" xfId="0" quotePrefix="1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9" fontId="5" fillId="0" borderId="30" xfId="20" applyFont="1" applyFill="1" applyBorder="1" applyAlignment="1" applyProtection="1">
      <alignment horizontal="center"/>
    </xf>
    <xf numFmtId="3" fontId="5" fillId="0" borderId="0" xfId="19" applyNumberFormat="1" applyFont="1" applyFill="1" applyBorder="1" applyAlignment="1"/>
    <xf numFmtId="2" fontId="15" fillId="0" borderId="0" xfId="0" applyNumberFormat="1" applyFont="1" applyBorder="1"/>
    <xf numFmtId="172" fontId="5" fillId="0" borderId="34" xfId="0" applyNumberFormat="1" applyFont="1" applyBorder="1" applyAlignment="1">
      <alignment horizontal="center"/>
    </xf>
    <xf numFmtId="0" fontId="10" fillId="0" borderId="27" xfId="0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left"/>
    </xf>
    <xf numFmtId="172" fontId="2" fillId="0" borderId="17" xfId="0" applyNumberFormat="1" applyFont="1" applyFill="1" applyBorder="1" applyAlignment="1">
      <alignment horizontal="center"/>
    </xf>
    <xf numFmtId="40" fontId="2" fillId="24" borderId="0" xfId="0" applyNumberFormat="1" applyFont="1" applyFill="1" applyBorder="1" applyProtection="1"/>
    <xf numFmtId="173" fontId="2" fillId="24" borderId="0" xfId="0" applyNumberFormat="1" applyFont="1" applyFill="1" applyBorder="1" applyAlignment="1" applyProtection="1">
      <alignment horizontal="center"/>
    </xf>
    <xf numFmtId="173" fontId="2" fillId="24" borderId="16" xfId="0" applyNumberFormat="1" applyFont="1" applyFill="1" applyBorder="1" applyAlignment="1" applyProtection="1">
      <alignment horizontal="center"/>
    </xf>
    <xf numFmtId="173" fontId="2" fillId="24" borderId="17" xfId="0" applyNumberFormat="1" applyFont="1" applyFill="1" applyBorder="1" applyAlignment="1" applyProtection="1">
      <alignment horizontal="center"/>
    </xf>
    <xf numFmtId="172" fontId="2" fillId="0" borderId="0" xfId="0" applyNumberFormat="1" applyFont="1" applyBorder="1" applyAlignment="1">
      <alignment horizontal="center"/>
    </xf>
    <xf numFmtId="172" fontId="2" fillId="0" borderId="17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70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2" fillId="0" borderId="0" xfId="0" applyFont="1" applyFill="1" applyAlignment="1"/>
    <xf numFmtId="0" fontId="4" fillId="0" borderId="10" xfId="19" quotePrefix="1" applyFont="1" applyFill="1" applyBorder="1" applyAlignment="1">
      <alignment horizontal="center" vertical="center"/>
    </xf>
    <xf numFmtId="0" fontId="4" fillId="0" borderId="29" xfId="19" quotePrefix="1" applyFont="1" applyFill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4" fillId="0" borderId="21" xfId="0" applyFont="1" applyBorder="1" applyAlignment="1">
      <alignment horizontal="right"/>
    </xf>
    <xf numFmtId="170" fontId="2" fillId="0" borderId="0" xfId="0" applyNumberFormat="1" applyFont="1" applyFill="1" applyBorder="1" applyProtection="1"/>
    <xf numFmtId="4" fontId="2" fillId="0" borderId="21" xfId="0" applyNumberFormat="1" applyFont="1" applyBorder="1" applyAlignment="1" applyProtection="1">
      <alignment horizontal="center"/>
    </xf>
    <xf numFmtId="2" fontId="2" fillId="0" borderId="0" xfId="0" applyNumberFormat="1" applyFont="1" applyBorder="1" applyProtection="1"/>
    <xf numFmtId="2" fontId="2" fillId="0" borderId="16" xfId="0" applyNumberFormat="1" applyFont="1" applyBorder="1" applyProtection="1"/>
    <xf numFmtId="0" fontId="2" fillId="0" borderId="24" xfId="0" applyFont="1" applyFill="1" applyBorder="1" applyAlignment="1"/>
    <xf numFmtId="174" fontId="2" fillId="0" borderId="0" xfId="0" applyNumberFormat="1" applyFont="1" applyFill="1" applyAlignment="1">
      <alignment horizontal="center"/>
    </xf>
    <xf numFmtId="0" fontId="2" fillId="0" borderId="15" xfId="0" quotePrefix="1" applyFont="1" applyFill="1" applyBorder="1" applyAlignment="1">
      <alignment horizontal="left"/>
    </xf>
    <xf numFmtId="4" fontId="2" fillId="0" borderId="15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Alignment="1"/>
    <xf numFmtId="2" fontId="2" fillId="0" borderId="0" xfId="0" applyNumberFormat="1" applyFont="1" applyFill="1" applyBorder="1" applyAlignment="1">
      <alignment horizontal="center"/>
    </xf>
    <xf numFmtId="2" fontId="10" fillId="24" borderId="21" xfId="0" applyNumberFormat="1" applyFont="1" applyFill="1" applyBorder="1" applyAlignment="1">
      <alignment horizontal="center" vertical="center" wrapText="1"/>
    </xf>
    <xf numFmtId="0" fontId="10" fillId="24" borderId="15" xfId="0" quotePrefix="1" applyFont="1" applyFill="1" applyBorder="1" applyAlignment="1">
      <alignment horizont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172" fontId="7" fillId="0" borderId="41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7" fillId="0" borderId="14" xfId="0" applyFont="1" applyBorder="1" applyAlignment="1">
      <alignment horizontal="center" vertical="center"/>
    </xf>
    <xf numFmtId="0" fontId="10" fillId="24" borderId="26" xfId="0" applyFont="1" applyFill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/>
    </xf>
    <xf numFmtId="2" fontId="5" fillId="0" borderId="44" xfId="0" applyNumberFormat="1" applyFont="1" applyBorder="1" applyAlignment="1" applyProtection="1">
      <alignment horizontal="center"/>
    </xf>
    <xf numFmtId="173" fontId="7" fillId="24" borderId="46" xfId="0" applyNumberFormat="1" applyFont="1" applyFill="1" applyBorder="1" applyAlignment="1" applyProtection="1">
      <alignment horizontal="center"/>
    </xf>
    <xf numFmtId="173" fontId="5" fillId="0" borderId="46" xfId="0" applyNumberFormat="1" applyFont="1" applyFill="1" applyBorder="1" applyAlignment="1" applyProtection="1">
      <alignment horizontal="center"/>
    </xf>
    <xf numFmtId="172" fontId="5" fillId="0" borderId="46" xfId="0" applyNumberFormat="1" applyFont="1" applyBorder="1" applyAlignment="1">
      <alignment horizontal="center"/>
    </xf>
    <xf numFmtId="172" fontId="2" fillId="0" borderId="46" xfId="0" applyNumberFormat="1" applyFont="1" applyBorder="1" applyAlignment="1">
      <alignment horizontal="center"/>
    </xf>
    <xf numFmtId="172" fontId="5" fillId="0" borderId="46" xfId="0" applyNumberFormat="1" applyFont="1" applyBorder="1" applyAlignment="1" applyProtection="1">
      <alignment horizontal="center"/>
    </xf>
    <xf numFmtId="173" fontId="2" fillId="24" borderId="46" xfId="0" applyNumberFormat="1" applyFont="1" applyFill="1" applyBorder="1" applyAlignment="1" applyProtection="1">
      <alignment horizontal="center"/>
    </xf>
    <xf numFmtId="2" fontId="5" fillId="0" borderId="45" xfId="0" applyNumberFormat="1" applyFont="1" applyBorder="1" applyAlignment="1" applyProtection="1">
      <alignment horizontal="center"/>
    </xf>
    <xf numFmtId="172" fontId="5" fillId="0" borderId="0" xfId="0" applyNumberFormat="1" applyFont="1" applyBorder="1" applyAlignment="1">
      <alignment horizontal="center"/>
    </xf>
    <xf numFmtId="14" fontId="0" fillId="0" borderId="0" xfId="0" applyNumberFormat="1"/>
    <xf numFmtId="2" fontId="5" fillId="0" borderId="46" xfId="0" quotePrefix="1" applyNumberFormat="1" applyFont="1" applyBorder="1" applyAlignment="1">
      <alignment horizontal="left"/>
    </xf>
    <xf numFmtId="172" fontId="5" fillId="0" borderId="0" xfId="0" applyNumberFormat="1" applyFont="1" applyBorder="1" applyAlignment="1">
      <alignment horizontal="center"/>
    </xf>
    <xf numFmtId="0" fontId="7" fillId="0" borderId="44" xfId="0" quotePrefix="1" applyFont="1" applyBorder="1" applyAlignment="1">
      <alignment horizontal="left"/>
    </xf>
    <xf numFmtId="2" fontId="11" fillId="0" borderId="48" xfId="0" applyNumberFormat="1" applyFont="1" applyFill="1" applyBorder="1" applyProtection="1"/>
    <xf numFmtId="0" fontId="7" fillId="0" borderId="45" xfId="0" quotePrefix="1" applyFont="1" applyBorder="1" applyAlignment="1">
      <alignment horizontal="left"/>
    </xf>
    <xf numFmtId="2" fontId="11" fillId="0" borderId="47" xfId="0" applyNumberFormat="1" applyFont="1" applyFill="1" applyBorder="1" applyProtection="1"/>
    <xf numFmtId="0" fontId="2" fillId="0" borderId="49" xfId="0" quotePrefix="1" applyFont="1" applyFill="1" applyBorder="1" applyAlignment="1">
      <alignment horizontal="left"/>
    </xf>
    <xf numFmtId="0" fontId="2" fillId="0" borderId="49" xfId="0" applyFont="1" applyFill="1" applyBorder="1" applyAlignment="1">
      <alignment horizontal="left"/>
    </xf>
    <xf numFmtId="172" fontId="5" fillId="0" borderId="0" xfId="0" applyNumberFormat="1" applyFont="1" applyBorder="1" applyAlignment="1">
      <alignment horizontal="center"/>
    </xf>
    <xf numFmtId="4" fontId="7" fillId="0" borderId="0" xfId="0" quotePrefix="1" applyNumberFormat="1" applyFont="1" applyAlignment="1">
      <alignment horizontal="left"/>
    </xf>
    <xf numFmtId="173" fontId="5" fillId="24" borderId="40" xfId="0" applyNumberFormat="1" applyFont="1" applyFill="1" applyBorder="1" applyAlignment="1" applyProtection="1">
      <alignment horizontal="center"/>
    </xf>
    <xf numFmtId="172" fontId="5" fillId="0" borderId="40" xfId="0" applyNumberFormat="1" applyFont="1" applyBorder="1" applyAlignment="1">
      <alignment horizontal="center"/>
    </xf>
    <xf numFmtId="172" fontId="5" fillId="24" borderId="40" xfId="0" applyNumberFormat="1" applyFont="1" applyFill="1" applyBorder="1" applyAlignment="1" applyProtection="1">
      <alignment horizontal="center"/>
    </xf>
    <xf numFmtId="0" fontId="7" fillId="0" borderId="0" xfId="0" quotePrefix="1" applyFont="1" applyAlignment="1">
      <alignment horizontal="left"/>
    </xf>
    <xf numFmtId="0" fontId="2" fillId="0" borderId="13" xfId="0" quotePrefix="1" applyFont="1" applyBorder="1" applyAlignment="1">
      <alignment horizontal="left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0" fontId="8" fillId="0" borderId="49" xfId="0" quotePrefix="1" applyFont="1" applyBorder="1" applyAlignment="1">
      <alignment horizontal="right"/>
    </xf>
    <xf numFmtId="38" fontId="5" fillId="0" borderId="50" xfId="19" applyNumberFormat="1" applyFont="1" applyFill="1" applyBorder="1"/>
    <xf numFmtId="2" fontId="44" fillId="0" borderId="0" xfId="0" applyNumberFormat="1" applyFont="1" applyFill="1" applyBorder="1" applyProtection="1"/>
    <xf numFmtId="1" fontId="44" fillId="0" borderId="29" xfId="19" applyNumberFormat="1" applyFont="1" applyFill="1" applyBorder="1" applyAlignment="1"/>
    <xf numFmtId="1" fontId="43" fillId="0" borderId="0" xfId="19" applyNumberFormat="1" applyFont="1" applyFill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0" fontId="10" fillId="0" borderId="51" xfId="0" quotePrefix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39" fontId="5" fillId="0" borderId="0" xfId="0" applyNumberFormat="1" applyFont="1" applyBorder="1" applyAlignment="1">
      <alignment horizontal="center"/>
    </xf>
    <xf numFmtId="40" fontId="5" fillId="0" borderId="0" xfId="0" applyNumberFormat="1" applyFont="1" applyBorder="1" applyAlignment="1">
      <alignment horizontal="center"/>
    </xf>
    <xf numFmtId="39" fontId="7" fillId="0" borderId="0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39" fontId="7" fillId="0" borderId="34" xfId="0" applyNumberFormat="1" applyFont="1" applyBorder="1" applyAlignment="1">
      <alignment horizontal="center"/>
    </xf>
    <xf numFmtId="40" fontId="5" fillId="0" borderId="16" xfId="0" applyNumberFormat="1" applyFont="1" applyBorder="1" applyAlignment="1">
      <alignment horizontal="center"/>
    </xf>
    <xf numFmtId="172" fontId="5" fillId="0" borderId="17" xfId="0" applyNumberFormat="1" applyFont="1" applyBorder="1" applyAlignment="1">
      <alignment horizontal="center"/>
    </xf>
    <xf numFmtId="172" fontId="5" fillId="24" borderId="17" xfId="0" applyNumberFormat="1" applyFont="1" applyFill="1" applyBorder="1" applyAlignment="1" applyProtection="1">
      <alignment horizontal="center"/>
    </xf>
    <xf numFmtId="172" fontId="2" fillId="24" borderId="17" xfId="0" applyNumberFormat="1" applyFont="1" applyFill="1" applyBorder="1" applyAlignment="1" applyProtection="1">
      <alignment horizontal="center"/>
    </xf>
    <xf numFmtId="172" fontId="5" fillId="0" borderId="0" xfId="0" applyNumberFormat="1" applyFont="1" applyBorder="1" applyAlignment="1">
      <alignment horizontal="center"/>
    </xf>
    <xf numFmtId="0" fontId="7" fillId="0" borderId="49" xfId="0" quotePrefix="1" applyFont="1" applyBorder="1" applyAlignment="1">
      <alignment horizontal="left"/>
    </xf>
    <xf numFmtId="4" fontId="7" fillId="0" borderId="50" xfId="0" applyNumberFormat="1" applyFont="1" applyBorder="1"/>
    <xf numFmtId="9" fontId="7" fillId="0" borderId="29" xfId="19" applyNumberFormat="1" applyFont="1" applyFill="1" applyBorder="1" applyAlignment="1" applyProtection="1">
      <alignment horizontal="center"/>
    </xf>
    <xf numFmtId="172" fontId="5" fillId="24" borderId="0" xfId="0" applyNumberFormat="1" applyFont="1" applyFill="1" applyBorder="1" applyAlignment="1" applyProtection="1">
      <alignment horizontal="center"/>
    </xf>
    <xf numFmtId="4" fontId="7" fillId="0" borderId="50" xfId="0" applyNumberFormat="1" applyFont="1" applyBorder="1" applyAlignment="1" applyProtection="1">
      <alignment horizontal="center"/>
    </xf>
    <xf numFmtId="171" fontId="7" fillId="0" borderId="0" xfId="0" applyNumberFormat="1" applyFont="1" applyBorder="1" applyAlignment="1">
      <alignment horizontal="center"/>
    </xf>
    <xf numFmtId="40" fontId="7" fillId="24" borderId="0" xfId="0" applyNumberFormat="1" applyFont="1" applyFill="1" applyBorder="1"/>
    <xf numFmtId="40" fontId="7" fillId="0" borderId="0" xfId="0" applyNumberFormat="1" applyFont="1" applyBorder="1"/>
    <xf numFmtId="171" fontId="2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8" fillId="0" borderId="49" xfId="0" applyFont="1" applyBorder="1" applyAlignment="1">
      <alignment horizontal="right"/>
    </xf>
    <xf numFmtId="40" fontId="18" fillId="0" borderId="0" xfId="0" applyNumberFormat="1" applyFont="1" applyBorder="1" applyAlignment="1">
      <alignment horizontal="center"/>
    </xf>
    <xf numFmtId="0" fontId="8" fillId="0" borderId="29" xfId="19" quotePrefix="1" applyFont="1" applyFill="1" applyBorder="1" applyAlignment="1">
      <alignment horizontal="center" vertical="center"/>
    </xf>
    <xf numFmtId="171" fontId="7" fillId="0" borderId="0" xfId="0" applyNumberFormat="1" applyFont="1" applyBorder="1" applyAlignment="1" applyProtection="1">
      <alignment horizontal="centerContinuous"/>
    </xf>
    <xf numFmtId="172" fontId="7" fillId="0" borderId="0" xfId="0" applyNumberFormat="1" applyFont="1" applyBorder="1" applyAlignment="1" applyProtection="1">
      <alignment horizontal="center"/>
    </xf>
    <xf numFmtId="171" fontId="7" fillId="0" borderId="0" xfId="0" applyNumberFormat="1" applyFont="1" applyBorder="1" applyAlignment="1">
      <alignment horizontal="centerContinuous"/>
    </xf>
    <xf numFmtId="164" fontId="46" fillId="0" borderId="29" xfId="45" quotePrefix="1" applyNumberFormat="1" applyFont="1" applyBorder="1" applyAlignment="1">
      <alignment horizontal="center"/>
    </xf>
    <xf numFmtId="0" fontId="1" fillId="0" borderId="30" xfId="0" applyFont="1" applyBorder="1" applyAlignment="1">
      <alignment horizontal="center" vertical="top"/>
    </xf>
    <xf numFmtId="172" fontId="5" fillId="0" borderId="0" xfId="0" applyNumberFormat="1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172" fontId="5" fillId="0" borderId="52" xfId="0" applyNumberFormat="1" applyFont="1" applyFill="1" applyBorder="1" applyAlignment="1">
      <alignment horizontal="center"/>
    </xf>
    <xf numFmtId="172" fontId="5" fillId="0" borderId="48" xfId="0" applyNumberFormat="1" applyFont="1" applyBorder="1" applyAlignment="1">
      <alignment horizontal="center"/>
    </xf>
    <xf numFmtId="172" fontId="7" fillId="0" borderId="48" xfId="0" applyNumberFormat="1" applyFont="1" applyBorder="1" applyAlignment="1">
      <alignment horizontal="center"/>
    </xf>
    <xf numFmtId="172" fontId="7" fillId="0" borderId="53" xfId="0" applyNumberFormat="1" applyFont="1" applyBorder="1" applyAlignment="1">
      <alignment horizontal="center"/>
    </xf>
    <xf numFmtId="172" fontId="7" fillId="0" borderId="47" xfId="0" applyNumberFormat="1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172" fontId="5" fillId="0" borderId="53" xfId="0" applyNumberFormat="1" applyFont="1" applyBorder="1" applyAlignment="1">
      <alignment horizontal="center"/>
    </xf>
    <xf numFmtId="172" fontId="7" fillId="0" borderId="52" xfId="0" applyNumberFormat="1" applyFont="1" applyBorder="1" applyAlignment="1">
      <alignment horizontal="center"/>
    </xf>
    <xf numFmtId="172" fontId="5" fillId="0" borderId="48" xfId="0" applyNumberFormat="1" applyFont="1" applyFill="1" applyBorder="1" applyAlignment="1">
      <alignment horizontal="center"/>
    </xf>
    <xf numFmtId="39" fontId="5" fillId="0" borderId="48" xfId="0" applyNumberFormat="1" applyFont="1" applyFill="1" applyBorder="1" applyAlignment="1">
      <alignment horizontal="center"/>
    </xf>
    <xf numFmtId="39" fontId="7" fillId="0" borderId="18" xfId="0" applyNumberFormat="1" applyFont="1" applyBorder="1" applyAlignment="1">
      <alignment horizontal="center"/>
    </xf>
    <xf numFmtId="172" fontId="5" fillId="0" borderId="53" xfId="0" applyNumberFormat="1" applyFont="1" applyFill="1" applyBorder="1" applyAlignment="1">
      <alignment horizontal="center"/>
    </xf>
    <xf numFmtId="172" fontId="5" fillId="0" borderId="32" xfId="0" applyNumberFormat="1" applyFont="1" applyFill="1" applyBorder="1" applyAlignment="1">
      <alignment horizontal="center"/>
    </xf>
    <xf numFmtId="38" fontId="17" fillId="0" borderId="28" xfId="19" applyNumberFormat="1" applyFont="1" applyFill="1" applyBorder="1"/>
    <xf numFmtId="2" fontId="5" fillId="0" borderId="49" xfId="0" applyNumberFormat="1" applyFont="1" applyFill="1" applyBorder="1" applyAlignment="1" applyProtection="1">
      <alignment horizontal="center"/>
    </xf>
    <xf numFmtId="172" fontId="5" fillId="0" borderId="17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4" fontId="0" fillId="0" borderId="0" xfId="0" applyNumberFormat="1"/>
    <xf numFmtId="172" fontId="47" fillId="24" borderId="34" xfId="0" applyNumberFormat="1" applyFont="1" applyFill="1" applyBorder="1" applyAlignment="1" applyProtection="1">
      <alignment horizontal="center"/>
    </xf>
    <xf numFmtId="172" fontId="5" fillId="24" borderId="34" xfId="0" applyNumberFormat="1" applyFont="1" applyFill="1" applyBorder="1" applyAlignment="1" applyProtection="1">
      <alignment horizontal="center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0" fontId="48" fillId="0" borderId="0" xfId="38" applyFont="1"/>
    <xf numFmtId="0" fontId="48" fillId="0" borderId="0" xfId="38" quotePrefix="1" applyFont="1" applyAlignment="1">
      <alignment horizontal="left"/>
    </xf>
    <xf numFmtId="170" fontId="7" fillId="0" borderId="0" xfId="0" applyNumberFormat="1" applyFont="1" applyFill="1" applyBorder="1"/>
    <xf numFmtId="4" fontId="7" fillId="0" borderId="0" xfId="0" applyNumberFormat="1" applyFont="1" applyFill="1" applyBorder="1" applyAlignment="1" applyProtection="1">
      <alignment horizontal="center"/>
    </xf>
    <xf numFmtId="3" fontId="5" fillId="0" borderId="48" xfId="19" applyNumberFormat="1" applyFont="1" applyFill="1" applyBorder="1" applyAlignment="1" applyProtection="1"/>
    <xf numFmtId="0" fontId="7" fillId="0" borderId="50" xfId="0" quotePrefix="1" applyFont="1" applyFill="1" applyBorder="1" applyAlignment="1">
      <alignment horizontal="left"/>
    </xf>
    <xf numFmtId="0" fontId="7" fillId="0" borderId="49" xfId="0" quotePrefix="1" applyFont="1" applyFill="1" applyBorder="1" applyAlignment="1">
      <alignment horizontal="left"/>
    </xf>
    <xf numFmtId="0" fontId="1" fillId="0" borderId="24" xfId="19" quotePrefix="1" applyFont="1" applyFill="1" applyBorder="1" applyAlignment="1">
      <alignment horizontal="center" vertical="center"/>
    </xf>
    <xf numFmtId="3" fontId="5" fillId="0" borderId="28" xfId="19" applyNumberFormat="1" applyFont="1" applyFill="1" applyBorder="1"/>
    <xf numFmtId="0" fontId="49" fillId="0" borderId="29" xfId="19" quotePrefix="1" applyFont="1" applyFill="1" applyBorder="1" applyAlignment="1">
      <alignment horizontal="center" vertical="center"/>
    </xf>
    <xf numFmtId="0" fontId="49" fillId="0" borderId="24" xfId="19" quotePrefix="1" applyFont="1" applyFill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/>
    </xf>
    <xf numFmtId="172" fontId="47" fillId="0" borderId="0" xfId="0" applyNumberFormat="1" applyFont="1" applyBorder="1" applyAlignment="1">
      <alignment horizontal="center"/>
    </xf>
    <xf numFmtId="2" fontId="47" fillId="0" borderId="0" xfId="0" applyNumberFormat="1" applyFont="1" applyFill="1" applyBorder="1" applyProtection="1"/>
    <xf numFmtId="172" fontId="5" fillId="0" borderId="17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0" fontId="10" fillId="0" borderId="12" xfId="0" quotePrefix="1" applyFont="1" applyBorder="1" applyAlignment="1">
      <alignment horizontal="center" vertical="center"/>
    </xf>
    <xf numFmtId="172" fontId="0" fillId="0" borderId="0" xfId="0" applyNumberFormat="1"/>
    <xf numFmtId="175" fontId="0" fillId="0" borderId="0" xfId="0" applyNumberFormat="1"/>
    <xf numFmtId="176" fontId="47" fillId="0" borderId="0" xfId="0" applyNumberFormat="1" applyFont="1" applyBorder="1" applyAlignment="1">
      <alignment horizontal="center"/>
    </xf>
    <xf numFmtId="173" fontId="47" fillId="24" borderId="19" xfId="0" applyNumberFormat="1" applyFont="1" applyFill="1" applyBorder="1" applyAlignment="1" applyProtection="1">
      <alignment horizontal="center"/>
    </xf>
    <xf numFmtId="176" fontId="5" fillId="0" borderId="0" xfId="0" applyNumberFormat="1" applyFont="1" applyBorder="1" applyAlignment="1">
      <alignment horizontal="center"/>
    </xf>
    <xf numFmtId="0" fontId="48" fillId="0" borderId="0" xfId="38" applyFont="1" applyAlignment="1">
      <alignment horizontal="left"/>
    </xf>
    <xf numFmtId="0" fontId="42" fillId="0" borderId="0" xfId="38" quotePrefix="1" applyFont="1" applyAlignment="1">
      <alignment horizontal="left"/>
    </xf>
    <xf numFmtId="0" fontId="42" fillId="0" borderId="0" xfId="38" applyFont="1"/>
    <xf numFmtId="0" fontId="42" fillId="0" borderId="0" xfId="0" applyFont="1" applyFill="1" applyBorder="1" applyAlignment="1">
      <alignment horizontal="left"/>
    </xf>
    <xf numFmtId="0" fontId="0" fillId="0" borderId="54" xfId="0" applyBorder="1" applyAlignment="1">
      <alignment horizontal="center" wrapText="1"/>
    </xf>
    <xf numFmtId="2" fontId="5" fillId="0" borderId="55" xfId="0" applyNumberFormat="1" applyFont="1" applyBorder="1" applyAlignment="1">
      <alignment horizontal="center"/>
    </xf>
    <xf numFmtId="172" fontId="5" fillId="0" borderId="17" xfId="0" applyNumberFormat="1" applyFont="1" applyBorder="1" applyAlignment="1">
      <alignment horizontal="center"/>
    </xf>
    <xf numFmtId="2" fontId="2" fillId="0" borderId="0" xfId="0" applyNumberFormat="1" applyFont="1" applyFill="1" applyBorder="1" applyProtection="1"/>
    <xf numFmtId="2" fontId="2" fillId="0" borderId="0" xfId="0" applyNumberFormat="1" applyFont="1" applyBorder="1" applyAlignment="1">
      <alignment horizontal="center"/>
    </xf>
    <xf numFmtId="39" fontId="2" fillId="0" borderId="0" xfId="0" applyNumberFormat="1" applyFont="1" applyBorder="1" applyAlignment="1">
      <alignment horizontal="center"/>
    </xf>
    <xf numFmtId="172" fontId="2" fillId="0" borderId="48" xfId="0" applyNumberFormat="1" applyFont="1" applyBorder="1" applyAlignment="1">
      <alignment horizontal="center"/>
    </xf>
    <xf numFmtId="0" fontId="2" fillId="0" borderId="15" xfId="0" applyFont="1" applyFill="1" applyBorder="1" applyAlignment="1">
      <alignment horizontal="left"/>
    </xf>
    <xf numFmtId="4" fontId="2" fillId="0" borderId="14" xfId="0" applyNumberFormat="1" applyFont="1" applyFill="1" applyBorder="1" applyAlignment="1" applyProtection="1">
      <alignment horizontal="center"/>
    </xf>
    <xf numFmtId="2" fontId="2" fillId="0" borderId="17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39" fontId="2" fillId="0" borderId="19" xfId="0" applyNumberFormat="1" applyFont="1" applyBorder="1" applyAlignment="1">
      <alignment horizontal="center"/>
    </xf>
    <xf numFmtId="172" fontId="2" fillId="0" borderId="53" xfId="0" applyNumberFormat="1" applyFont="1" applyBorder="1" applyAlignment="1">
      <alignment horizontal="center"/>
    </xf>
    <xf numFmtId="2" fontId="47" fillId="0" borderId="0" xfId="0" applyNumberFormat="1" applyFont="1" applyBorder="1" applyAlignment="1">
      <alignment horizontal="center"/>
    </xf>
    <xf numFmtId="0" fontId="1" fillId="0" borderId="29" xfId="19" quotePrefix="1" applyFont="1" applyFill="1" applyBorder="1" applyAlignment="1">
      <alignment horizontal="center" vertical="center"/>
    </xf>
    <xf numFmtId="0" fontId="2" fillId="0" borderId="15" xfId="0" quotePrefix="1" applyFont="1" applyBorder="1" applyAlignment="1">
      <alignment horizontal="left"/>
    </xf>
    <xf numFmtId="2" fontId="2" fillId="0" borderId="0" xfId="0" applyNumberFormat="1" applyFont="1" applyBorder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centerContinuous"/>
    </xf>
    <xf numFmtId="172" fontId="2" fillId="0" borderId="0" xfId="0" applyNumberFormat="1" applyFont="1" applyBorder="1" applyAlignment="1" applyProtection="1">
      <alignment horizontal="center"/>
    </xf>
    <xf numFmtId="0" fontId="2" fillId="0" borderId="15" xfId="0" applyFont="1" applyBorder="1" applyAlignment="1">
      <alignment horizontal="left"/>
    </xf>
    <xf numFmtId="0" fontId="1" fillId="0" borderId="10" xfId="19" quotePrefix="1" applyFont="1" applyFill="1" applyBorder="1" applyAlignment="1">
      <alignment horizontal="center" vertical="center"/>
    </xf>
    <xf numFmtId="2" fontId="7" fillId="0" borderId="0" xfId="0" applyNumberFormat="1" applyFont="1" applyFill="1" applyBorder="1"/>
    <xf numFmtId="172" fontId="7" fillId="0" borderId="29" xfId="0" applyNumberFormat="1" applyFont="1" applyBorder="1" applyAlignment="1">
      <alignment horizontal="center"/>
    </xf>
    <xf numFmtId="172" fontId="5" fillId="0" borderId="17" xfId="0" applyNumberFormat="1" applyFont="1" applyBorder="1" applyAlignment="1">
      <alignment horizontal="center"/>
    </xf>
    <xf numFmtId="0" fontId="7" fillId="0" borderId="56" xfId="0" quotePrefix="1" applyFont="1" applyFill="1" applyBorder="1" applyAlignment="1">
      <alignment horizontal="left"/>
    </xf>
    <xf numFmtId="2" fontId="5" fillId="0" borderId="57" xfId="0" applyNumberFormat="1" applyFont="1" applyBorder="1" applyAlignment="1">
      <alignment horizontal="center"/>
    </xf>
    <xf numFmtId="39" fontId="5" fillId="0" borderId="57" xfId="0" applyNumberFormat="1" applyFont="1" applyBorder="1" applyAlignment="1">
      <alignment horizontal="center"/>
    </xf>
    <xf numFmtId="172" fontId="5" fillId="24" borderId="57" xfId="0" applyNumberFormat="1" applyFont="1" applyFill="1" applyBorder="1" applyAlignment="1" applyProtection="1">
      <alignment horizontal="center"/>
    </xf>
    <xf numFmtId="172" fontId="5" fillId="0" borderId="57" xfId="0" applyNumberFormat="1" applyFont="1" applyFill="1" applyBorder="1" applyAlignment="1">
      <alignment horizontal="center"/>
    </xf>
    <xf numFmtId="171" fontId="7" fillId="0" borderId="57" xfId="0" applyNumberFormat="1" applyFont="1" applyBorder="1" applyAlignment="1">
      <alignment horizontal="center"/>
    </xf>
    <xf numFmtId="172" fontId="5" fillId="0" borderId="57" xfId="0" applyNumberFormat="1" applyFont="1" applyBorder="1" applyAlignment="1">
      <alignment horizontal="center"/>
    </xf>
    <xf numFmtId="172" fontId="5" fillId="0" borderId="57" xfId="0" applyNumberFormat="1" applyFont="1" applyFill="1" applyBorder="1" applyAlignment="1" applyProtection="1">
      <alignment horizontal="center"/>
    </xf>
    <xf numFmtId="173" fontId="7" fillId="24" borderId="57" xfId="0" applyNumberFormat="1" applyFont="1" applyFill="1" applyBorder="1" applyAlignment="1" applyProtection="1">
      <alignment horizontal="center"/>
    </xf>
    <xf numFmtId="170" fontId="2" fillId="0" borderId="16" xfId="0" applyNumberFormat="1" applyFont="1" applyFill="1" applyBorder="1"/>
    <xf numFmtId="4" fontId="2" fillId="0" borderId="16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170" fontId="2" fillId="0" borderId="0" xfId="0" applyNumberFormat="1" applyFont="1" applyFill="1" applyBorder="1"/>
    <xf numFmtId="4" fontId="2" fillId="0" borderId="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/>
    <xf numFmtId="170" fontId="2" fillId="0" borderId="17" xfId="0" applyNumberFormat="1" applyFont="1" applyFill="1" applyBorder="1"/>
    <xf numFmtId="4" fontId="2" fillId="0" borderId="17" xfId="0" applyNumberFormat="1" applyFont="1" applyFill="1" applyBorder="1" applyAlignment="1" applyProtection="1">
      <alignment horizontal="center"/>
    </xf>
    <xf numFmtId="4" fontId="2" fillId="0" borderId="39" xfId="0" applyNumberFormat="1" applyFont="1" applyBorder="1" applyAlignment="1" applyProtection="1">
      <alignment horizontal="center"/>
    </xf>
    <xf numFmtId="2" fontId="2" fillId="0" borderId="16" xfId="0" applyNumberFormat="1" applyFont="1" applyBorder="1" applyAlignment="1" applyProtection="1">
      <alignment horizontal="center"/>
    </xf>
    <xf numFmtId="4" fontId="2" fillId="0" borderId="28" xfId="0" applyNumberFormat="1" applyFont="1" applyBorder="1"/>
    <xf numFmtId="2" fontId="2" fillId="0" borderId="0" xfId="0" applyNumberFormat="1" applyFont="1" applyBorder="1"/>
    <xf numFmtId="0" fontId="2" fillId="0" borderId="0" xfId="0" applyFont="1" applyBorder="1"/>
    <xf numFmtId="4" fontId="2" fillId="0" borderId="50" xfId="0" applyNumberFormat="1" applyFont="1" applyBorder="1"/>
    <xf numFmtId="4" fontId="2" fillId="0" borderId="50" xfId="0" applyNumberFormat="1" applyFont="1" applyBorder="1" applyAlignment="1" applyProtection="1">
      <alignment horizontal="center"/>
    </xf>
    <xf numFmtId="4" fontId="2" fillId="0" borderId="28" xfId="0" applyNumberFormat="1" applyFont="1" applyBorder="1" applyAlignment="1" applyProtection="1">
      <alignment horizontal="center"/>
    </xf>
    <xf numFmtId="170" fontId="2" fillId="0" borderId="57" xfId="0" applyNumberFormat="1" applyFont="1" applyFill="1" applyBorder="1"/>
    <xf numFmtId="4" fontId="2" fillId="0" borderId="57" xfId="0" applyNumberFormat="1" applyFont="1" applyFill="1" applyBorder="1" applyAlignment="1" applyProtection="1">
      <alignment horizontal="center"/>
    </xf>
    <xf numFmtId="2" fontId="2" fillId="0" borderId="57" xfId="0" applyNumberFormat="1" applyFont="1" applyFill="1" applyBorder="1" applyAlignment="1">
      <alignment horizontal="center"/>
    </xf>
    <xf numFmtId="2" fontId="2" fillId="0" borderId="57" xfId="0" applyNumberFormat="1" applyFont="1" applyBorder="1" applyAlignment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9" fontId="2" fillId="0" borderId="29" xfId="20" applyFont="1" applyFill="1" applyBorder="1" applyAlignment="1" applyProtection="1">
      <alignment horizontal="center"/>
    </xf>
    <xf numFmtId="172" fontId="5" fillId="0" borderId="17" xfId="0" applyNumberFormat="1" applyFont="1" applyBorder="1" applyAlignment="1">
      <alignment horizontal="center"/>
    </xf>
    <xf numFmtId="2" fontId="47" fillId="0" borderId="0" xfId="0" applyNumberFormat="1" applyFont="1"/>
    <xf numFmtId="3" fontId="17" fillId="0" borderId="29" xfId="19" applyNumberFormat="1" applyFont="1" applyFill="1" applyBorder="1" applyAlignment="1"/>
    <xf numFmtId="172" fontId="5" fillId="0" borderId="17" xfId="0" applyNumberFormat="1" applyFont="1" applyBorder="1" applyAlignment="1">
      <alignment horizontal="center"/>
    </xf>
    <xf numFmtId="172" fontId="47" fillId="24" borderId="17" xfId="0" applyNumberFormat="1" applyFont="1" applyFill="1" applyBorder="1" applyAlignment="1" applyProtection="1">
      <alignment horizontal="center"/>
    </xf>
    <xf numFmtId="172" fontId="47" fillId="24" borderId="0" xfId="0" applyNumberFormat="1" applyFont="1" applyFill="1" applyBorder="1" applyAlignment="1" applyProtection="1">
      <alignment horizontal="center"/>
    </xf>
    <xf numFmtId="172" fontId="5" fillId="0" borderId="57" xfId="0" applyNumberFormat="1" applyFont="1" applyBorder="1" applyAlignment="1">
      <alignment horizontal="center"/>
    </xf>
    <xf numFmtId="0" fontId="2" fillId="0" borderId="56" xfId="0" quotePrefix="1" applyFont="1" applyFill="1" applyBorder="1" applyAlignment="1">
      <alignment horizontal="left"/>
    </xf>
    <xf numFmtId="2" fontId="47" fillId="0" borderId="57" xfId="0" applyNumberFormat="1" applyFont="1" applyFill="1" applyBorder="1" applyProtection="1"/>
    <xf numFmtId="4" fontId="2" fillId="0" borderId="56" xfId="0" applyNumberFormat="1" applyFont="1" applyFill="1" applyBorder="1" applyAlignment="1" applyProtection="1">
      <alignment horizontal="center"/>
    </xf>
    <xf numFmtId="2" fontId="2" fillId="0" borderId="57" xfId="0" applyNumberFormat="1" applyFont="1" applyFill="1" applyBorder="1" applyAlignment="1" applyProtection="1">
      <alignment horizontal="center"/>
    </xf>
    <xf numFmtId="173" fontId="2" fillId="24" borderId="57" xfId="0" applyNumberFormat="1" applyFont="1" applyFill="1" applyBorder="1" applyAlignment="1" applyProtection="1">
      <alignment horizontal="center"/>
    </xf>
    <xf numFmtId="2" fontId="5" fillId="0" borderId="57" xfId="0" applyNumberFormat="1" applyFont="1" applyFill="1" applyBorder="1" applyAlignment="1" applyProtection="1">
      <alignment horizontal="center"/>
    </xf>
    <xf numFmtId="172" fontId="2" fillId="0" borderId="57" xfId="0" applyNumberFormat="1" applyFont="1" applyBorder="1" applyAlignment="1">
      <alignment horizontal="center"/>
    </xf>
    <xf numFmtId="9" fontId="5" fillId="0" borderId="58" xfId="20" applyFont="1" applyFill="1" applyBorder="1" applyAlignment="1" applyProtection="1">
      <alignment horizontal="center"/>
    </xf>
    <xf numFmtId="38" fontId="5" fillId="0" borderId="56" xfId="19" applyNumberFormat="1" applyFont="1" applyFill="1" applyBorder="1"/>
    <xf numFmtId="3" fontId="5" fillId="0" borderId="59" xfId="19" applyNumberFormat="1" applyFont="1" applyFill="1" applyBorder="1" applyAlignment="1" applyProtection="1"/>
    <xf numFmtId="172" fontId="5" fillId="0" borderId="0" xfId="0" applyNumberFormat="1" applyFont="1" applyBorder="1" applyAlignment="1">
      <alignment horizontal="center"/>
    </xf>
    <xf numFmtId="172" fontId="5" fillId="0" borderId="17" xfId="0" applyNumberFormat="1" applyFont="1" applyBorder="1" applyAlignment="1">
      <alignment horizontal="center"/>
    </xf>
    <xf numFmtId="172" fontId="5" fillId="0" borderId="57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3" fontId="7" fillId="24" borderId="55" xfId="0" applyNumberFormat="1" applyFont="1" applyFill="1" applyBorder="1" applyAlignment="1" applyProtection="1">
      <alignment horizontal="center"/>
    </xf>
    <xf numFmtId="0" fontId="10" fillId="0" borderId="54" xfId="0" applyFont="1" applyBorder="1" applyAlignment="1">
      <alignment horizontal="center"/>
    </xf>
    <xf numFmtId="0" fontId="10" fillId="24" borderId="54" xfId="0" applyFont="1" applyFill="1" applyBorder="1" applyAlignment="1">
      <alignment horizontal="center" vertical="center"/>
    </xf>
    <xf numFmtId="3" fontId="5" fillId="0" borderId="48" xfId="19" applyNumberFormat="1" applyFont="1" applyFill="1" applyBorder="1" applyAlignment="1"/>
    <xf numFmtId="172" fontId="5" fillId="0" borderId="0" xfId="0" applyNumberFormat="1" applyFont="1" applyBorder="1" applyAlignment="1">
      <alignment horizontal="center"/>
    </xf>
    <xf numFmtId="2" fontId="47" fillId="0" borderId="0" xfId="0" quotePrefix="1" applyNumberFormat="1" applyFont="1"/>
    <xf numFmtId="172" fontId="5" fillId="0" borderId="0" xfId="0" applyNumberFormat="1" applyFont="1" applyBorder="1" applyAlignment="1">
      <alignment horizontal="center"/>
    </xf>
    <xf numFmtId="2" fontId="5" fillId="0" borderId="50" xfId="0" applyNumberFormat="1" applyFont="1" applyBorder="1" applyAlignment="1" applyProtection="1">
      <alignment horizontal="center"/>
    </xf>
    <xf numFmtId="3" fontId="17" fillId="0" borderId="29" xfId="19" applyNumberFormat="1" applyFont="1" applyFill="1" applyBorder="1" applyAlignment="1" applyProtection="1"/>
    <xf numFmtId="172" fontId="5" fillId="0" borderId="0" xfId="0" applyNumberFormat="1" applyFont="1" applyBorder="1" applyAlignment="1">
      <alignment horizontal="center"/>
    </xf>
    <xf numFmtId="172" fontId="5" fillId="0" borderId="17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4" fontId="5" fillId="0" borderId="0" xfId="0" applyNumberFormat="1" applyFont="1" applyBorder="1"/>
    <xf numFmtId="14" fontId="5" fillId="0" borderId="38" xfId="0" applyNumberFormat="1" applyFont="1" applyBorder="1"/>
    <xf numFmtId="38" fontId="17" fillId="0" borderId="50" xfId="19" applyNumberFormat="1" applyFont="1" applyFill="1" applyBorder="1"/>
    <xf numFmtId="172" fontId="5" fillId="0" borderId="17" xfId="0" applyNumberFormat="1" applyFont="1" applyBorder="1" applyAlignment="1">
      <alignment horizontal="center"/>
    </xf>
    <xf numFmtId="172" fontId="0" fillId="0" borderId="17" xfId="0" applyNumberFormat="1" applyBorder="1" applyAlignment="1">
      <alignment horizontal="center"/>
    </xf>
    <xf numFmtId="2" fontId="10" fillId="0" borderId="23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wrapText="1"/>
    </xf>
    <xf numFmtId="0" fontId="10" fillId="24" borderId="23" xfId="0" quotePrefix="1" applyFont="1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10" fillId="24" borderId="22" xfId="0" applyNumberFormat="1" applyFont="1" applyFill="1" applyBorder="1" applyAlignment="1">
      <alignment horizontal="center" vertical="center" wrapText="1"/>
    </xf>
    <xf numFmtId="0" fontId="0" fillId="24" borderId="35" xfId="0" applyFill="1" applyBorder="1" applyAlignment="1">
      <alignment horizontal="center" wrapText="1"/>
    </xf>
    <xf numFmtId="2" fontId="10" fillId="24" borderId="23" xfId="0" applyNumberFormat="1" applyFont="1" applyFill="1" applyBorder="1" applyAlignment="1">
      <alignment horizontal="center" vertical="center" wrapText="1"/>
    </xf>
    <xf numFmtId="0" fontId="0" fillId="24" borderId="36" xfId="0" applyFill="1" applyBorder="1" applyAlignment="1">
      <alignment horizontal="center" wrapText="1"/>
    </xf>
    <xf numFmtId="2" fontId="10" fillId="0" borderId="23" xfId="0" quotePrefix="1" applyNumberFormat="1" applyFont="1" applyFill="1" applyBorder="1" applyAlignment="1">
      <alignment horizontal="center" vertical="center" wrapText="1"/>
    </xf>
    <xf numFmtId="2" fontId="10" fillId="0" borderId="34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2" fontId="10" fillId="0" borderId="24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15" fillId="0" borderId="49" xfId="0" applyFon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49" fillId="0" borderId="25" xfId="19" quotePrefix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24" borderId="51" xfId="0" applyFill="1" applyBorder="1" applyAlignment="1">
      <alignment horizontal="center" wrapText="1"/>
    </xf>
    <xf numFmtId="2" fontId="10" fillId="24" borderId="23" xfId="0" quotePrefix="1" applyNumberFormat="1" applyFont="1" applyFill="1" applyBorder="1" applyAlignment="1">
      <alignment horizontal="center" vertical="center" wrapText="1"/>
    </xf>
    <xf numFmtId="4" fontId="10" fillId="0" borderId="23" xfId="0" applyNumberFormat="1" applyFont="1" applyFill="1" applyBorder="1" applyAlignment="1">
      <alignment horizontal="center" vertical="center" wrapText="1"/>
    </xf>
    <xf numFmtId="4" fontId="0" fillId="0" borderId="36" xfId="0" applyNumberFormat="1" applyBorder="1" applyAlignment="1">
      <alignment horizontal="center" wrapText="1"/>
    </xf>
    <xf numFmtId="4" fontId="0" fillId="0" borderId="27" xfId="0" applyNumberFormat="1" applyBorder="1" applyAlignment="1">
      <alignment horizontal="center" wrapText="1"/>
    </xf>
    <xf numFmtId="172" fontId="5" fillId="0" borderId="57" xfId="0" applyNumberFormat="1" applyFont="1" applyBorder="1" applyAlignment="1">
      <alignment horizontal="center"/>
    </xf>
    <xf numFmtId="0" fontId="0" fillId="0" borderId="57" xfId="0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Fill="1" applyBorder="1" applyAlignment="1">
      <alignment horizontal="center" wrapText="1"/>
    </xf>
    <xf numFmtId="0" fontId="0" fillId="24" borderId="27" xfId="0" applyFill="1" applyBorder="1" applyAlignment="1">
      <alignment horizontal="center" wrapText="1"/>
    </xf>
    <xf numFmtId="2" fontId="10" fillId="0" borderId="21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5" xfId="0" applyBorder="1" applyAlignment="1">
      <alignment horizontal="center" wrapText="1"/>
    </xf>
  </cellXfs>
  <cellStyles count="47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Comma_Sheet1" xfId="45" xr:uid="{00000000-0005-0000-0000-000012000000}"/>
    <cellStyle name="Normal" xfId="0" builtinId="0"/>
    <cellStyle name="Normal 5" xfId="46" xr:uid="{00000000-0005-0000-0000-000014000000}"/>
    <cellStyle name="Normal_ontwerpNPV" xfId="19" xr:uid="{00000000-0005-0000-0000-000015000000}"/>
    <cellStyle name="Percent" xfId="20" builtinId="5"/>
    <cellStyle name="Акцент1" xfId="21" xr:uid="{00000000-0005-0000-0000-000017000000}"/>
    <cellStyle name="Акцент2" xfId="22" xr:uid="{00000000-0005-0000-0000-000018000000}"/>
    <cellStyle name="Акцент3" xfId="23" xr:uid="{00000000-0005-0000-0000-000019000000}"/>
    <cellStyle name="Акцент4" xfId="24" xr:uid="{00000000-0005-0000-0000-00001A000000}"/>
    <cellStyle name="Акцент5" xfId="25" xr:uid="{00000000-0005-0000-0000-00001B000000}"/>
    <cellStyle name="Акцент6" xfId="26" xr:uid="{00000000-0005-0000-0000-00001C000000}"/>
    <cellStyle name="Ввод " xfId="27" xr:uid="{00000000-0005-0000-0000-00001D000000}"/>
    <cellStyle name="Вывод" xfId="28" xr:uid="{00000000-0005-0000-0000-00001E000000}"/>
    <cellStyle name="Вычисление" xfId="29" xr:uid="{00000000-0005-0000-0000-00001F000000}"/>
    <cellStyle name="Заголовок 1" xfId="30" xr:uid="{00000000-0005-0000-0000-000020000000}"/>
    <cellStyle name="Заголовок 2" xfId="31" xr:uid="{00000000-0005-0000-0000-000021000000}"/>
    <cellStyle name="Заголовок 3" xfId="32" xr:uid="{00000000-0005-0000-0000-000022000000}"/>
    <cellStyle name="Заголовок 4" xfId="33" xr:uid="{00000000-0005-0000-0000-000023000000}"/>
    <cellStyle name="Итог" xfId="34" xr:uid="{00000000-0005-0000-0000-000024000000}"/>
    <cellStyle name="Контрольная ячейка" xfId="35" xr:uid="{00000000-0005-0000-0000-000025000000}"/>
    <cellStyle name="Название" xfId="36" xr:uid="{00000000-0005-0000-0000-000026000000}"/>
    <cellStyle name="Нейтральный" xfId="37" xr:uid="{00000000-0005-0000-0000-000027000000}"/>
    <cellStyle name="Обычный_PremierLeague" xfId="38" xr:uid="{00000000-0005-0000-0000-000028000000}"/>
    <cellStyle name="Плохой" xfId="39" xr:uid="{00000000-0005-0000-0000-000029000000}"/>
    <cellStyle name="Пояснение" xfId="40" xr:uid="{00000000-0005-0000-0000-00002A000000}"/>
    <cellStyle name="Примечание" xfId="41" xr:uid="{00000000-0005-0000-0000-00002B000000}"/>
    <cellStyle name="Связанная ячейка" xfId="42" xr:uid="{00000000-0005-0000-0000-00002C000000}"/>
    <cellStyle name="Текст предупреждения" xfId="43" xr:uid="{00000000-0005-0000-0000-00002D000000}"/>
    <cellStyle name="Хороший" xfId="44" xr:uid="{00000000-0005-0000-0000-00002E000000}"/>
  </cellStyles>
  <dxfs count="2">
    <dxf>
      <font>
        <condense val="0"/>
        <extend val="0"/>
        <color indexed="9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8000"/>
      <color rgb="FFFF6600"/>
      <color rgb="FFFF4500"/>
      <color rgb="FF006400"/>
      <color rgb="FFFF0000"/>
      <color rgb="FF009644"/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Yieldcurve</a:t>
            </a:r>
          </a:p>
        </c:rich>
      </c:tx>
      <c:layout>
        <c:manualLayout>
          <c:xMode val="edge"/>
          <c:yMode val="edge"/>
          <c:x val="0.4385034223663218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4246940185878"/>
          <c:y val="0.14232261792858267"/>
          <c:w val="0.81996577673409776"/>
          <c:h val="0.63670644862786985"/>
        </c:manualLayout>
      </c:layout>
      <c:lineChart>
        <c:grouping val="standard"/>
        <c:varyColors val="0"/>
        <c:ser>
          <c:idx val="0"/>
          <c:order val="0"/>
          <c:tx>
            <c:v/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grafiek!$D$5:$D$18</c:f>
              <c:strCache>
                <c:ptCount val="14"/>
                <c:pt idx="0">
                  <c:v>O/N</c:v>
                </c:pt>
                <c:pt idx="1">
                  <c:v>1 MD</c:v>
                </c:pt>
                <c:pt idx="2">
                  <c:v>3 MD</c:v>
                </c:pt>
                <c:pt idx="3">
                  <c:v>6 MD</c:v>
                </c:pt>
                <c:pt idx="4">
                  <c:v>1 JR</c:v>
                </c:pt>
                <c:pt idx="5">
                  <c:v>2 JR</c:v>
                </c:pt>
                <c:pt idx="6">
                  <c:v>3 JR</c:v>
                </c:pt>
                <c:pt idx="7">
                  <c:v>4 JR</c:v>
                </c:pt>
                <c:pt idx="8">
                  <c:v>5 JR</c:v>
                </c:pt>
                <c:pt idx="9">
                  <c:v>6 JR</c:v>
                </c:pt>
                <c:pt idx="10">
                  <c:v>7 JR</c:v>
                </c:pt>
                <c:pt idx="11">
                  <c:v>8 JR</c:v>
                </c:pt>
                <c:pt idx="12">
                  <c:v>9 JR</c:v>
                </c:pt>
                <c:pt idx="13">
                  <c:v>10 JR</c:v>
                </c:pt>
              </c:strCache>
            </c:strRef>
          </c:cat>
          <c:val>
            <c:numRef>
              <c:f>grafiek!$E$5:$E$18</c:f>
              <c:numCache>
                <c:formatCode>#,000_)</c:formatCode>
                <c:ptCount val="14"/>
                <c:pt idx="0">
                  <c:v>3.9053</c:v>
                </c:pt>
                <c:pt idx="1">
                  <c:v>3.8264999999999998</c:v>
                </c:pt>
                <c:pt idx="2">
                  <c:v>3.7202999999999999</c:v>
                </c:pt>
                <c:pt idx="3">
                  <c:v>3.6198999999999999</c:v>
                </c:pt>
                <c:pt idx="4">
                  <c:v>3.4342000000000001</c:v>
                </c:pt>
                <c:pt idx="5">
                  <c:v>3.0958000000000001</c:v>
                </c:pt>
                <c:pt idx="6">
                  <c:v>2.8908999999999998</c:v>
                </c:pt>
                <c:pt idx="7">
                  <c:v>2.7627999999999999</c:v>
                </c:pt>
                <c:pt idx="8">
                  <c:v>2.6869000000000001</c:v>
                </c:pt>
                <c:pt idx="9">
                  <c:v>2.6442000000000001</c:v>
                </c:pt>
                <c:pt idx="10">
                  <c:v>2.6221000000000001</c:v>
                </c:pt>
                <c:pt idx="11">
                  <c:v>2.6160000000000001</c:v>
                </c:pt>
                <c:pt idx="12">
                  <c:v>2.6206</c:v>
                </c:pt>
                <c:pt idx="13">
                  <c:v>2.6316999999999999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D-47AB-8C79-8F3F905C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49184"/>
        <c:axId val="394355456"/>
      </c:lineChart>
      <c:catAx>
        <c:axId val="394349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Looptijd</a:t>
                </a:r>
              </a:p>
            </c:rich>
          </c:tx>
          <c:layout>
            <c:manualLayout>
              <c:xMode val="edge"/>
              <c:yMode val="edge"/>
              <c:x val="0.49554460772617331"/>
              <c:y val="0.88015295840828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355456"/>
        <c:crossesAt val="-0.60000000000000009"/>
        <c:auto val="0"/>
        <c:lblAlgn val="ctr"/>
        <c:lblOffset val="100"/>
        <c:tickLblSkip val="1"/>
        <c:tickMarkSkip val="1"/>
        <c:noMultiLvlLbl val="0"/>
      </c:catAx>
      <c:valAx>
        <c:axId val="394355456"/>
        <c:scaling>
          <c:orientation val="minMax"/>
          <c:max val="3.9499999999999997"/>
          <c:min val="2.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opport.rente</a:t>
                </a:r>
              </a:p>
            </c:rich>
          </c:tx>
          <c:layout>
            <c:manualLayout>
              <c:xMode val="edge"/>
              <c:yMode val="edge"/>
              <c:x val="2.8520499108734401E-2"/>
              <c:y val="0.322098557904980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4349184"/>
        <c:crosses val="autoZero"/>
        <c:crossBetween val="midCat"/>
        <c:majorUnit val="0.3000000000000000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Rente 1 maand en 5 jaar van voorbije 52 weken</a:t>
            </a:r>
          </a:p>
        </c:rich>
      </c:tx>
      <c:layout>
        <c:manualLayout>
          <c:xMode val="edge"/>
          <c:yMode val="edge"/>
          <c:x val="0.26916277176582876"/>
          <c:y val="3.7800687285223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96577673409773E-2"/>
          <c:y val="0.13745750596510539"/>
          <c:w val="0.85026885978731437"/>
          <c:h val="0.65635959098337826"/>
        </c:manualLayout>
      </c:layout>
      <c:lineChart>
        <c:grouping val="standard"/>
        <c:varyColors val="0"/>
        <c:ser>
          <c:idx val="0"/>
          <c:order val="0"/>
          <c:tx>
            <c:strRef>
              <c:f>[0]!Y1_naam</c:f>
              <c:strCache>
                <c:ptCount val="1"/>
                <c:pt idx="0">
                  <c:v>1 MD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[0]!X_as</c:f>
              <c:numCache>
                <c:formatCode>00</c:formatCode>
                <c:ptCount val="5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</c:numCache>
            </c:numRef>
          </c:cat>
          <c:val>
            <c:numRef>
              <c:f>[0]!Y1_as</c:f>
              <c:numCache>
                <c:formatCode>0.00</c:formatCode>
                <c:ptCount val="52"/>
                <c:pt idx="0">
                  <c:v>3.2469000000000001</c:v>
                </c:pt>
                <c:pt idx="1">
                  <c:v>3.3016000000000001</c:v>
                </c:pt>
                <c:pt idx="2">
                  <c:v>3.3589000000000002</c:v>
                </c:pt>
                <c:pt idx="3">
                  <c:v>3.3950999999999998</c:v>
                </c:pt>
                <c:pt idx="4">
                  <c:v>3.4022999999999999</c:v>
                </c:pt>
                <c:pt idx="5">
                  <c:v>3.4287000000000001</c:v>
                </c:pt>
                <c:pt idx="6">
                  <c:v>3.4866000000000001</c:v>
                </c:pt>
                <c:pt idx="7">
                  <c:v>3.5417000000000001</c:v>
                </c:pt>
                <c:pt idx="8">
                  <c:v>3.5983000000000001</c:v>
                </c:pt>
                <c:pt idx="9">
                  <c:v>3.6494</c:v>
                </c:pt>
                <c:pt idx="10">
                  <c:v>3.6560999999999999</c:v>
                </c:pt>
                <c:pt idx="11">
                  <c:v>3.6566000000000001</c:v>
                </c:pt>
                <c:pt idx="12">
                  <c:v>3.6745000000000001</c:v>
                </c:pt>
                <c:pt idx="13">
                  <c:v>3.6922000000000001</c:v>
                </c:pt>
                <c:pt idx="14">
                  <c:v>3.6943000000000001</c:v>
                </c:pt>
                <c:pt idx="15">
                  <c:v>3.7555999999999998</c:v>
                </c:pt>
                <c:pt idx="16">
                  <c:v>3.9018999999999999</c:v>
                </c:pt>
                <c:pt idx="17">
                  <c:v>3.9062000000000001</c:v>
                </c:pt>
                <c:pt idx="18">
                  <c:v>3.9073000000000002</c:v>
                </c:pt>
                <c:pt idx="19">
                  <c:v>3.9045999999999998</c:v>
                </c:pt>
                <c:pt idx="20">
                  <c:v>3.9028999999999998</c:v>
                </c:pt>
                <c:pt idx="21">
                  <c:v>3.9049</c:v>
                </c:pt>
                <c:pt idx="22">
                  <c:v>3.9024000000000001</c:v>
                </c:pt>
                <c:pt idx="23">
                  <c:v>3.9026999999999998</c:v>
                </c:pt>
                <c:pt idx="24">
                  <c:v>3.9036</c:v>
                </c:pt>
                <c:pt idx="25">
                  <c:v>3.9030999999999998</c:v>
                </c:pt>
                <c:pt idx="26">
                  <c:v>3.9033000000000002</c:v>
                </c:pt>
                <c:pt idx="27">
                  <c:v>3.8999000000000001</c:v>
                </c:pt>
                <c:pt idx="28">
                  <c:v>3.8999000000000001</c:v>
                </c:pt>
                <c:pt idx="29">
                  <c:v>3.9018000000000002</c:v>
                </c:pt>
                <c:pt idx="30">
                  <c:v>3.9026000000000001</c:v>
                </c:pt>
                <c:pt idx="31">
                  <c:v>3.9026000000000001</c:v>
                </c:pt>
                <c:pt idx="32">
                  <c:v>3.9045000000000001</c:v>
                </c:pt>
                <c:pt idx="33">
                  <c:v>3.9047999999999998</c:v>
                </c:pt>
                <c:pt idx="34">
                  <c:v>3.9049</c:v>
                </c:pt>
                <c:pt idx="35">
                  <c:v>3.9060000000000001</c:v>
                </c:pt>
                <c:pt idx="36">
                  <c:v>3.9039000000000001</c:v>
                </c:pt>
                <c:pt idx="37">
                  <c:v>3.9081999999999999</c:v>
                </c:pt>
                <c:pt idx="38">
                  <c:v>3.9094000000000002</c:v>
                </c:pt>
                <c:pt idx="39">
                  <c:v>3.9068000000000001</c:v>
                </c:pt>
                <c:pt idx="40">
                  <c:v>3.9039999999999999</c:v>
                </c:pt>
                <c:pt idx="41">
                  <c:v>3.9056000000000002</c:v>
                </c:pt>
                <c:pt idx="42">
                  <c:v>3.9066000000000001</c:v>
                </c:pt>
                <c:pt idx="43">
                  <c:v>3.9005000000000001</c:v>
                </c:pt>
                <c:pt idx="44">
                  <c:v>3.8934000000000002</c:v>
                </c:pt>
                <c:pt idx="45">
                  <c:v>3.9028999999999998</c:v>
                </c:pt>
                <c:pt idx="46">
                  <c:v>3.9062999999999999</c:v>
                </c:pt>
                <c:pt idx="47">
                  <c:v>3.91</c:v>
                </c:pt>
                <c:pt idx="48">
                  <c:v>3.9123000000000001</c:v>
                </c:pt>
                <c:pt idx="49">
                  <c:v>3.9127000000000001</c:v>
                </c:pt>
                <c:pt idx="50">
                  <c:v>3.8803999999999998</c:v>
                </c:pt>
                <c:pt idx="51">
                  <c:v>3.8264999999999998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3-4BE0-8019-97B8D6095F67}"/>
            </c:ext>
          </c:extLst>
        </c:ser>
        <c:ser>
          <c:idx val="1"/>
          <c:order val="1"/>
          <c:tx>
            <c:strRef>
              <c:f>[0]!Y2_naam</c:f>
              <c:strCache>
                <c:ptCount val="1"/>
                <c:pt idx="0">
                  <c:v>5 JR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[0]!X_as</c:f>
              <c:numCache>
                <c:formatCode>00</c:formatCode>
                <c:ptCount val="5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22</c:v>
                </c:pt>
              </c:numCache>
            </c:numRef>
          </c:cat>
          <c:val>
            <c:numRef>
              <c:f>[0]!Y2_as</c:f>
              <c:numCache>
                <c:formatCode>0.00</c:formatCode>
                <c:ptCount val="52"/>
                <c:pt idx="0">
                  <c:v>2.7854000000000001</c:v>
                </c:pt>
                <c:pt idx="1">
                  <c:v>2.8468</c:v>
                </c:pt>
                <c:pt idx="2">
                  <c:v>2.9325999999999999</c:v>
                </c:pt>
                <c:pt idx="3">
                  <c:v>2.9893000000000001</c:v>
                </c:pt>
                <c:pt idx="4">
                  <c:v>2.9689999999999999</c:v>
                </c:pt>
                <c:pt idx="5">
                  <c:v>3.0581999999999998</c:v>
                </c:pt>
                <c:pt idx="6">
                  <c:v>3.1737000000000002</c:v>
                </c:pt>
                <c:pt idx="7">
                  <c:v>2.9952999999999999</c:v>
                </c:pt>
                <c:pt idx="8">
                  <c:v>2.9874000000000001</c:v>
                </c:pt>
                <c:pt idx="9">
                  <c:v>2.9740000000000002</c:v>
                </c:pt>
                <c:pt idx="10">
                  <c:v>2.9716</c:v>
                </c:pt>
                <c:pt idx="11">
                  <c:v>3.0901000000000001</c:v>
                </c:pt>
                <c:pt idx="12">
                  <c:v>3.052</c:v>
                </c:pt>
                <c:pt idx="13">
                  <c:v>3.0028999999999999</c:v>
                </c:pt>
                <c:pt idx="14">
                  <c:v>2.9964</c:v>
                </c:pt>
                <c:pt idx="15">
                  <c:v>3.0554999999999999</c:v>
                </c:pt>
                <c:pt idx="16">
                  <c:v>3.1089000000000002</c:v>
                </c:pt>
                <c:pt idx="17">
                  <c:v>3.1467000000000001</c:v>
                </c:pt>
                <c:pt idx="18">
                  <c:v>3.2084000000000001</c:v>
                </c:pt>
                <c:pt idx="19">
                  <c:v>3.0849000000000002</c:v>
                </c:pt>
                <c:pt idx="20">
                  <c:v>3.1453000000000002</c:v>
                </c:pt>
                <c:pt idx="21">
                  <c:v>3.141</c:v>
                </c:pt>
                <c:pt idx="22">
                  <c:v>3.0104000000000002</c:v>
                </c:pt>
                <c:pt idx="23">
                  <c:v>2.8717000000000001</c:v>
                </c:pt>
                <c:pt idx="24">
                  <c:v>2.8824000000000001</c:v>
                </c:pt>
                <c:pt idx="25">
                  <c:v>2.8136000000000001</c:v>
                </c:pt>
                <c:pt idx="26">
                  <c:v>2.7681</c:v>
                </c:pt>
                <c:pt idx="27">
                  <c:v>2.4874000000000001</c:v>
                </c:pt>
                <c:pt idx="28">
                  <c:v>2.4874000000000001</c:v>
                </c:pt>
                <c:pt idx="29">
                  <c:v>2.2496999999999998</c:v>
                </c:pt>
                <c:pt idx="30">
                  <c:v>2.1421000000000001</c:v>
                </c:pt>
                <c:pt idx="31">
                  <c:v>2.2027999999999999</c:v>
                </c:pt>
                <c:pt idx="32">
                  <c:v>2.3449</c:v>
                </c:pt>
                <c:pt idx="33">
                  <c:v>2.3652000000000002</c:v>
                </c:pt>
                <c:pt idx="34">
                  <c:v>2.4668999999999999</c:v>
                </c:pt>
                <c:pt idx="35">
                  <c:v>2.3546</c:v>
                </c:pt>
                <c:pt idx="36">
                  <c:v>2.4108999999999998</c:v>
                </c:pt>
                <c:pt idx="37">
                  <c:v>2.5065</c:v>
                </c:pt>
                <c:pt idx="38">
                  <c:v>2.5543999999999998</c:v>
                </c:pt>
                <c:pt idx="39">
                  <c:v>2.5897000000000001</c:v>
                </c:pt>
                <c:pt idx="40">
                  <c:v>2.5444</c:v>
                </c:pt>
                <c:pt idx="41">
                  <c:v>2.4624000000000001</c:v>
                </c:pt>
                <c:pt idx="42">
                  <c:v>2.5882000000000001</c:v>
                </c:pt>
                <c:pt idx="43">
                  <c:v>2.4958</c:v>
                </c:pt>
                <c:pt idx="44">
                  <c:v>2.5099999999999998</c:v>
                </c:pt>
                <c:pt idx="45">
                  <c:v>2.54</c:v>
                </c:pt>
                <c:pt idx="46">
                  <c:v>2.6183000000000001</c:v>
                </c:pt>
                <c:pt idx="47">
                  <c:v>2.6829000000000001</c:v>
                </c:pt>
                <c:pt idx="48">
                  <c:v>2.7307000000000001</c:v>
                </c:pt>
                <c:pt idx="49">
                  <c:v>2.6364000000000001</c:v>
                </c:pt>
                <c:pt idx="50">
                  <c:v>2.6757</c:v>
                </c:pt>
                <c:pt idx="51">
                  <c:v>2.6869000000000001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3-4BE0-8019-97B8D609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03424"/>
        <c:axId val="531305216"/>
      </c:lineChart>
      <c:catAx>
        <c:axId val="531303424"/>
        <c:scaling>
          <c:orientation val="minMax"/>
        </c:scaling>
        <c:delete val="0"/>
        <c:axPos val="b"/>
        <c:numFmt formatCode="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305216"/>
        <c:crossesAt val="-0.8"/>
        <c:auto val="0"/>
        <c:lblAlgn val="ctr"/>
        <c:lblOffset val="100"/>
        <c:tickLblSkip val="3"/>
        <c:tickMarkSkip val="1"/>
        <c:noMultiLvlLbl val="0"/>
      </c:catAx>
      <c:valAx>
        <c:axId val="531305216"/>
        <c:scaling>
          <c:orientation val="minMax"/>
          <c:max val="4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303424"/>
        <c:crosses val="autoZero"/>
        <c:crossBetween val="midCat"/>
        <c:majorUnit val="0.4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928773609181201"/>
          <c:y val="7.2165309233253067E-2"/>
          <c:w val="0.21568664879456911"/>
          <c:h val="5.841960476589910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Helv"/>
              <a:ea typeface="Helv"/>
              <a:cs typeface="Helv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-4" verticalDpi="1200"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146050</xdr:colOff>
          <xdr:row>0</xdr:row>
          <xdr:rowOff>107950</xdr:rowOff>
        </xdr:from>
        <xdr:to>
          <xdr:col>37</xdr:col>
          <xdr:colOff>482600</xdr:colOff>
          <xdr:row>0</xdr:row>
          <xdr:rowOff>381000</xdr:rowOff>
        </xdr:to>
        <xdr:sp macro="" textlink="">
          <xdr:nvSpPr>
            <xdr:cNvPr id="18660" name="ActComboLang" hidden="1">
              <a:extLst>
                <a:ext uri="{63B3BB69-23CF-44E3-9099-C40C66FF867C}">
                  <a14:compatExt spid="_x0000_s18660"/>
                </a:ext>
                <a:ext uri="{FF2B5EF4-FFF2-40B4-BE49-F238E27FC236}">
                  <a16:creationId xmlns:a16="http://schemas.microsoft.com/office/drawing/2014/main" id="{00000000-0008-0000-0100-0000E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19</xdr:col>
      <xdr:colOff>148802</xdr:colOff>
      <xdr:row>30</xdr:row>
      <xdr:rowOff>9525</xdr:rowOff>
    </xdr:from>
    <xdr:to>
      <xdr:col>25</xdr:col>
      <xdr:colOff>391795</xdr:colOff>
      <xdr:row>32</xdr:row>
      <xdr:rowOff>85725</xdr:rowOff>
    </xdr:to>
    <xdr:sp macro="" textlink="">
      <xdr:nvSpPr>
        <xdr:cNvPr id="18459" name="Text Box 27" hidden="1">
          <a:extLst>
            <a:ext uri="{FF2B5EF4-FFF2-40B4-BE49-F238E27FC236}">
              <a16:creationId xmlns:a16="http://schemas.microsoft.com/office/drawing/2014/main" id="{00000000-0008-0000-0100-00001B480000}"/>
            </a:ext>
          </a:extLst>
        </xdr:cNvPr>
        <xdr:cNvSpPr txBox="1">
          <a:spLocks noChangeArrowheads="1"/>
        </xdr:cNvSpPr>
      </xdr:nvSpPr>
      <xdr:spPr bwMode="auto">
        <a:xfrm>
          <a:off x="8420100" y="5381625"/>
          <a:ext cx="17811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273261</xdr:colOff>
      <xdr:row>20</xdr:row>
      <xdr:rowOff>114300</xdr:rowOff>
    </xdr:from>
    <xdr:to>
      <xdr:col>17</xdr:col>
      <xdr:colOff>469900</xdr:colOff>
      <xdr:row>22</xdr:row>
      <xdr:rowOff>104775</xdr:rowOff>
    </xdr:to>
    <xdr:sp macro="" textlink="">
      <xdr:nvSpPr>
        <xdr:cNvPr id="18460" name="Text Box 28" hidden="1">
          <a:extLst>
            <a:ext uri="{FF2B5EF4-FFF2-40B4-BE49-F238E27FC236}">
              <a16:creationId xmlns:a16="http://schemas.microsoft.com/office/drawing/2014/main" id="{00000000-0008-0000-0100-00001C480000}"/>
            </a:ext>
          </a:extLst>
        </xdr:cNvPr>
        <xdr:cNvSpPr txBox="1">
          <a:spLocks noChangeArrowheads="1"/>
        </xdr:cNvSpPr>
      </xdr:nvSpPr>
      <xdr:spPr bwMode="auto">
        <a:xfrm>
          <a:off x="6257925" y="3867150"/>
          <a:ext cx="11430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577427</xdr:colOff>
      <xdr:row>1</xdr:row>
      <xdr:rowOff>257175</xdr:rowOff>
    </xdr:from>
    <xdr:to>
      <xdr:col>30</xdr:col>
      <xdr:colOff>10794</xdr:colOff>
      <xdr:row>3</xdr:row>
      <xdr:rowOff>28575</xdr:rowOff>
    </xdr:to>
    <xdr:sp macro="" textlink="">
      <xdr:nvSpPr>
        <xdr:cNvPr id="18466" name="Text Box 34" hidden="1">
          <a:extLst>
            <a:ext uri="{FF2B5EF4-FFF2-40B4-BE49-F238E27FC236}">
              <a16:creationId xmlns:a16="http://schemas.microsoft.com/office/drawing/2014/main" id="{00000000-0008-0000-0100-000022480000}"/>
            </a:ext>
          </a:extLst>
        </xdr:cNvPr>
        <xdr:cNvSpPr txBox="1">
          <a:spLocks noChangeArrowheads="1"/>
        </xdr:cNvSpPr>
      </xdr:nvSpPr>
      <xdr:spPr bwMode="auto">
        <a:xfrm>
          <a:off x="12773025" y="657225"/>
          <a:ext cx="10668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531706</xdr:colOff>
      <xdr:row>1</xdr:row>
      <xdr:rowOff>257175</xdr:rowOff>
    </xdr:from>
    <xdr:to>
      <xdr:col>30</xdr:col>
      <xdr:colOff>823806</xdr:colOff>
      <xdr:row>3</xdr:row>
      <xdr:rowOff>9525</xdr:rowOff>
    </xdr:to>
    <xdr:sp macro="" textlink="">
      <xdr:nvSpPr>
        <xdr:cNvPr id="18467" name="Text Box 35" hidden="1">
          <a:extLst>
            <a:ext uri="{FF2B5EF4-FFF2-40B4-BE49-F238E27FC236}">
              <a16:creationId xmlns:a16="http://schemas.microsoft.com/office/drawing/2014/main" id="{00000000-0008-0000-0100-000023480000}"/>
            </a:ext>
          </a:extLst>
        </xdr:cNvPr>
        <xdr:cNvSpPr txBox="1">
          <a:spLocks noChangeArrowheads="1"/>
        </xdr:cNvSpPr>
      </xdr:nvSpPr>
      <xdr:spPr bwMode="auto">
        <a:xfrm>
          <a:off x="13506450" y="657225"/>
          <a:ext cx="11239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406400</xdr:colOff>
      <xdr:row>40</xdr:row>
      <xdr:rowOff>155575</xdr:rowOff>
    </xdr:from>
    <xdr:to>
      <xdr:col>19</xdr:col>
      <xdr:colOff>737659</xdr:colOff>
      <xdr:row>42</xdr:row>
      <xdr:rowOff>155575</xdr:rowOff>
    </xdr:to>
    <xdr:sp macro="" textlink="">
      <xdr:nvSpPr>
        <xdr:cNvPr id="18528" name="Text Box 96" hidden="1">
          <a:extLst>
            <a:ext uri="{FF2B5EF4-FFF2-40B4-BE49-F238E27FC236}">
              <a16:creationId xmlns:a16="http://schemas.microsoft.com/office/drawing/2014/main" id="{00000000-0008-0000-0100-000060480000}"/>
            </a:ext>
          </a:extLst>
        </xdr:cNvPr>
        <xdr:cNvSpPr txBox="1">
          <a:spLocks noChangeArrowheads="1"/>
        </xdr:cNvSpPr>
      </xdr:nvSpPr>
      <xdr:spPr bwMode="auto">
        <a:xfrm>
          <a:off x="7324725" y="7143750"/>
          <a:ext cx="17049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734484</xdr:colOff>
      <xdr:row>31</xdr:row>
      <xdr:rowOff>9525</xdr:rowOff>
    </xdr:from>
    <xdr:to>
      <xdr:col>28</xdr:col>
      <xdr:colOff>318771</xdr:colOff>
      <xdr:row>36</xdr:row>
      <xdr:rowOff>22225</xdr:rowOff>
    </xdr:to>
    <xdr:sp macro="" textlink="">
      <xdr:nvSpPr>
        <xdr:cNvPr id="18565" name="Text Box 133" hidden="1">
          <a:extLst>
            <a:ext uri="{FF2B5EF4-FFF2-40B4-BE49-F238E27FC236}">
              <a16:creationId xmlns:a16="http://schemas.microsoft.com/office/drawing/2014/main" id="{00000000-0008-0000-0100-000085480000}"/>
            </a:ext>
          </a:extLst>
        </xdr:cNvPr>
        <xdr:cNvSpPr txBox="1">
          <a:spLocks noChangeArrowheads="1"/>
        </xdr:cNvSpPr>
      </xdr:nvSpPr>
      <xdr:spPr bwMode="auto">
        <a:xfrm>
          <a:off x="9048750" y="5543550"/>
          <a:ext cx="3390900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147320</xdr:colOff>
      <xdr:row>31</xdr:row>
      <xdr:rowOff>9525</xdr:rowOff>
    </xdr:from>
    <xdr:to>
      <xdr:col>29</xdr:col>
      <xdr:colOff>351790</xdr:colOff>
      <xdr:row>36</xdr:row>
      <xdr:rowOff>22225</xdr:rowOff>
    </xdr:to>
    <xdr:sp macro="" textlink="">
      <xdr:nvSpPr>
        <xdr:cNvPr id="18566" name="Text Box 134" hidden="1">
          <a:extLst>
            <a:ext uri="{FF2B5EF4-FFF2-40B4-BE49-F238E27FC236}">
              <a16:creationId xmlns:a16="http://schemas.microsoft.com/office/drawing/2014/main" id="{00000000-0008-0000-0100-000086480000}"/>
            </a:ext>
          </a:extLst>
        </xdr:cNvPr>
        <xdr:cNvSpPr txBox="1">
          <a:spLocks noChangeArrowheads="1"/>
        </xdr:cNvSpPr>
      </xdr:nvSpPr>
      <xdr:spPr bwMode="auto">
        <a:xfrm>
          <a:off x="9886950" y="5543550"/>
          <a:ext cx="340042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0</xdr:row>
          <xdr:rowOff>76200</xdr:rowOff>
        </xdr:from>
        <xdr:to>
          <xdr:col>20</xdr:col>
          <xdr:colOff>584200</xdr:colOff>
          <xdr:row>0</xdr:row>
          <xdr:rowOff>349250</xdr:rowOff>
        </xdr:to>
        <xdr:sp macro="" textlink="">
          <xdr:nvSpPr>
            <xdr:cNvPr id="20594" name="PasComboLang" hidden="1">
              <a:extLst>
                <a:ext uri="{63B3BB69-23CF-44E3-9099-C40C66FF867C}">
                  <a14:compatExt spid="_x0000_s20594"/>
                </a:ext>
                <a:ext uri="{FF2B5EF4-FFF2-40B4-BE49-F238E27FC236}">
                  <a16:creationId xmlns:a16="http://schemas.microsoft.com/office/drawing/2014/main" id="{00000000-0008-0000-0200-00007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19</xdr:row>
      <xdr:rowOff>57150</xdr:rowOff>
    </xdr:from>
    <xdr:to>
      <xdr:col>8</xdr:col>
      <xdr:colOff>676275</xdr:colOff>
      <xdr:row>35</xdr:row>
      <xdr:rowOff>9525</xdr:rowOff>
    </xdr:to>
    <xdr:graphicFrame macro="">
      <xdr:nvGraphicFramePr>
        <xdr:cNvPr id="5410" name="Chart 1">
          <a:extLst>
            <a:ext uri="{FF2B5EF4-FFF2-40B4-BE49-F238E27FC236}">
              <a16:creationId xmlns:a16="http://schemas.microsoft.com/office/drawing/2014/main" id="{00000000-0008-0000-0400-0000221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35</xdr:row>
      <xdr:rowOff>85725</xdr:rowOff>
    </xdr:from>
    <xdr:to>
      <xdr:col>8</xdr:col>
      <xdr:colOff>676275</xdr:colOff>
      <xdr:row>52</xdr:row>
      <xdr:rowOff>104775</xdr:rowOff>
    </xdr:to>
    <xdr:graphicFrame macro="">
      <xdr:nvGraphicFramePr>
        <xdr:cNvPr id="5411" name="Chart 2">
          <a:extLst>
            <a:ext uri="{FF2B5EF4-FFF2-40B4-BE49-F238E27FC236}">
              <a16:creationId xmlns:a16="http://schemas.microsoft.com/office/drawing/2014/main" id="{00000000-0008-0000-0400-0000231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146050</xdr:colOff>
          <xdr:row>0</xdr:row>
          <xdr:rowOff>107950</xdr:rowOff>
        </xdr:from>
        <xdr:to>
          <xdr:col>37</xdr:col>
          <xdr:colOff>527050</xdr:colOff>
          <xdr:row>0</xdr:row>
          <xdr:rowOff>381000</xdr:rowOff>
        </xdr:to>
        <xdr:sp macro="" textlink="">
          <xdr:nvSpPr>
            <xdr:cNvPr id="76818" name="ActComboLang" hidden="1">
              <a:extLst>
                <a:ext uri="{63B3BB69-23CF-44E3-9099-C40C66FF867C}">
                  <a14:compatExt spid="_x0000_s76818"/>
                </a:ext>
                <a:ext uri="{FF2B5EF4-FFF2-40B4-BE49-F238E27FC236}">
                  <a16:creationId xmlns:a16="http://schemas.microsoft.com/office/drawing/2014/main" id="{00000000-0008-0000-0500-000012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19</xdr:col>
      <xdr:colOff>183515</xdr:colOff>
      <xdr:row>30</xdr:row>
      <xdr:rowOff>9525</xdr:rowOff>
    </xdr:from>
    <xdr:to>
      <xdr:col>26</xdr:col>
      <xdr:colOff>119168</xdr:colOff>
      <xdr:row>32</xdr:row>
      <xdr:rowOff>85725</xdr:rowOff>
    </xdr:to>
    <xdr:sp macro="" textlink="">
      <xdr:nvSpPr>
        <xdr:cNvPr id="76801" name="Text Box 1" hidden="1">
          <a:extLst>
            <a:ext uri="{FF2B5EF4-FFF2-40B4-BE49-F238E27FC236}">
              <a16:creationId xmlns:a16="http://schemas.microsoft.com/office/drawing/2014/main" id="{00000000-0008-0000-0500-0000012C0100}"/>
            </a:ext>
          </a:extLst>
        </xdr:cNvPr>
        <xdr:cNvSpPr txBox="1">
          <a:spLocks noChangeArrowheads="1"/>
        </xdr:cNvSpPr>
      </xdr:nvSpPr>
      <xdr:spPr bwMode="auto">
        <a:xfrm>
          <a:off x="8420100" y="5381625"/>
          <a:ext cx="17811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327025</xdr:colOff>
      <xdr:row>20</xdr:row>
      <xdr:rowOff>114300</xdr:rowOff>
    </xdr:from>
    <xdr:to>
      <xdr:col>17</xdr:col>
      <xdr:colOff>500592</xdr:colOff>
      <xdr:row>22</xdr:row>
      <xdr:rowOff>104775</xdr:rowOff>
    </xdr:to>
    <xdr:sp macro="" textlink="">
      <xdr:nvSpPr>
        <xdr:cNvPr id="76802" name="Text Box 2" hidden="1">
          <a:extLst>
            <a:ext uri="{FF2B5EF4-FFF2-40B4-BE49-F238E27FC236}">
              <a16:creationId xmlns:a16="http://schemas.microsoft.com/office/drawing/2014/main" id="{00000000-0008-0000-0500-0000022C0100}"/>
            </a:ext>
          </a:extLst>
        </xdr:cNvPr>
        <xdr:cNvSpPr txBox="1">
          <a:spLocks noChangeArrowheads="1"/>
        </xdr:cNvSpPr>
      </xdr:nvSpPr>
      <xdr:spPr bwMode="auto">
        <a:xfrm>
          <a:off x="6257925" y="3867150"/>
          <a:ext cx="11430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404072</xdr:colOff>
      <xdr:row>1</xdr:row>
      <xdr:rowOff>257175</xdr:rowOff>
    </xdr:from>
    <xdr:to>
      <xdr:col>30</xdr:col>
      <xdr:colOff>661036</xdr:colOff>
      <xdr:row>3</xdr:row>
      <xdr:rowOff>28575</xdr:rowOff>
    </xdr:to>
    <xdr:sp macro="" textlink="">
      <xdr:nvSpPr>
        <xdr:cNvPr id="76803" name="Text Box 3" hidden="1">
          <a:extLst>
            <a:ext uri="{FF2B5EF4-FFF2-40B4-BE49-F238E27FC236}">
              <a16:creationId xmlns:a16="http://schemas.microsoft.com/office/drawing/2014/main" id="{00000000-0008-0000-0500-0000032C0100}"/>
            </a:ext>
          </a:extLst>
        </xdr:cNvPr>
        <xdr:cNvSpPr txBox="1">
          <a:spLocks noChangeArrowheads="1"/>
        </xdr:cNvSpPr>
      </xdr:nvSpPr>
      <xdr:spPr bwMode="auto">
        <a:xfrm>
          <a:off x="12773025" y="657225"/>
          <a:ext cx="10668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329566</xdr:colOff>
      <xdr:row>1</xdr:row>
      <xdr:rowOff>257175</xdr:rowOff>
    </xdr:from>
    <xdr:to>
      <xdr:col>31</xdr:col>
      <xdr:colOff>621454</xdr:colOff>
      <xdr:row>3</xdr:row>
      <xdr:rowOff>9525</xdr:rowOff>
    </xdr:to>
    <xdr:sp macro="" textlink="">
      <xdr:nvSpPr>
        <xdr:cNvPr id="76804" name="Text Box 4" hidden="1">
          <a:extLst>
            <a:ext uri="{FF2B5EF4-FFF2-40B4-BE49-F238E27FC236}">
              <a16:creationId xmlns:a16="http://schemas.microsoft.com/office/drawing/2014/main" id="{00000000-0008-0000-0500-0000042C0100}"/>
            </a:ext>
          </a:extLst>
        </xdr:cNvPr>
        <xdr:cNvSpPr txBox="1">
          <a:spLocks noChangeArrowheads="1"/>
        </xdr:cNvSpPr>
      </xdr:nvSpPr>
      <xdr:spPr bwMode="auto">
        <a:xfrm>
          <a:off x="13506450" y="657225"/>
          <a:ext cx="112395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424392</xdr:colOff>
      <xdr:row>40</xdr:row>
      <xdr:rowOff>152400</xdr:rowOff>
    </xdr:from>
    <xdr:to>
      <xdr:col>24</xdr:col>
      <xdr:colOff>145838</xdr:colOff>
      <xdr:row>42</xdr:row>
      <xdr:rowOff>152400</xdr:rowOff>
    </xdr:to>
    <xdr:sp macro="" textlink="">
      <xdr:nvSpPr>
        <xdr:cNvPr id="76805" name="Text Box 5" hidden="1">
          <a:extLst>
            <a:ext uri="{FF2B5EF4-FFF2-40B4-BE49-F238E27FC236}">
              <a16:creationId xmlns:a16="http://schemas.microsoft.com/office/drawing/2014/main" id="{00000000-0008-0000-0500-0000052C0100}"/>
            </a:ext>
          </a:extLst>
        </xdr:cNvPr>
        <xdr:cNvSpPr txBox="1">
          <a:spLocks noChangeArrowheads="1"/>
        </xdr:cNvSpPr>
      </xdr:nvSpPr>
      <xdr:spPr bwMode="auto">
        <a:xfrm>
          <a:off x="7324725" y="7143750"/>
          <a:ext cx="170497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155363</xdr:colOff>
      <xdr:row>31</xdr:row>
      <xdr:rowOff>9525</xdr:rowOff>
    </xdr:from>
    <xdr:to>
      <xdr:col>29</xdr:col>
      <xdr:colOff>132079</xdr:colOff>
      <xdr:row>36</xdr:row>
      <xdr:rowOff>19050</xdr:rowOff>
    </xdr:to>
    <xdr:sp macro="" textlink="">
      <xdr:nvSpPr>
        <xdr:cNvPr id="76807" name="Text Box 7" hidden="1">
          <a:extLst>
            <a:ext uri="{FF2B5EF4-FFF2-40B4-BE49-F238E27FC236}">
              <a16:creationId xmlns:a16="http://schemas.microsoft.com/office/drawing/2014/main" id="{00000000-0008-0000-0500-0000072C0100}"/>
            </a:ext>
          </a:extLst>
        </xdr:cNvPr>
        <xdr:cNvSpPr txBox="1">
          <a:spLocks noChangeArrowheads="1"/>
        </xdr:cNvSpPr>
      </xdr:nvSpPr>
      <xdr:spPr bwMode="auto">
        <a:xfrm>
          <a:off x="9048750" y="5543550"/>
          <a:ext cx="3390900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372533</xdr:colOff>
      <xdr:row>31</xdr:row>
      <xdr:rowOff>9525</xdr:rowOff>
    </xdr:from>
    <xdr:to>
      <xdr:col>30</xdr:col>
      <xdr:colOff>121498</xdr:colOff>
      <xdr:row>36</xdr:row>
      <xdr:rowOff>19050</xdr:rowOff>
    </xdr:to>
    <xdr:sp macro="" textlink="">
      <xdr:nvSpPr>
        <xdr:cNvPr id="76808" name="Text Box 8" hidden="1">
          <a:extLst>
            <a:ext uri="{FF2B5EF4-FFF2-40B4-BE49-F238E27FC236}">
              <a16:creationId xmlns:a16="http://schemas.microsoft.com/office/drawing/2014/main" id="{00000000-0008-0000-0500-0000082C0100}"/>
            </a:ext>
          </a:extLst>
        </xdr:cNvPr>
        <xdr:cNvSpPr txBox="1">
          <a:spLocks noChangeArrowheads="1"/>
        </xdr:cNvSpPr>
      </xdr:nvSpPr>
      <xdr:spPr bwMode="auto">
        <a:xfrm>
          <a:off x="9886950" y="5543550"/>
          <a:ext cx="340042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02">
    <pageSetUpPr fitToPage="1"/>
  </sheetPr>
  <dimension ref="A1:K110"/>
  <sheetViews>
    <sheetView topLeftCell="E1" zoomScale="80" workbookViewId="0">
      <pane ySplit="1" topLeftCell="A2" activePane="bottomLeft" state="frozen"/>
      <selection pane="bottomLeft" activeCell="G13" sqref="G13:H13"/>
    </sheetView>
  </sheetViews>
  <sheetFormatPr defaultColWidth="17" defaultRowHeight="12.5"/>
  <cols>
    <col min="1" max="3" width="18.81640625" style="145" customWidth="1"/>
    <col min="4" max="4" width="17" style="145"/>
    <col min="5" max="5" width="1.81640625" style="145" customWidth="1"/>
    <col min="6" max="8" width="18.81640625" style="145" customWidth="1"/>
    <col min="9" max="16384" width="17" style="145"/>
  </cols>
  <sheetData>
    <row r="1" spans="1:11" s="144" customFormat="1" ht="13">
      <c r="A1" s="144" t="s">
        <v>128</v>
      </c>
      <c r="B1" s="144" t="s">
        <v>129</v>
      </c>
      <c r="C1" s="144" t="s">
        <v>130</v>
      </c>
      <c r="F1" s="144" t="s">
        <v>128</v>
      </c>
      <c r="G1" s="144" t="s">
        <v>129</v>
      </c>
      <c r="H1" s="144" t="s">
        <v>130</v>
      </c>
    </row>
    <row r="2" spans="1:11">
      <c r="A2" s="145" t="s">
        <v>112</v>
      </c>
      <c r="B2" s="145" t="s">
        <v>113</v>
      </c>
      <c r="C2" s="145" t="s">
        <v>131</v>
      </c>
      <c r="F2" s="145" t="s">
        <v>112</v>
      </c>
      <c r="G2" s="145" t="s">
        <v>113</v>
      </c>
      <c r="H2" s="145" t="s">
        <v>131</v>
      </c>
    </row>
    <row r="3" spans="1:11">
      <c r="A3" s="146" t="s">
        <v>207</v>
      </c>
      <c r="B3" s="146" t="s">
        <v>132</v>
      </c>
      <c r="C3" s="145" t="s">
        <v>133</v>
      </c>
      <c r="F3" s="145" t="s">
        <v>111</v>
      </c>
      <c r="G3" s="145" t="s">
        <v>111</v>
      </c>
      <c r="H3" s="146" t="s">
        <v>217</v>
      </c>
    </row>
    <row r="4" spans="1:11">
      <c r="A4" s="145" t="s">
        <v>134</v>
      </c>
      <c r="B4" s="145" t="s">
        <v>135</v>
      </c>
      <c r="C4" s="145" t="s">
        <v>136</v>
      </c>
      <c r="F4" s="145" t="s">
        <v>5</v>
      </c>
      <c r="G4" s="146" t="s">
        <v>240</v>
      </c>
      <c r="H4" s="145" t="s">
        <v>218</v>
      </c>
    </row>
    <row r="5" spans="1:11">
      <c r="A5" s="145" t="s">
        <v>137</v>
      </c>
      <c r="B5" s="145" t="s">
        <v>138</v>
      </c>
      <c r="C5" s="145" t="s">
        <v>139</v>
      </c>
      <c r="F5" s="145" t="s">
        <v>6</v>
      </c>
      <c r="G5" s="146" t="s">
        <v>239</v>
      </c>
      <c r="H5" s="146" t="s">
        <v>225</v>
      </c>
    </row>
    <row r="6" spans="1:11">
      <c r="A6" s="145" t="s">
        <v>333</v>
      </c>
      <c r="B6" s="146" t="s">
        <v>334</v>
      </c>
      <c r="C6" s="145" t="s">
        <v>335</v>
      </c>
      <c r="F6" s="146" t="s">
        <v>366</v>
      </c>
      <c r="G6" s="146" t="s">
        <v>367</v>
      </c>
      <c r="H6" s="146" t="s">
        <v>368</v>
      </c>
    </row>
    <row r="7" spans="1:11">
      <c r="A7" s="145" t="s">
        <v>330</v>
      </c>
      <c r="B7" s="145" t="s">
        <v>330</v>
      </c>
      <c r="C7" s="145" t="s">
        <v>330</v>
      </c>
      <c r="F7" s="146" t="s">
        <v>363</v>
      </c>
      <c r="G7" s="146" t="s">
        <v>364</v>
      </c>
      <c r="H7" s="146" t="s">
        <v>365</v>
      </c>
    </row>
    <row r="8" spans="1:11">
      <c r="A8" s="146" t="s">
        <v>173</v>
      </c>
      <c r="B8" s="146" t="s">
        <v>176</v>
      </c>
      <c r="C8" s="146" t="s">
        <v>177</v>
      </c>
      <c r="F8" s="343" t="s">
        <v>292</v>
      </c>
      <c r="G8" s="344" t="s">
        <v>293</v>
      </c>
      <c r="H8" s="343" t="s">
        <v>294</v>
      </c>
    </row>
    <row r="9" spans="1:11">
      <c r="A9" s="146" t="s">
        <v>174</v>
      </c>
      <c r="B9" s="146" t="s">
        <v>175</v>
      </c>
      <c r="C9" s="146" t="s">
        <v>178</v>
      </c>
      <c r="F9" s="146" t="s">
        <v>360</v>
      </c>
      <c r="G9" s="146" t="s">
        <v>360</v>
      </c>
      <c r="H9" s="146" t="s">
        <v>360</v>
      </c>
    </row>
    <row r="10" spans="1:11">
      <c r="A10" s="146" t="s">
        <v>171</v>
      </c>
      <c r="B10" s="146" t="s">
        <v>170</v>
      </c>
      <c r="C10" s="146" t="s">
        <v>172</v>
      </c>
      <c r="F10" s="146" t="s">
        <v>361</v>
      </c>
      <c r="G10" s="146" t="s">
        <v>361</v>
      </c>
      <c r="H10" s="146" t="s">
        <v>361</v>
      </c>
    </row>
    <row r="11" spans="1:11">
      <c r="A11" s="145" t="s">
        <v>140</v>
      </c>
      <c r="B11" s="145" t="s">
        <v>141</v>
      </c>
      <c r="C11" s="145" t="s">
        <v>142</v>
      </c>
      <c r="F11" s="145" t="s">
        <v>362</v>
      </c>
      <c r="G11" s="145" t="s">
        <v>362</v>
      </c>
      <c r="H11" s="145" t="s">
        <v>362</v>
      </c>
    </row>
    <row r="12" spans="1:11">
      <c r="A12" s="146" t="s">
        <v>331</v>
      </c>
      <c r="B12" s="146" t="s">
        <v>331</v>
      </c>
      <c r="C12" s="146" t="s">
        <v>331</v>
      </c>
      <c r="F12" s="145" t="s">
        <v>226</v>
      </c>
      <c r="G12" s="158" t="s">
        <v>229</v>
      </c>
      <c r="H12" s="145" t="s">
        <v>219</v>
      </c>
    </row>
    <row r="13" spans="1:11">
      <c r="A13" s="147" t="s">
        <v>143</v>
      </c>
      <c r="B13" s="147" t="s">
        <v>144</v>
      </c>
      <c r="C13" s="145" t="s">
        <v>145</v>
      </c>
      <c r="F13" s="146" t="s">
        <v>412</v>
      </c>
      <c r="G13" s="146" t="s">
        <v>412</v>
      </c>
      <c r="H13" s="146" t="s">
        <v>412</v>
      </c>
    </row>
    <row r="14" spans="1:11">
      <c r="A14" s="147" t="s">
        <v>179</v>
      </c>
      <c r="B14" s="147" t="s">
        <v>180</v>
      </c>
      <c r="C14" s="145" t="s">
        <v>138</v>
      </c>
      <c r="F14" s="343" t="s">
        <v>10</v>
      </c>
      <c r="G14" s="344" t="s">
        <v>230</v>
      </c>
      <c r="H14" s="344" t="s">
        <v>251</v>
      </c>
    </row>
    <row r="15" spans="1:11">
      <c r="A15" s="146" t="s">
        <v>389</v>
      </c>
      <c r="B15" s="146" t="s">
        <v>390</v>
      </c>
      <c r="C15" s="146" t="s">
        <v>391</v>
      </c>
      <c r="F15" s="145" t="s">
        <v>7</v>
      </c>
      <c r="G15" s="158" t="s">
        <v>244</v>
      </c>
      <c r="H15" s="146" t="s">
        <v>241</v>
      </c>
      <c r="K15"/>
    </row>
    <row r="16" spans="1:11">
      <c r="A16" s="344" t="s">
        <v>380</v>
      </c>
      <c r="B16" s="344" t="s">
        <v>383</v>
      </c>
      <c r="C16" s="344" t="s">
        <v>386</v>
      </c>
      <c r="F16" s="145" t="s">
        <v>8</v>
      </c>
      <c r="G16" s="146" t="s">
        <v>245</v>
      </c>
      <c r="H16" s="146" t="s">
        <v>242</v>
      </c>
      <c r="K16"/>
    </row>
    <row r="17" spans="1:11">
      <c r="A17" s="146" t="s">
        <v>381</v>
      </c>
      <c r="B17" s="146" t="s">
        <v>384</v>
      </c>
      <c r="C17" s="146" t="s">
        <v>387</v>
      </c>
      <c r="F17" s="145" t="s">
        <v>9</v>
      </c>
      <c r="G17" s="158" t="s">
        <v>246</v>
      </c>
      <c r="H17" s="146" t="s">
        <v>243</v>
      </c>
      <c r="K17"/>
    </row>
    <row r="18" spans="1:11">
      <c r="A18" s="146" t="s">
        <v>382</v>
      </c>
      <c r="B18" s="146" t="s">
        <v>385</v>
      </c>
      <c r="C18" s="146" t="s">
        <v>388</v>
      </c>
      <c r="F18" s="343" t="s">
        <v>227</v>
      </c>
      <c r="G18" s="365" t="s">
        <v>231</v>
      </c>
      <c r="H18" s="343" t="s">
        <v>220</v>
      </c>
      <c r="K18"/>
    </row>
    <row r="19" spans="1:11">
      <c r="A19" s="145" t="s">
        <v>315</v>
      </c>
      <c r="B19" s="146" t="s">
        <v>317</v>
      </c>
      <c r="C19" s="146" t="s">
        <v>318</v>
      </c>
      <c r="F19" s="146" t="s">
        <v>270</v>
      </c>
      <c r="G19" s="146" t="s">
        <v>273</v>
      </c>
      <c r="H19" s="146" t="s">
        <v>276</v>
      </c>
      <c r="K19"/>
    </row>
    <row r="20" spans="1:11">
      <c r="A20" s="145" t="s">
        <v>316</v>
      </c>
      <c r="B20" s="146" t="s">
        <v>146</v>
      </c>
      <c r="C20" s="145" t="s">
        <v>147</v>
      </c>
      <c r="F20" s="146" t="s">
        <v>297</v>
      </c>
      <c r="G20" s="146" t="s">
        <v>309</v>
      </c>
      <c r="H20" s="146" t="s">
        <v>310</v>
      </c>
      <c r="K20"/>
    </row>
    <row r="21" spans="1:11">
      <c r="A21" s="145" t="s">
        <v>148</v>
      </c>
      <c r="B21" s="146" t="s">
        <v>149</v>
      </c>
      <c r="C21" s="145" t="s">
        <v>150</v>
      </c>
      <c r="F21" s="146" t="s">
        <v>271</v>
      </c>
      <c r="G21" s="146" t="s">
        <v>274</v>
      </c>
      <c r="H21" s="146" t="s">
        <v>277</v>
      </c>
      <c r="K21"/>
    </row>
    <row r="22" spans="1:11">
      <c r="A22" s="159"/>
      <c r="B22" s="159"/>
      <c r="C22" s="159"/>
      <c r="F22" s="146" t="s">
        <v>272</v>
      </c>
      <c r="G22" s="146" t="s">
        <v>275</v>
      </c>
      <c r="H22" s="146" t="s">
        <v>278</v>
      </c>
      <c r="K22"/>
    </row>
    <row r="23" spans="1:11">
      <c r="A23" s="159"/>
      <c r="B23" s="159"/>
      <c r="C23" s="159"/>
      <c r="F23" s="146" t="s">
        <v>285</v>
      </c>
      <c r="G23" s="146" t="s">
        <v>286</v>
      </c>
      <c r="H23" s="146" t="s">
        <v>287</v>
      </c>
      <c r="K23"/>
    </row>
    <row r="24" spans="1:11">
      <c r="A24" s="159"/>
      <c r="B24" s="159"/>
      <c r="C24" s="159"/>
      <c r="F24" s="146" t="s">
        <v>288</v>
      </c>
      <c r="G24" s="146" t="s">
        <v>289</v>
      </c>
      <c r="H24" s="146" t="s">
        <v>290</v>
      </c>
    </row>
    <row r="25" spans="1:11">
      <c r="A25" s="159"/>
      <c r="B25" s="159"/>
      <c r="C25" s="159"/>
      <c r="F25" s="344" t="s">
        <v>228</v>
      </c>
      <c r="G25" s="344" t="s">
        <v>232</v>
      </c>
      <c r="H25" s="343" t="s">
        <v>221</v>
      </c>
    </row>
    <row r="26" spans="1:11">
      <c r="A26" s="159"/>
      <c r="B26" s="159"/>
      <c r="C26" s="159"/>
      <c r="F26" s="343" t="s">
        <v>102</v>
      </c>
      <c r="G26" s="344" t="s">
        <v>233</v>
      </c>
      <c r="H26" s="344" t="s">
        <v>236</v>
      </c>
    </row>
    <row r="27" spans="1:11">
      <c r="A27" s="146" t="s">
        <v>369</v>
      </c>
      <c r="B27" s="146" t="s">
        <v>369</v>
      </c>
      <c r="C27" s="146" t="s">
        <v>369</v>
      </c>
      <c r="F27" s="343" t="s">
        <v>103</v>
      </c>
      <c r="G27" s="344" t="s">
        <v>234</v>
      </c>
      <c r="H27" s="344" t="s">
        <v>237</v>
      </c>
    </row>
    <row r="28" spans="1:11">
      <c r="A28" s="146" t="s">
        <v>370</v>
      </c>
      <c r="B28" s="146" t="s">
        <v>371</v>
      </c>
      <c r="C28" s="146" t="s">
        <v>372</v>
      </c>
      <c r="F28" s="343" t="s">
        <v>104</v>
      </c>
      <c r="G28" s="365" t="s">
        <v>235</v>
      </c>
      <c r="H28" s="344" t="s">
        <v>238</v>
      </c>
    </row>
    <row r="29" spans="1:11">
      <c r="A29" s="4" t="s">
        <v>151</v>
      </c>
      <c r="B29" s="4" t="s">
        <v>152</v>
      </c>
      <c r="C29" s="26" t="s">
        <v>153</v>
      </c>
      <c r="F29" s="343" t="s">
        <v>121</v>
      </c>
      <c r="G29" s="343" t="s">
        <v>222</v>
      </c>
      <c r="H29" s="343" t="s">
        <v>222</v>
      </c>
    </row>
    <row r="30" spans="1:11">
      <c r="A30" s="146" t="s">
        <v>181</v>
      </c>
      <c r="B30" s="146" t="s">
        <v>182</v>
      </c>
      <c r="C30" s="146" t="s">
        <v>183</v>
      </c>
      <c r="F30" s="366" t="s">
        <v>282</v>
      </c>
      <c r="G30" s="366" t="s">
        <v>248</v>
      </c>
      <c r="H30" s="367" t="s">
        <v>223</v>
      </c>
    </row>
    <row r="31" spans="1:11">
      <c r="A31" s="146" t="s">
        <v>184</v>
      </c>
      <c r="B31" s="146" t="s">
        <v>185</v>
      </c>
      <c r="C31" s="146" t="s">
        <v>186</v>
      </c>
      <c r="F31" s="366" t="s">
        <v>283</v>
      </c>
      <c r="G31" s="368" t="s">
        <v>247</v>
      </c>
      <c r="H31" s="367" t="s">
        <v>224</v>
      </c>
    </row>
    <row r="32" spans="1:11">
      <c r="A32" s="146" t="s">
        <v>187</v>
      </c>
      <c r="B32" s="146" t="s">
        <v>188</v>
      </c>
      <c r="C32" s="146" t="s">
        <v>189</v>
      </c>
      <c r="F32" s="146" t="s">
        <v>300</v>
      </c>
      <c r="G32" s="146" t="s">
        <v>182</v>
      </c>
      <c r="H32" s="146" t="s">
        <v>183</v>
      </c>
    </row>
    <row r="33" spans="1:8">
      <c r="A33" s="145" t="s">
        <v>190</v>
      </c>
      <c r="B33" s="145" t="s">
        <v>191</v>
      </c>
      <c r="C33" s="145" t="s">
        <v>191</v>
      </c>
      <c r="F33" s="146" t="s">
        <v>301</v>
      </c>
      <c r="G33" s="146" t="s">
        <v>249</v>
      </c>
      <c r="H33" s="146" t="s">
        <v>250</v>
      </c>
    </row>
    <row r="34" spans="1:8">
      <c r="A34" s="146" t="s">
        <v>192</v>
      </c>
      <c r="B34" s="146" t="s">
        <v>193</v>
      </c>
      <c r="C34" s="146" t="s">
        <v>194</v>
      </c>
      <c r="F34" s="146" t="s">
        <v>192</v>
      </c>
      <c r="G34" s="146" t="s">
        <v>193</v>
      </c>
      <c r="H34" s="146" t="s">
        <v>194</v>
      </c>
    </row>
    <row r="35" spans="1:8">
      <c r="A35" s="146" t="s">
        <v>195</v>
      </c>
      <c r="B35" s="146" t="s">
        <v>196</v>
      </c>
      <c r="C35" s="146" t="s">
        <v>196</v>
      </c>
      <c r="F35" s="146" t="s">
        <v>258</v>
      </c>
      <c r="G35" s="146" t="s">
        <v>259</v>
      </c>
      <c r="H35" s="146" t="s">
        <v>259</v>
      </c>
    </row>
    <row r="36" spans="1:8">
      <c r="A36" s="158" t="s">
        <v>208</v>
      </c>
      <c r="B36" s="158" t="s">
        <v>209</v>
      </c>
      <c r="C36" s="158" t="s">
        <v>210</v>
      </c>
      <c r="F36" s="158" t="s">
        <v>208</v>
      </c>
      <c r="G36" s="158" t="s">
        <v>209</v>
      </c>
      <c r="H36" s="158" t="s">
        <v>210</v>
      </c>
    </row>
    <row r="37" spans="1:8">
      <c r="A37" s="146" t="s">
        <v>197</v>
      </c>
      <c r="B37" s="146" t="s">
        <v>198</v>
      </c>
      <c r="C37" s="146" t="s">
        <v>199</v>
      </c>
      <c r="F37" s="146" t="s">
        <v>337</v>
      </c>
      <c r="G37" s="146" t="s">
        <v>339</v>
      </c>
      <c r="H37" s="146" t="s">
        <v>338</v>
      </c>
    </row>
    <row r="38" spans="1:8">
      <c r="A38" s="146" t="s">
        <v>200</v>
      </c>
      <c r="B38" s="146" t="s">
        <v>201</v>
      </c>
      <c r="C38" s="146" t="s">
        <v>202</v>
      </c>
      <c r="F38" s="145" t="s">
        <v>115</v>
      </c>
      <c r="G38" s="145" t="s">
        <v>154</v>
      </c>
      <c r="H38" s="146" t="s">
        <v>203</v>
      </c>
    </row>
    <row r="39" spans="1:8">
      <c r="A39" s="145" t="s">
        <v>115</v>
      </c>
      <c r="B39" s="145" t="s">
        <v>154</v>
      </c>
      <c r="C39" s="146" t="s">
        <v>203</v>
      </c>
      <c r="F39" s="343" t="s">
        <v>116</v>
      </c>
      <c r="G39" s="343" t="s">
        <v>155</v>
      </c>
      <c r="H39" s="343" t="s">
        <v>156</v>
      </c>
    </row>
    <row r="40" spans="1:8">
      <c r="A40" s="145" t="s">
        <v>116</v>
      </c>
      <c r="B40" s="145" t="s">
        <v>155</v>
      </c>
      <c r="C40" s="145" t="s">
        <v>156</v>
      </c>
      <c r="F40" s="344" t="s">
        <v>204</v>
      </c>
      <c r="G40" s="344" t="s">
        <v>205</v>
      </c>
      <c r="H40" s="344" t="s">
        <v>206</v>
      </c>
    </row>
    <row r="41" spans="1:8">
      <c r="A41" s="145" t="s">
        <v>117</v>
      </c>
      <c r="B41" s="145" t="s">
        <v>157</v>
      </c>
      <c r="C41" s="145" t="s">
        <v>157</v>
      </c>
      <c r="F41" s="145" t="s">
        <v>117</v>
      </c>
      <c r="G41" s="145" t="s">
        <v>157</v>
      </c>
      <c r="H41" s="145" t="s">
        <v>157</v>
      </c>
    </row>
    <row r="42" spans="1:8">
      <c r="A42" s="146" t="s">
        <v>204</v>
      </c>
      <c r="B42" s="146" t="s">
        <v>205</v>
      </c>
      <c r="C42" s="146" t="s">
        <v>206</v>
      </c>
      <c r="F42" s="343" t="s">
        <v>252</v>
      </c>
      <c r="G42" s="344" t="s">
        <v>254</v>
      </c>
      <c r="H42" s="343" t="s">
        <v>256</v>
      </c>
    </row>
    <row r="43" spans="1:8">
      <c r="A43" s="145" t="s">
        <v>122</v>
      </c>
      <c r="B43" s="145" t="s">
        <v>158</v>
      </c>
      <c r="C43" s="145" t="s">
        <v>159</v>
      </c>
      <c r="F43" s="343" t="s">
        <v>253</v>
      </c>
      <c r="G43" s="365" t="s">
        <v>255</v>
      </c>
      <c r="H43" s="343" t="s">
        <v>257</v>
      </c>
    </row>
    <row r="44" spans="1:8">
      <c r="A44" s="145" t="s">
        <v>160</v>
      </c>
      <c r="B44" s="145" t="s">
        <v>161</v>
      </c>
      <c r="C44" s="145" t="s">
        <v>162</v>
      </c>
      <c r="F44" s="146" t="s">
        <v>357</v>
      </c>
      <c r="G44" s="146" t="s">
        <v>358</v>
      </c>
      <c r="H44" s="146" t="s">
        <v>359</v>
      </c>
    </row>
    <row r="45" spans="1:8">
      <c r="A45" s="145" t="s">
        <v>3</v>
      </c>
      <c r="B45" s="145" t="s">
        <v>163</v>
      </c>
      <c r="C45" s="145" t="s">
        <v>164</v>
      </c>
      <c r="F45" s="145" t="s">
        <v>355</v>
      </c>
      <c r="G45" s="146" t="s">
        <v>356</v>
      </c>
      <c r="H45" s="146" t="s">
        <v>356</v>
      </c>
    </row>
    <row r="46" spans="1:8">
      <c r="A46" s="145" t="s">
        <v>57</v>
      </c>
      <c r="B46" s="145" t="s">
        <v>165</v>
      </c>
      <c r="C46" s="145" t="s">
        <v>166</v>
      </c>
      <c r="F46" s="145" t="s">
        <v>260</v>
      </c>
      <c r="G46" s="158" t="s">
        <v>264</v>
      </c>
      <c r="H46" s="145" t="s">
        <v>260</v>
      </c>
    </row>
    <row r="47" spans="1:8">
      <c r="A47" s="145" t="s">
        <v>109</v>
      </c>
      <c r="B47" s="145" t="s">
        <v>167</v>
      </c>
      <c r="C47" s="145" t="s">
        <v>168</v>
      </c>
      <c r="F47" s="145" t="s">
        <v>261</v>
      </c>
      <c r="G47" s="158" t="s">
        <v>263</v>
      </c>
      <c r="H47" s="145" t="s">
        <v>262</v>
      </c>
    </row>
    <row r="48" spans="1:8">
      <c r="A48" s="146" t="s">
        <v>265</v>
      </c>
      <c r="B48" s="159" t="s">
        <v>124</v>
      </c>
      <c r="C48" s="159" t="s">
        <v>124</v>
      </c>
      <c r="F48" s="146" t="s">
        <v>267</v>
      </c>
      <c r="G48" s="146" t="s">
        <v>268</v>
      </c>
      <c r="H48" s="146" t="s">
        <v>269</v>
      </c>
    </row>
    <row r="49" spans="1:8">
      <c r="A49" s="146" t="s">
        <v>374</v>
      </c>
      <c r="B49" s="146" t="s">
        <v>375</v>
      </c>
      <c r="C49" s="146" t="s">
        <v>376</v>
      </c>
      <c r="F49" s="344" t="s">
        <v>279</v>
      </c>
      <c r="G49" s="344" t="s">
        <v>280</v>
      </c>
      <c r="H49" s="344" t="s">
        <v>281</v>
      </c>
    </row>
    <row r="50" spans="1:8">
      <c r="A50" s="146" t="s">
        <v>377</v>
      </c>
      <c r="B50" s="146" t="s">
        <v>378</v>
      </c>
      <c r="C50" s="146" t="s">
        <v>379</v>
      </c>
      <c r="F50" s="146" t="s">
        <v>291</v>
      </c>
      <c r="G50" s="146" t="s">
        <v>295</v>
      </c>
      <c r="H50" s="146" t="s">
        <v>296</v>
      </c>
    </row>
    <row r="51" spans="1:8">
      <c r="A51" s="146" t="s">
        <v>320</v>
      </c>
      <c r="B51" s="146" t="s">
        <v>322</v>
      </c>
      <c r="C51" s="146" t="s">
        <v>321</v>
      </c>
      <c r="F51" s="344" t="s">
        <v>302</v>
      </c>
      <c r="G51" s="344" t="s">
        <v>303</v>
      </c>
      <c r="H51" s="344" t="s">
        <v>304</v>
      </c>
    </row>
    <row r="52" spans="1:8">
      <c r="A52" s="146" t="s">
        <v>323</v>
      </c>
      <c r="B52" s="146" t="s">
        <v>324</v>
      </c>
      <c r="C52" s="146" t="s">
        <v>325</v>
      </c>
      <c r="F52" s="146" t="s">
        <v>305</v>
      </c>
      <c r="G52" s="146" t="s">
        <v>306</v>
      </c>
      <c r="H52" s="146" t="s">
        <v>307</v>
      </c>
    </row>
    <row r="53" spans="1:8">
      <c r="A53" s="145" t="s">
        <v>267</v>
      </c>
      <c r="B53" s="145" t="s">
        <v>268</v>
      </c>
      <c r="C53" s="145" t="s">
        <v>269</v>
      </c>
      <c r="F53" s="146" t="s">
        <v>399</v>
      </c>
      <c r="G53" s="146" t="s">
        <v>400</v>
      </c>
      <c r="H53" s="146" t="s">
        <v>401</v>
      </c>
    </row>
    <row r="54" spans="1:8">
      <c r="A54" s="146" t="s">
        <v>279</v>
      </c>
      <c r="B54" s="146" t="s">
        <v>280</v>
      </c>
      <c r="C54" s="146" t="s">
        <v>281</v>
      </c>
      <c r="F54" s="146" t="s">
        <v>402</v>
      </c>
      <c r="G54" s="146" t="s">
        <v>403</v>
      </c>
      <c r="H54" s="146" t="s">
        <v>404</v>
      </c>
    </row>
    <row r="55" spans="1:8">
      <c r="A55" s="146" t="s">
        <v>311</v>
      </c>
      <c r="B55" s="146" t="s">
        <v>312</v>
      </c>
      <c r="C55" s="146" t="s">
        <v>313</v>
      </c>
      <c r="F55" s="146" t="s">
        <v>405</v>
      </c>
      <c r="G55" s="146" t="s">
        <v>406</v>
      </c>
      <c r="H55" s="146" t="s">
        <v>407</v>
      </c>
    </row>
    <row r="56" spans="1:8">
      <c r="A56" s="146" t="s">
        <v>340</v>
      </c>
      <c r="B56" s="146" t="s">
        <v>341</v>
      </c>
      <c r="C56" s="146" t="s">
        <v>342</v>
      </c>
      <c r="F56" s="100" t="s">
        <v>408</v>
      </c>
      <c r="G56" s="146" t="s">
        <v>245</v>
      </c>
      <c r="H56" s="146" t="s">
        <v>410</v>
      </c>
    </row>
    <row r="57" spans="1:8">
      <c r="A57" s="4" t="s">
        <v>343</v>
      </c>
      <c r="B57" s="4" t="s">
        <v>344</v>
      </c>
      <c r="C57" s="4" t="s">
        <v>345</v>
      </c>
      <c r="F57" s="100" t="s">
        <v>409</v>
      </c>
      <c r="G57" s="146" t="s">
        <v>246</v>
      </c>
      <c r="H57" s="146" t="s">
        <v>411</v>
      </c>
    </row>
    <row r="58" spans="1:8" ht="13">
      <c r="A58" s="159" t="s">
        <v>124</v>
      </c>
      <c r="B58" s="159" t="s">
        <v>124</v>
      </c>
      <c r="C58" s="159" t="s">
        <v>124</v>
      </c>
      <c r="F58" s="160" t="s">
        <v>124</v>
      </c>
      <c r="G58" s="160" t="s">
        <v>124</v>
      </c>
      <c r="H58" s="160" t="s">
        <v>124</v>
      </c>
    </row>
    <row r="61" spans="1:8">
      <c r="B61" s="146" t="s">
        <v>169</v>
      </c>
      <c r="C61" s="155" t="s">
        <v>213</v>
      </c>
    </row>
    <row r="62" spans="1:8">
      <c r="B62" s="145" t="s">
        <v>128</v>
      </c>
      <c r="C62" s="145">
        <f>VLOOKUP(B62,ActLangListValue,2,FALSE)</f>
        <v>1</v>
      </c>
      <c r="G62" s="146" t="s">
        <v>169</v>
      </c>
      <c r="H62" s="146" t="s">
        <v>214</v>
      </c>
    </row>
    <row r="63" spans="1:8">
      <c r="B63" s="146" t="s">
        <v>212</v>
      </c>
      <c r="C63" s="155" t="s">
        <v>211</v>
      </c>
      <c r="G63" s="145" t="s">
        <v>128</v>
      </c>
      <c r="H63" s="145">
        <f>VLOOKUP(G63,PasLangListValue,2,FALSE)</f>
        <v>1</v>
      </c>
    </row>
    <row r="64" spans="1:8">
      <c r="B64" s="149" t="s">
        <v>128</v>
      </c>
      <c r="C64" s="150">
        <v>1</v>
      </c>
      <c r="G64" s="146" t="s">
        <v>215</v>
      </c>
      <c r="H64" s="146" t="s">
        <v>216</v>
      </c>
    </row>
    <row r="65" spans="2:8">
      <c r="B65" s="151" t="s">
        <v>129</v>
      </c>
      <c r="C65" s="152">
        <v>2</v>
      </c>
      <c r="G65" s="149" t="s">
        <v>128</v>
      </c>
      <c r="H65" s="150">
        <v>1</v>
      </c>
    </row>
    <row r="66" spans="2:8">
      <c r="B66" s="151" t="s">
        <v>130</v>
      </c>
      <c r="C66" s="152">
        <v>3</v>
      </c>
      <c r="G66" s="151" t="s">
        <v>129</v>
      </c>
      <c r="H66" s="152">
        <v>2</v>
      </c>
    </row>
    <row r="67" spans="2:8">
      <c r="B67" s="153"/>
      <c r="C67" s="154"/>
      <c r="G67" s="151" t="s">
        <v>130</v>
      </c>
      <c r="H67" s="152">
        <v>3</v>
      </c>
    </row>
    <row r="68" spans="2:8">
      <c r="G68" s="153"/>
      <c r="H68" s="154"/>
    </row>
    <row r="107" spans="3:8">
      <c r="C107" s="148"/>
    </row>
    <row r="108" spans="3:8">
      <c r="C108" s="148"/>
      <c r="H108" s="148"/>
    </row>
    <row r="109" spans="3:8">
      <c r="C109" s="148"/>
      <c r="H109" s="148"/>
    </row>
    <row r="110" spans="3:8">
      <c r="H110" s="148"/>
    </row>
  </sheetData>
  <phoneticPr fontId="36" type="noConversion"/>
  <printOptions headings="1"/>
  <pageMargins left="0.4" right="0.4" top="0.4" bottom="0.4" header="0.4" footer="0.18"/>
  <pageSetup paperSize="9" scale="92" orientation="portrait" r:id="rId1"/>
  <headerFooter alignWithMargins="0">
    <oddFooter>&amp;LFCB&amp;R&amp;D&amp;8 - &amp;T&amp;C&amp;"Arial"&amp;10&amp;K000000&amp;F-&amp;A_x000D_&amp;1#&amp;"Calibri"&amp;10&amp;K000000Internal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01">
    <pageSetUpPr fitToPage="1"/>
  </sheetPr>
  <dimension ref="A1:DK76"/>
  <sheetViews>
    <sheetView tabSelected="1" zoomScale="75" zoomScaleNormal="75" workbookViewId="0"/>
  </sheetViews>
  <sheetFormatPr defaultRowHeight="12.75" customHeight="1" outlineLevelCol="1"/>
  <cols>
    <col min="1" max="1" width="2.81640625" customWidth="1"/>
    <col min="2" max="2" width="6.54296875" hidden="1" customWidth="1" outlineLevel="1"/>
    <col min="3" max="3" width="31.81640625" customWidth="1" collapsed="1"/>
    <col min="4" max="4" width="5.81640625" style="182" hidden="1" customWidth="1" outlineLevel="1"/>
    <col min="5" max="5" width="8.54296875" style="168" customWidth="1" collapsed="1"/>
    <col min="6" max="6" width="8.54296875" customWidth="1"/>
    <col min="7" max="7" width="9.81640625" bestFit="1" customWidth="1"/>
    <col min="8" max="9" width="9.81640625" hidden="1" customWidth="1" outlineLevel="1"/>
    <col min="10" max="10" width="9.453125" customWidth="1" collapsed="1"/>
    <col min="11" max="11" width="8.54296875" customWidth="1"/>
    <col min="12" max="12" width="10.81640625" customWidth="1"/>
    <col min="13" max="13" width="14" bestFit="1" customWidth="1"/>
    <col min="14" max="15" width="8.1796875" hidden="1" customWidth="1" outlineLevel="1"/>
    <col min="16" max="16" width="9.1796875" hidden="1" customWidth="1" outlineLevel="1"/>
    <col min="17" max="17" width="8.81640625" hidden="1" customWidth="1" outlineLevel="1"/>
    <col min="18" max="18" width="12.453125" bestFit="1" customWidth="1" collapsed="1"/>
    <col min="19" max="19" width="8.81640625" bestFit="1" customWidth="1"/>
    <col min="20" max="20" width="11.81640625" customWidth="1"/>
    <col min="21" max="22" width="9.453125" hidden="1" customWidth="1" outlineLevel="1"/>
    <col min="23" max="23" width="12.1796875" hidden="1" customWidth="1" outlineLevel="1"/>
    <col min="24" max="24" width="9.453125" hidden="1" customWidth="1" outlineLevel="1"/>
    <col min="25" max="25" width="10.81640625" customWidth="1" collapsed="1"/>
    <col min="26" max="26" width="10.54296875" customWidth="1"/>
    <col min="27" max="32" width="12.54296875" customWidth="1"/>
    <col min="33" max="33" width="9.81640625" customWidth="1"/>
    <col min="34" max="34" width="2.81640625" customWidth="1"/>
    <col min="35" max="35" width="13.1796875" bestFit="1" customWidth="1"/>
    <col min="36" max="36" width="2.81640625" customWidth="1"/>
    <col min="37" max="37" width="8.81640625" customWidth="1"/>
    <col min="38" max="38" width="9.453125" customWidth="1"/>
    <col min="39" max="39" width="2.81640625" customWidth="1"/>
    <col min="40" max="40" width="17.81640625" bestFit="1" customWidth="1"/>
    <col min="41" max="41" width="9.1796875" customWidth="1"/>
    <col min="42" max="42" width="6.81640625" hidden="1" customWidth="1" outlineLevel="1"/>
    <col min="43" max="43" width="31.81640625" customWidth="1" collapsed="1"/>
    <col min="44" max="44" width="5.81640625" style="182" hidden="1" customWidth="1" outlineLevel="1"/>
    <col min="45" max="45" width="8.54296875" style="168" customWidth="1" collapsed="1"/>
    <col min="46" max="46" width="8.54296875" customWidth="1"/>
    <col min="47" max="47" width="9.81640625" bestFit="1" customWidth="1"/>
    <col min="48" max="48" width="9.81640625" customWidth="1"/>
    <col min="49" max="49" width="10.54296875" customWidth="1"/>
    <col min="50" max="50" width="9.453125" customWidth="1"/>
    <col min="51" max="51" width="8.54296875" customWidth="1"/>
    <col min="52" max="52" width="10.81640625" customWidth="1"/>
    <col min="53" max="53" width="14" bestFit="1" customWidth="1"/>
    <col min="54" max="55" width="8.1796875" hidden="1" customWidth="1" outlineLevel="1"/>
    <col min="56" max="56" width="9.1796875" hidden="1" customWidth="1" outlineLevel="1"/>
    <col min="57" max="57" width="8.81640625" hidden="1" customWidth="1" outlineLevel="1"/>
    <col min="58" max="58" width="12.453125" bestFit="1" customWidth="1" collapsed="1"/>
    <col min="59" max="59" width="8.81640625" bestFit="1" customWidth="1"/>
    <col min="60" max="60" width="9.453125" bestFit="1" customWidth="1"/>
    <col min="61" max="62" width="9.453125" hidden="1" customWidth="1" outlineLevel="1"/>
    <col min="63" max="63" width="12.1796875" hidden="1" customWidth="1" outlineLevel="1"/>
    <col min="64" max="64" width="9.453125" hidden="1" customWidth="1" outlineLevel="1"/>
    <col min="65" max="65" width="9.54296875" customWidth="1" collapsed="1"/>
    <col min="66" max="67" width="8.81640625" bestFit="1" customWidth="1"/>
    <col min="68" max="72" width="12.54296875" customWidth="1"/>
    <col min="73" max="73" width="9.81640625" customWidth="1"/>
    <col min="74" max="74" width="2.81640625" customWidth="1"/>
    <col min="75" max="75" width="13.1796875" bestFit="1" customWidth="1"/>
    <col min="76" max="76" width="2.81640625" customWidth="1"/>
    <col min="77" max="77" width="17.81640625" bestFit="1" customWidth="1"/>
    <col min="79" max="79" width="6.54296875" hidden="1" customWidth="1" outlineLevel="1"/>
    <col min="80" max="80" width="31.81640625" customWidth="1" collapsed="1"/>
    <col min="81" max="81" width="5.81640625" style="182" hidden="1" customWidth="1" outlineLevel="1"/>
    <col min="82" max="82" width="8.54296875" style="168" customWidth="1" collapsed="1"/>
    <col min="83" max="83" width="8.54296875" customWidth="1"/>
    <col min="84" max="84" width="9.81640625" bestFit="1" customWidth="1"/>
    <col min="85" max="85" width="9.81640625" customWidth="1"/>
    <col min="86" max="86" width="10.54296875" customWidth="1"/>
    <col min="87" max="87" width="9.453125" customWidth="1"/>
    <col min="88" max="88" width="8.54296875" customWidth="1"/>
    <col min="89" max="89" width="10.81640625" customWidth="1"/>
    <col min="90" max="90" width="14" bestFit="1" customWidth="1"/>
    <col min="91" max="92" width="8.1796875" hidden="1" customWidth="1" outlineLevel="1"/>
    <col min="93" max="93" width="9.1796875" hidden="1" customWidth="1" outlineLevel="1"/>
    <col min="94" max="94" width="8.81640625" hidden="1" customWidth="1" outlineLevel="1"/>
    <col min="95" max="95" width="12.453125" bestFit="1" customWidth="1" collapsed="1"/>
    <col min="96" max="96" width="8.81640625" bestFit="1" customWidth="1"/>
    <col min="97" max="97" width="9.453125" bestFit="1" customWidth="1"/>
    <col min="98" max="99" width="9.453125" hidden="1" customWidth="1" outlineLevel="1"/>
    <col min="100" max="100" width="12.1796875" hidden="1" customWidth="1" outlineLevel="1"/>
    <col min="101" max="101" width="9.453125" hidden="1" customWidth="1" outlineLevel="1"/>
    <col min="102" max="102" width="9.54296875" customWidth="1" collapsed="1"/>
    <col min="103" max="104" width="8.81640625" bestFit="1" customWidth="1"/>
    <col min="105" max="109" width="12.54296875" customWidth="1"/>
    <col min="110" max="110" width="9.81640625" customWidth="1"/>
    <col min="111" max="111" width="2.81640625" customWidth="1"/>
    <col min="112" max="112" width="13.1796875" bestFit="1" customWidth="1"/>
  </cols>
  <sheetData>
    <row r="1" spans="2:112" s="1" customFormat="1" ht="31.5" customHeight="1">
      <c r="B1" s="136"/>
      <c r="C1" s="110" t="str">
        <f>INDEX(ActT,2,ActLangID)</f>
        <v>Enkel voor intern gebruik</v>
      </c>
      <c r="D1" s="175"/>
      <c r="E1" s="164"/>
      <c r="F1" s="14"/>
      <c r="G1" s="7"/>
      <c r="H1" s="7"/>
      <c r="I1" s="7"/>
      <c r="J1"/>
      <c r="K1"/>
      <c r="L1" s="270"/>
      <c r="M1" s="7"/>
      <c r="N1" s="7"/>
      <c r="O1" s="7"/>
      <c r="P1" s="7"/>
      <c r="Q1" s="7"/>
      <c r="R1" s="7"/>
      <c r="T1" s="164"/>
      <c r="U1" s="7"/>
      <c r="V1" s="7"/>
      <c r="W1" s="7"/>
      <c r="X1" s="7"/>
      <c r="Y1" s="7"/>
      <c r="Z1" s="7"/>
      <c r="AL1" s="111"/>
      <c r="AO1"/>
      <c r="AP1" s="136"/>
      <c r="AQ1" s="110"/>
      <c r="AR1" s="175"/>
      <c r="AS1" s="164"/>
      <c r="AT1" s="14"/>
      <c r="AU1" s="7"/>
      <c r="AV1" s="7"/>
      <c r="AW1" s="7"/>
      <c r="AX1"/>
      <c r="AY1"/>
      <c r="AZ1" s="270"/>
      <c r="BA1" s="7"/>
      <c r="BB1" s="7"/>
      <c r="BC1" s="7"/>
      <c r="BD1" s="7"/>
      <c r="BE1" s="7"/>
      <c r="BF1" s="7"/>
      <c r="BH1" s="164"/>
      <c r="BI1" s="7"/>
      <c r="BJ1" s="7"/>
      <c r="BK1" s="7"/>
      <c r="BL1" s="7"/>
      <c r="BM1" s="7"/>
      <c r="BN1" s="7"/>
      <c r="CA1" s="136"/>
      <c r="CB1" s="110"/>
      <c r="CC1" s="175"/>
      <c r="CD1" s="164"/>
      <c r="CE1" s="14"/>
      <c r="CF1" s="7"/>
      <c r="CG1" s="7"/>
      <c r="CH1" s="7"/>
      <c r="CI1"/>
      <c r="CJ1"/>
      <c r="CK1" s="270"/>
      <c r="CL1" s="7"/>
      <c r="CM1" s="7"/>
      <c r="CN1" s="7"/>
      <c r="CO1" s="7"/>
      <c r="CP1" s="7"/>
      <c r="CQ1" s="7"/>
      <c r="CS1" s="164"/>
      <c r="CT1" s="7"/>
      <c r="CU1" s="7"/>
      <c r="CV1" s="7"/>
      <c r="CW1" s="7"/>
      <c r="CX1" s="7"/>
      <c r="CY1" s="7"/>
    </row>
    <row r="2" spans="2:112" s="1" customFormat="1" ht="25">
      <c r="B2" s="136"/>
      <c r="C2" s="38" t="str">
        <f>INDEX(ActT,3,ActLangID)&amp;"-Standaard"</f>
        <v>SIGNAALRAPPORT : Kredieten-Standaard</v>
      </c>
      <c r="D2" s="175"/>
      <c r="E2" s="164"/>
      <c r="F2" s="1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7"/>
      <c r="U2" s="7"/>
      <c r="V2" s="7"/>
      <c r="W2" s="7"/>
      <c r="X2" s="7"/>
      <c r="Y2" s="7"/>
      <c r="Z2" s="7"/>
      <c r="AL2" s="39" t="str">
        <f>grafiek!$A$3</f>
        <v>week 22 (31/05/2024)</v>
      </c>
      <c r="AO2"/>
      <c r="AP2" s="136"/>
      <c r="AQ2" s="38" t="str">
        <f>INDEX(ActT,3,ActLangID)&amp;"-TKO"</f>
        <v>SIGNAALRAPPORT : Kredieten-TKO</v>
      </c>
      <c r="AR2" s="175"/>
      <c r="AS2" s="164"/>
      <c r="AT2" s="14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H2" s="7"/>
      <c r="BI2" s="7"/>
      <c r="BJ2" s="7"/>
      <c r="BK2" s="7"/>
      <c r="BL2" s="7"/>
      <c r="BM2" s="7"/>
      <c r="BN2" s="7"/>
      <c r="CA2" s="136"/>
      <c r="CB2" s="38" t="str">
        <f>INDEX(ActT,3,ActLangID)&amp;"-Globaal"</f>
        <v>SIGNAALRAPPORT : Kredieten-Globaal</v>
      </c>
      <c r="CC2" s="175"/>
      <c r="CD2" s="164"/>
      <c r="CE2" s="14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S2" s="7"/>
      <c r="CT2" s="7"/>
      <c r="CU2" s="7"/>
      <c r="CV2" s="7"/>
      <c r="CW2" s="7"/>
      <c r="CX2" s="7"/>
      <c r="CY2" s="7"/>
    </row>
    <row r="3" spans="2:112" s="1" customFormat="1" ht="15.75" customHeight="1">
      <c r="B3" s="136"/>
      <c r="C3" s="59" t="s">
        <v>11</v>
      </c>
      <c r="D3" s="176"/>
      <c r="E3" s="483" t="str">
        <f>INDEX(ActT,30,ActLangID)</f>
        <v>tarief klant act</v>
      </c>
      <c r="F3" s="464" t="str">
        <f>INDEX(ActT,31,ActLangID)</f>
        <v>tarief klant nom</v>
      </c>
      <c r="G3" s="464" t="s">
        <v>187</v>
      </c>
      <c r="H3" s="464" t="str">
        <f>INDEX(ActT,27,ActLangID)</f>
        <v>TKO AddOn funding</v>
      </c>
      <c r="I3" s="464" t="str">
        <f>INDEX(ActT,28,ActLangID)</f>
        <v>ResVrgd TKO</v>
      </c>
      <c r="J3" s="464" t="str">
        <f>INDEX(ActT,33,ActLangID)</f>
        <v>con-cessie</v>
      </c>
      <c r="K3" s="470" t="str">
        <f>INDEX(ActT,34,ActLangID)</f>
        <v>bruto marge</v>
      </c>
      <c r="L3" s="472" t="s">
        <v>298</v>
      </c>
      <c r="M3" s="235" t="str">
        <f>INDEX(ActT,53,ActLangID)</f>
        <v>bruto na</v>
      </c>
      <c r="N3" s="239"/>
      <c r="O3" s="240"/>
      <c r="P3" s="473" t="str">
        <f>INDEX(ActT,37,ActLangID)</f>
        <v>kosten opties</v>
      </c>
      <c r="Q3" s="246"/>
      <c r="R3" s="475" t="str">
        <f>INDEX(ActT,37,ActLangID)</f>
        <v>kosten opties</v>
      </c>
      <c r="S3" s="468" t="s">
        <v>266</v>
      </c>
      <c r="T3" s="62" t="s">
        <v>118</v>
      </c>
      <c r="U3" s="464" t="str">
        <f>INDEX(ActT,35,ActLangID)</f>
        <v>com-missie</v>
      </c>
      <c r="V3" s="464" t="str">
        <f>INDEX(ActT,35,ActLangID)</f>
        <v>com-missie</v>
      </c>
      <c r="W3" s="464" t="str">
        <f>INDEX(ActT,35,ActLangID)</f>
        <v>com-missie</v>
      </c>
      <c r="X3" s="464" t="str">
        <f>INDEX(ActT,35,ActLangID)</f>
        <v>com-missie</v>
      </c>
      <c r="Y3" s="464" t="str">
        <f>INDEX(ActT,35,ActLangID)</f>
        <v>com-missie</v>
      </c>
      <c r="Z3" s="464" t="str">
        <f>INDEX(ActT,36,ActLangID)</f>
        <v>krediet-verlies</v>
      </c>
      <c r="AA3" s="466" t="str">
        <f>INDEX(ActT,38,ActLangID)</f>
        <v>marge vóór kosten</v>
      </c>
      <c r="AB3" s="61" t="str">
        <f>INDEX(ActT,39,ActLangID)</f>
        <v>kosten</v>
      </c>
      <c r="AC3" s="61" t="str">
        <f>INDEX(ActT,39,ActLangID)</f>
        <v>kosten</v>
      </c>
      <c r="AD3" s="470" t="s">
        <v>397</v>
      </c>
      <c r="AE3" s="61" t="str">
        <f>INDEX(ActT,39,ActLangID)</f>
        <v>kosten</v>
      </c>
      <c r="AF3" s="482" t="s">
        <v>398</v>
      </c>
      <c r="AG3" s="316" t="str">
        <f t="shared" ref="AG3" si="0">INDEX(ActT,39,ActLangID)</f>
        <v>kosten</v>
      </c>
      <c r="AI3" s="185" t="str">
        <f>INDEX(ActT,43,ActLangID)</f>
        <v>aandeel</v>
      </c>
      <c r="AK3" s="479" t="s">
        <v>413</v>
      </c>
      <c r="AL3" s="480"/>
      <c r="AO3"/>
      <c r="AP3" s="136"/>
      <c r="AQ3" s="59" t="str">
        <f>C3</f>
        <v>PRODUCT</v>
      </c>
      <c r="AR3" s="176"/>
      <c r="AS3" s="483" t="str">
        <f t="shared" ref="AS3:BA3" si="1">E3</f>
        <v>tarief klant act</v>
      </c>
      <c r="AT3" s="464" t="str">
        <f t="shared" si="1"/>
        <v>tarief klant nom</v>
      </c>
      <c r="AU3" s="464" t="str">
        <f t="shared" si="1"/>
        <v>tarief funding nom</v>
      </c>
      <c r="AV3" s="464" t="str">
        <f t="shared" si="1"/>
        <v>TKO AddOn funding</v>
      </c>
      <c r="AW3" s="464" t="str">
        <f t="shared" si="1"/>
        <v>ResVrgd TKO</v>
      </c>
      <c r="AX3" s="464" t="str">
        <f t="shared" si="1"/>
        <v>con-cessie</v>
      </c>
      <c r="AY3" s="470" t="str">
        <f t="shared" si="1"/>
        <v>bruto marge</v>
      </c>
      <c r="AZ3" s="472" t="str">
        <f t="shared" si="1"/>
        <v>liquidity
premium</v>
      </c>
      <c r="BA3" s="235" t="str">
        <f t="shared" si="1"/>
        <v>bruto na</v>
      </c>
      <c r="BB3" s="239"/>
      <c r="BC3" s="240"/>
      <c r="BD3" s="473" t="str">
        <f>P3</f>
        <v>kosten opties</v>
      </c>
      <c r="BE3" s="246"/>
      <c r="BF3" s="475" t="str">
        <f>R3</f>
        <v>kosten opties</v>
      </c>
      <c r="BG3" s="468" t="str">
        <f>S3</f>
        <v>OAS</v>
      </c>
      <c r="BH3" s="62" t="s">
        <v>118</v>
      </c>
      <c r="BI3" s="464" t="str">
        <f t="shared" ref="BI3:BQ3" si="2">U3</f>
        <v>com-missie</v>
      </c>
      <c r="BJ3" s="464" t="str">
        <f t="shared" si="2"/>
        <v>com-missie</v>
      </c>
      <c r="BK3" s="464" t="str">
        <f t="shared" si="2"/>
        <v>com-missie</v>
      </c>
      <c r="BL3" s="464" t="str">
        <f t="shared" si="2"/>
        <v>com-missie</v>
      </c>
      <c r="BM3" s="464" t="str">
        <f t="shared" si="2"/>
        <v>com-missie</v>
      </c>
      <c r="BN3" s="464" t="str">
        <f t="shared" si="2"/>
        <v>krediet-verlies</v>
      </c>
      <c r="BO3" s="466" t="str">
        <f t="shared" si="2"/>
        <v>marge vóór kosten</v>
      </c>
      <c r="BP3" s="61" t="str">
        <f t="shared" si="2"/>
        <v>kosten</v>
      </c>
      <c r="BQ3" s="61" t="str">
        <f t="shared" si="2"/>
        <v>kosten</v>
      </c>
      <c r="BR3" s="470" t="str">
        <f t="shared" ref="BR3:BR4" si="3">AD3</f>
        <v>SNM</v>
      </c>
      <c r="BS3" s="61" t="str">
        <f>AE3</f>
        <v>kosten</v>
      </c>
      <c r="BT3" s="482" t="str">
        <f>AF3</f>
        <v>Net 
Margin</v>
      </c>
      <c r="BU3" s="316" t="str">
        <f t="shared" ref="BU3" si="4">AG3</f>
        <v>kosten</v>
      </c>
      <c r="BW3" s="185" t="str">
        <f>AI3</f>
        <v>aandeel</v>
      </c>
      <c r="CA3" s="136"/>
      <c r="CB3" s="59" t="str">
        <f>C3</f>
        <v>PRODUCT</v>
      </c>
      <c r="CC3" s="176"/>
      <c r="CD3" s="483" t="str">
        <f t="shared" ref="CD3:CJ3" si="5">E3</f>
        <v>tarief klant act</v>
      </c>
      <c r="CE3" s="464" t="str">
        <f t="shared" si="5"/>
        <v>tarief klant nom</v>
      </c>
      <c r="CF3" s="464" t="str">
        <f t="shared" si="5"/>
        <v>tarief funding nom</v>
      </c>
      <c r="CG3" s="464" t="str">
        <f t="shared" si="5"/>
        <v>TKO AddOn funding</v>
      </c>
      <c r="CH3" s="464" t="str">
        <f t="shared" si="5"/>
        <v>ResVrgd TKO</v>
      </c>
      <c r="CI3" s="464" t="str">
        <f t="shared" si="5"/>
        <v>con-cessie</v>
      </c>
      <c r="CJ3" s="470" t="str">
        <f t="shared" si="5"/>
        <v>bruto marge</v>
      </c>
      <c r="CK3" s="472" t="s">
        <v>298</v>
      </c>
      <c r="CL3" s="235" t="str">
        <f>M3</f>
        <v>bruto na</v>
      </c>
      <c r="CM3" s="239"/>
      <c r="CN3" s="240"/>
      <c r="CO3" s="473" t="str">
        <f>P3</f>
        <v>kosten opties</v>
      </c>
      <c r="CP3" s="246"/>
      <c r="CQ3" s="475" t="str">
        <f>R3</f>
        <v>kosten opties</v>
      </c>
      <c r="CR3" s="468" t="s">
        <v>266</v>
      </c>
      <c r="CS3" s="62" t="s">
        <v>118</v>
      </c>
      <c r="CT3" s="464" t="str">
        <f t="shared" ref="CT3:DE3" si="6">U3</f>
        <v>com-missie</v>
      </c>
      <c r="CU3" s="464" t="str">
        <f t="shared" si="6"/>
        <v>com-missie</v>
      </c>
      <c r="CV3" s="464" t="str">
        <f t="shared" si="6"/>
        <v>com-missie</v>
      </c>
      <c r="CW3" s="464" t="str">
        <f t="shared" si="6"/>
        <v>com-missie</v>
      </c>
      <c r="CX3" s="464" t="str">
        <f t="shared" si="6"/>
        <v>com-missie</v>
      </c>
      <c r="CY3" s="464" t="str">
        <f t="shared" si="6"/>
        <v>krediet-verlies</v>
      </c>
      <c r="CZ3" s="466" t="str">
        <f t="shared" si="6"/>
        <v>marge vóór kosten</v>
      </c>
      <c r="DA3" s="61" t="str">
        <f t="shared" si="6"/>
        <v>kosten</v>
      </c>
      <c r="DB3" s="61" t="str">
        <f t="shared" si="6"/>
        <v>kosten</v>
      </c>
      <c r="DC3" s="470" t="str">
        <f t="shared" si="6"/>
        <v>SNM</v>
      </c>
      <c r="DD3" s="61" t="str">
        <f t="shared" si="6"/>
        <v>kosten</v>
      </c>
      <c r="DE3" s="482" t="str">
        <f t="shared" si="6"/>
        <v>Net 
Margin</v>
      </c>
      <c r="DF3" s="316" t="str">
        <f t="shared" ref="DF3" si="7">AG3</f>
        <v>kosten</v>
      </c>
      <c r="DH3" s="185" t="str">
        <f>AI3</f>
        <v>aandeel</v>
      </c>
    </row>
    <row r="4" spans="2:112" s="1" customFormat="1" ht="15.5">
      <c r="B4" s="136"/>
      <c r="C4" s="115"/>
      <c r="D4" s="177"/>
      <c r="E4" s="484" t="e">
        <f>INDEX(T,3,langID)</f>
        <v>#NAME?</v>
      </c>
      <c r="F4" s="465" t="e">
        <f>INDEX(T,3,langID)</f>
        <v>#NAME?</v>
      </c>
      <c r="G4" s="465" t="e">
        <v>#NAME?</v>
      </c>
      <c r="H4" s="465" t="e">
        <f>INDEX(T,3,langID)</f>
        <v>#NAME?</v>
      </c>
      <c r="I4" s="465"/>
      <c r="J4" s="465"/>
      <c r="K4" s="471"/>
      <c r="L4" s="465" t="e">
        <v>#NAME?</v>
      </c>
      <c r="M4" s="236" t="s">
        <v>299</v>
      </c>
      <c r="N4" s="242"/>
      <c r="O4" s="243"/>
      <c r="P4" s="474"/>
      <c r="Q4" s="243"/>
      <c r="R4" s="476"/>
      <c r="S4" s="469"/>
      <c r="T4" s="117" t="s">
        <v>114</v>
      </c>
      <c r="U4" s="465"/>
      <c r="V4" s="465"/>
      <c r="W4" s="465"/>
      <c r="X4" s="465"/>
      <c r="Y4" s="465"/>
      <c r="Z4" s="465"/>
      <c r="AA4" s="465" t="e">
        <f>INDEX(T,3,langID)</f>
        <v>#NAME?</v>
      </c>
      <c r="AB4" s="285" t="s">
        <v>392</v>
      </c>
      <c r="AC4" s="285" t="s">
        <v>392</v>
      </c>
      <c r="AD4" s="481"/>
      <c r="AE4" s="285" t="s">
        <v>396</v>
      </c>
      <c r="AF4" s="481"/>
      <c r="AG4" s="317" t="str">
        <f>INDEX(ActT,41,ActLangID)</f>
        <v>kapitaal</v>
      </c>
      <c r="AI4" s="352" t="s">
        <v>414</v>
      </c>
      <c r="AK4" s="70" t="str">
        <f>INDEX(ActT,45,ActLangID)</f>
        <v>looptijd</v>
      </c>
      <c r="AL4" s="71" t="str">
        <f>INDEX(ActT,46,ActLangID)</f>
        <v>bedrag</v>
      </c>
      <c r="AO4"/>
      <c r="AP4" s="136"/>
      <c r="AQ4" s="115"/>
      <c r="AR4" s="177"/>
      <c r="AS4" s="484" t="e">
        <f>INDEX(T,3,langID)</f>
        <v>#NAME?</v>
      </c>
      <c r="AT4" s="465" t="e">
        <f>INDEX(T,3,langID)</f>
        <v>#NAME?</v>
      </c>
      <c r="AU4" s="465" t="e">
        <f>INDEX(T,3,langID)</f>
        <v>#NAME?</v>
      </c>
      <c r="AV4" s="465" t="e">
        <f>INDEX(T,3,langID)</f>
        <v>#NAME?</v>
      </c>
      <c r="AW4" s="465"/>
      <c r="AX4" s="465"/>
      <c r="AY4" s="471"/>
      <c r="AZ4" s="465" t="e">
        <v>#NAME?</v>
      </c>
      <c r="BA4" s="236" t="s">
        <v>299</v>
      </c>
      <c r="BB4" s="242"/>
      <c r="BC4" s="243"/>
      <c r="BD4" s="474"/>
      <c r="BE4" s="243"/>
      <c r="BF4" s="476"/>
      <c r="BG4" s="469"/>
      <c r="BH4" s="117" t="s">
        <v>114</v>
      </c>
      <c r="BI4" s="465"/>
      <c r="BJ4" s="465"/>
      <c r="BK4" s="465"/>
      <c r="BL4" s="465"/>
      <c r="BM4" s="465"/>
      <c r="BN4" s="465"/>
      <c r="BO4" s="465" t="e">
        <f>INDEX(T,3,langID)</f>
        <v>#NAME?</v>
      </c>
      <c r="BP4" s="285" t="s">
        <v>392</v>
      </c>
      <c r="BQ4" s="285" t="s">
        <v>392</v>
      </c>
      <c r="BR4" s="481">
        <f t="shared" si="3"/>
        <v>0</v>
      </c>
      <c r="BS4" s="285" t="s">
        <v>396</v>
      </c>
      <c r="BT4" s="481"/>
      <c r="BU4" s="317" t="str">
        <f>AG4</f>
        <v>kapitaal</v>
      </c>
      <c r="BW4" s="383" t="str">
        <f>AI4</f>
        <v>wk18-21</v>
      </c>
      <c r="BY4" s="389" t="s">
        <v>373</v>
      </c>
      <c r="CA4" s="136"/>
      <c r="CB4" s="115"/>
      <c r="CC4" s="177"/>
      <c r="CD4" s="484" t="e">
        <f>INDEX(T,3,langID)</f>
        <v>#NAME?</v>
      </c>
      <c r="CE4" s="465" t="e">
        <f>INDEX(T,3,langID)</f>
        <v>#NAME?</v>
      </c>
      <c r="CF4" s="465" t="e">
        <f>INDEX(T,3,langID)</f>
        <v>#NAME?</v>
      </c>
      <c r="CG4" s="465" t="e">
        <f>INDEX(T,3,langID)</f>
        <v>#NAME?</v>
      </c>
      <c r="CH4" s="465"/>
      <c r="CI4" s="465"/>
      <c r="CJ4" s="471"/>
      <c r="CK4" s="465" t="e">
        <v>#NAME?</v>
      </c>
      <c r="CL4" s="236" t="s">
        <v>299</v>
      </c>
      <c r="CM4" s="242"/>
      <c r="CN4" s="243"/>
      <c r="CO4" s="474"/>
      <c r="CP4" s="243"/>
      <c r="CQ4" s="476"/>
      <c r="CR4" s="469"/>
      <c r="CS4" s="117" t="s">
        <v>114</v>
      </c>
      <c r="CT4" s="465"/>
      <c r="CU4" s="465"/>
      <c r="CV4" s="465"/>
      <c r="CW4" s="465"/>
      <c r="CX4" s="465"/>
      <c r="CY4" s="465"/>
      <c r="CZ4" s="465" t="e">
        <f>INDEX(T,3,langID)</f>
        <v>#NAME?</v>
      </c>
      <c r="DA4" s="285" t="s">
        <v>392</v>
      </c>
      <c r="DB4" s="285" t="s">
        <v>392</v>
      </c>
      <c r="DC4" s="481"/>
      <c r="DD4" s="285" t="s">
        <v>396</v>
      </c>
      <c r="DE4" s="481"/>
      <c r="DF4" s="317" t="str">
        <f>AG4</f>
        <v>kapitaal</v>
      </c>
      <c r="DH4" s="383" t="str">
        <f>AI4</f>
        <v>wk18-21</v>
      </c>
    </row>
    <row r="5" spans="2:112" s="1" customFormat="1" ht="15.5">
      <c r="B5" s="136" t="s">
        <v>123</v>
      </c>
      <c r="C5" s="135" t="s">
        <v>124</v>
      </c>
      <c r="D5" s="178"/>
      <c r="E5" s="485" t="e">
        <f>INDEX(T,3,langID)</f>
        <v>#NAME?</v>
      </c>
      <c r="F5" s="467" t="e">
        <f>INDEX(T,3,langID)</f>
        <v>#NAME?</v>
      </c>
      <c r="G5" s="467" t="e">
        <v>#NAME?</v>
      </c>
      <c r="H5" s="467" t="e">
        <f>INDEX(T,3,langID)</f>
        <v>#NAME?</v>
      </c>
      <c r="I5" s="369"/>
      <c r="J5" s="157"/>
      <c r="K5" s="121" t="s">
        <v>4</v>
      </c>
      <c r="L5" s="67" t="s">
        <v>4</v>
      </c>
      <c r="M5" s="129" t="s">
        <v>4</v>
      </c>
      <c r="N5" s="237" t="s">
        <v>308</v>
      </c>
      <c r="O5" s="237" t="s">
        <v>106</v>
      </c>
      <c r="P5" s="237" t="s">
        <v>108</v>
      </c>
      <c r="Q5" s="247" t="s">
        <v>119</v>
      </c>
      <c r="R5" s="249" t="s">
        <v>120</v>
      </c>
      <c r="S5" s="248" t="s">
        <v>4</v>
      </c>
      <c r="T5" s="67"/>
      <c r="U5" s="67" t="s">
        <v>352</v>
      </c>
      <c r="V5" s="67" t="s">
        <v>262</v>
      </c>
      <c r="W5" s="67" t="s">
        <v>353</v>
      </c>
      <c r="X5" s="67" t="s">
        <v>354</v>
      </c>
      <c r="Y5" s="67"/>
      <c r="Z5" s="68"/>
      <c r="AA5" s="467" t="e">
        <f>INDEX(T,3,langID)</f>
        <v>#NAME?</v>
      </c>
      <c r="AB5" s="447" t="s">
        <v>394</v>
      </c>
      <c r="AC5" s="447" t="s">
        <v>395</v>
      </c>
      <c r="AD5" s="448" t="s">
        <v>4</v>
      </c>
      <c r="AE5" s="447"/>
      <c r="AF5" s="448" t="s">
        <v>4</v>
      </c>
      <c r="AG5" s="324"/>
      <c r="AI5" s="314"/>
      <c r="AK5" s="77" t="str">
        <f>INDEX(ActT,47,ActLangID)</f>
        <v>in mnd</v>
      </c>
      <c r="AL5" s="78" t="s">
        <v>110</v>
      </c>
      <c r="AO5"/>
      <c r="AP5" s="136" t="s">
        <v>123</v>
      </c>
      <c r="AQ5" s="135" t="s">
        <v>124</v>
      </c>
      <c r="AR5" s="178"/>
      <c r="AS5" s="485" t="e">
        <f>INDEX(T,3,langID)</f>
        <v>#NAME?</v>
      </c>
      <c r="AT5" s="467" t="e">
        <f>INDEX(T,3,langID)</f>
        <v>#NAME?</v>
      </c>
      <c r="AU5" s="467" t="e">
        <f>INDEX(T,3,langID)</f>
        <v>#NAME?</v>
      </c>
      <c r="AV5" s="467" t="e">
        <f>INDEX(T,3,langID)</f>
        <v>#NAME?</v>
      </c>
      <c r="AW5" s="369"/>
      <c r="AX5" s="157"/>
      <c r="AY5" s="121" t="s">
        <v>4</v>
      </c>
      <c r="AZ5" s="67" t="s">
        <v>4</v>
      </c>
      <c r="BA5" s="129" t="s">
        <v>4</v>
      </c>
      <c r="BB5" s="237" t="s">
        <v>308</v>
      </c>
      <c r="BC5" s="237" t="s">
        <v>106</v>
      </c>
      <c r="BD5" s="237" t="s">
        <v>108</v>
      </c>
      <c r="BE5" s="247" t="s">
        <v>119</v>
      </c>
      <c r="BF5" s="249" t="s">
        <v>120</v>
      </c>
      <c r="BG5" s="248" t="s">
        <v>4</v>
      </c>
      <c r="BH5" s="67"/>
      <c r="BI5" s="67" t="s">
        <v>352</v>
      </c>
      <c r="BJ5" s="67" t="s">
        <v>262</v>
      </c>
      <c r="BK5" s="67" t="s">
        <v>353</v>
      </c>
      <c r="BL5" s="67" t="s">
        <v>354</v>
      </c>
      <c r="BM5" s="67"/>
      <c r="BN5" s="68"/>
      <c r="BO5" s="467" t="e">
        <f>INDEX(T,3,langID)</f>
        <v>#NAME?</v>
      </c>
      <c r="BP5" s="447" t="s">
        <v>394</v>
      </c>
      <c r="BQ5" s="447" t="s">
        <v>395</v>
      </c>
      <c r="BR5" s="448" t="s">
        <v>4</v>
      </c>
      <c r="BS5" s="447"/>
      <c r="BT5" s="448" t="s">
        <v>4</v>
      </c>
      <c r="BU5" s="324"/>
      <c r="BW5" s="314"/>
      <c r="CA5" s="136" t="s">
        <v>123</v>
      </c>
      <c r="CB5" s="135" t="s">
        <v>124</v>
      </c>
      <c r="CC5" s="178"/>
      <c r="CD5" s="485" t="e">
        <f>INDEX(T,3,langID)</f>
        <v>#NAME?</v>
      </c>
      <c r="CE5" s="467" t="e">
        <f>INDEX(T,3,langID)</f>
        <v>#NAME?</v>
      </c>
      <c r="CF5" s="467" t="e">
        <f>INDEX(T,3,langID)</f>
        <v>#NAME?</v>
      </c>
      <c r="CG5" s="467" t="e">
        <f>INDEX(T,3,langID)</f>
        <v>#NAME?</v>
      </c>
      <c r="CH5" s="369"/>
      <c r="CI5" s="157"/>
      <c r="CJ5" s="121" t="s">
        <v>4</v>
      </c>
      <c r="CK5" s="67" t="s">
        <v>4</v>
      </c>
      <c r="CL5" s="129" t="s">
        <v>4</v>
      </c>
      <c r="CM5" s="237" t="s">
        <v>308</v>
      </c>
      <c r="CN5" s="237" t="s">
        <v>106</v>
      </c>
      <c r="CO5" s="237" t="s">
        <v>108</v>
      </c>
      <c r="CP5" s="247" t="s">
        <v>119</v>
      </c>
      <c r="CQ5" s="249" t="s">
        <v>120</v>
      </c>
      <c r="CR5" s="248" t="s">
        <v>4</v>
      </c>
      <c r="CS5" s="67"/>
      <c r="CT5" s="67" t="s">
        <v>352</v>
      </c>
      <c r="CU5" s="67" t="s">
        <v>262</v>
      </c>
      <c r="CV5" s="67" t="s">
        <v>353</v>
      </c>
      <c r="CW5" s="67" t="s">
        <v>354</v>
      </c>
      <c r="CX5" s="67"/>
      <c r="CY5" s="68"/>
      <c r="CZ5" s="467" t="e">
        <f>INDEX(T,3,langID)</f>
        <v>#NAME?</v>
      </c>
      <c r="DA5" s="447" t="s">
        <v>394</v>
      </c>
      <c r="DB5" s="447" t="s">
        <v>395</v>
      </c>
      <c r="DC5" s="448" t="s">
        <v>4</v>
      </c>
      <c r="DD5" s="447"/>
      <c r="DE5" s="448" t="s">
        <v>4</v>
      </c>
      <c r="DF5" s="324"/>
      <c r="DH5" s="314"/>
    </row>
    <row r="6" spans="2:112" s="1" customFormat="1" ht="13">
      <c r="B6" s="136"/>
      <c r="C6" s="156" t="str">
        <f>INDEX(ActT,4,ActLangID)</f>
        <v>Woonkredieten</v>
      </c>
      <c r="D6" s="179"/>
      <c r="E6" s="165"/>
      <c r="F6" s="131"/>
      <c r="G6" s="27"/>
      <c r="H6" s="27"/>
      <c r="I6" s="27"/>
      <c r="J6" s="27"/>
      <c r="K6" s="122"/>
      <c r="L6" s="188"/>
      <c r="M6" s="127"/>
      <c r="N6" s="36"/>
      <c r="O6" s="36"/>
      <c r="P6" s="36"/>
      <c r="Q6" s="76"/>
      <c r="R6" s="45"/>
      <c r="S6" s="122"/>
      <c r="T6" s="37"/>
      <c r="U6" s="37"/>
      <c r="V6" s="37"/>
      <c r="W6" s="37"/>
      <c r="X6" s="37"/>
      <c r="Y6" s="74"/>
      <c r="Z6" s="75"/>
      <c r="AA6" s="122"/>
      <c r="AB6" s="37"/>
      <c r="AC6" s="37"/>
      <c r="AD6" s="122"/>
      <c r="AE6" s="37"/>
      <c r="AF6" s="122"/>
      <c r="AG6" s="319"/>
      <c r="AI6" s="120"/>
      <c r="AK6" s="119"/>
      <c r="AL6" s="54"/>
      <c r="AN6" s="350" t="str">
        <f>AI4</f>
        <v>wk18-21</v>
      </c>
      <c r="AO6"/>
      <c r="AP6" s="136"/>
      <c r="AQ6" s="156" t="str">
        <f t="shared" ref="AQ6:AQ23" si="8">C6</f>
        <v>Woonkredieten</v>
      </c>
      <c r="AR6" s="179"/>
      <c r="AS6" s="165"/>
      <c r="AT6" s="131"/>
      <c r="AU6" s="27"/>
      <c r="AV6" s="27"/>
      <c r="AW6" s="27"/>
      <c r="AX6" s="27"/>
      <c r="AY6" s="122"/>
      <c r="AZ6" s="188"/>
      <c r="BA6" s="127"/>
      <c r="BB6" s="36"/>
      <c r="BC6" s="36"/>
      <c r="BD6" s="36"/>
      <c r="BE6" s="76"/>
      <c r="BF6" s="45"/>
      <c r="BG6" s="122"/>
      <c r="BH6" s="37"/>
      <c r="BI6" s="37"/>
      <c r="BJ6" s="37"/>
      <c r="BK6" s="37"/>
      <c r="BL6" s="37"/>
      <c r="BM6" s="74"/>
      <c r="BN6" s="75"/>
      <c r="BO6" s="122"/>
      <c r="BP6" s="37"/>
      <c r="BQ6" s="37"/>
      <c r="BR6" s="122"/>
      <c r="BS6" s="37"/>
      <c r="BT6" s="122"/>
      <c r="BU6" s="319"/>
      <c r="BW6" s="120"/>
      <c r="BY6" s="350" t="str">
        <f>AI4</f>
        <v>wk18-21</v>
      </c>
      <c r="CA6" s="136"/>
      <c r="CB6" s="156" t="str">
        <f t="shared" ref="CB6:CB23" si="9">C6</f>
        <v>Woonkredieten</v>
      </c>
      <c r="CC6" s="179"/>
      <c r="CD6" s="165"/>
      <c r="CE6" s="131"/>
      <c r="CF6" s="27"/>
      <c r="CG6" s="27"/>
      <c r="CH6" s="27"/>
      <c r="CI6" s="27"/>
      <c r="CJ6" s="122"/>
      <c r="CK6" s="188"/>
      <c r="CL6" s="127"/>
      <c r="CM6" s="36"/>
      <c r="CN6" s="36"/>
      <c r="CO6" s="36"/>
      <c r="CP6" s="76"/>
      <c r="CQ6" s="45"/>
      <c r="CR6" s="122"/>
      <c r="CS6" s="37"/>
      <c r="CT6" s="37"/>
      <c r="CU6" s="37"/>
      <c r="CV6" s="37"/>
      <c r="CW6" s="37"/>
      <c r="CX6" s="74"/>
      <c r="CY6" s="75"/>
      <c r="CZ6" s="122"/>
      <c r="DA6" s="37"/>
      <c r="DB6" s="37"/>
      <c r="DC6" s="122"/>
      <c r="DD6" s="37"/>
      <c r="DE6" s="122"/>
      <c r="DF6" s="319"/>
      <c r="DH6" s="120"/>
    </row>
    <row r="7" spans="2:112" s="1" customFormat="1" ht="12.5">
      <c r="B7" s="137">
        <v>102</v>
      </c>
      <c r="C7" s="79" t="str">
        <f>INDEX(ActT,5,ActLangID)&amp;" 01/1/1 (+3/-3)"</f>
        <v>WK 01/1/1 (+3/-3)</v>
      </c>
      <c r="D7" s="426">
        <v>6.2</v>
      </c>
      <c r="E7" s="166">
        <f t="shared" ref="E7:E22" si="10">D7</f>
        <v>6.2</v>
      </c>
      <c r="F7" s="46">
        <f t="shared" ref="F7:F22" si="11">ROUND((POWER(1+D7/100,1/12)-1)*12*100,3)</f>
        <v>6.03</v>
      </c>
      <c r="G7" s="81">
        <v>3.3865249885830218</v>
      </c>
      <c r="H7" s="81">
        <v>0</v>
      </c>
      <c r="I7" s="81">
        <v>0</v>
      </c>
      <c r="J7" s="287">
        <v>0</v>
      </c>
      <c r="K7" s="125">
        <f>F7-G7-H7+I7+J7</f>
        <v>2.6434750114169785</v>
      </c>
      <c r="L7" s="192">
        <v>-0.18069037035359736</v>
      </c>
      <c r="M7" s="125">
        <f t="shared" ref="M7:M74" si="12">SUM(K7:L7)</f>
        <v>2.4627846410633811</v>
      </c>
      <c r="N7" s="40">
        <v>4.9195000000000003E-3</v>
      </c>
      <c r="O7" s="40">
        <v>-0.15026439999999999</v>
      </c>
      <c r="P7" s="40">
        <v>0</v>
      </c>
      <c r="Q7" s="40">
        <v>2.63E-2</v>
      </c>
      <c r="R7" s="82">
        <f>SUM(N7:Q7)</f>
        <v>-0.1190449</v>
      </c>
      <c r="S7" s="125">
        <f t="shared" ref="S7:S74" si="13">M7+R7</f>
        <v>2.3437397410633811</v>
      </c>
      <c r="T7" s="40">
        <v>5.1099999999999993E-2</v>
      </c>
      <c r="U7" s="40">
        <v>-6.4299999999999996E-2</v>
      </c>
      <c r="V7" s="40">
        <v>-2.6200000000000001E-2</v>
      </c>
      <c r="W7" s="40" t="s">
        <v>393</v>
      </c>
      <c r="X7" s="358" t="s">
        <v>393</v>
      </c>
      <c r="Y7" s="211">
        <f>SUM(U7:X7)</f>
        <v>-9.0499999999999997E-2</v>
      </c>
      <c r="Z7" s="40">
        <v>-0.03</v>
      </c>
      <c r="AA7" s="125">
        <f t="shared" ref="AA7:AA23" si="14">SUM(S7:T7,Y7:Z7)</f>
        <v>2.2743397410633812</v>
      </c>
      <c r="AB7" s="442">
        <v>-0.02</v>
      </c>
      <c r="AC7" s="442">
        <v>-8.3199999999999996E-2</v>
      </c>
      <c r="AD7" s="125">
        <f>SUM(AA7:AC7)</f>
        <v>2.171139741063381</v>
      </c>
      <c r="AE7" s="442">
        <v>-0.22969999999999999</v>
      </c>
      <c r="AF7" s="125">
        <f>SUM(AD7:AE7)</f>
        <v>1.941439741063381</v>
      </c>
      <c r="AG7" s="320">
        <v>-0.28999999999999998</v>
      </c>
      <c r="AH7" s="23"/>
      <c r="AI7" s="83">
        <v>0</v>
      </c>
      <c r="AJ7" s="23"/>
      <c r="AK7" s="84">
        <v>214</v>
      </c>
      <c r="AL7" s="85">
        <v>107100</v>
      </c>
      <c r="AN7" s="83">
        <v>0</v>
      </c>
      <c r="AO7"/>
      <c r="AP7" s="229">
        <f t="shared" ref="AP7:AP22" si="15">B7</f>
        <v>102</v>
      </c>
      <c r="AQ7" s="230" t="str">
        <f t="shared" si="8"/>
        <v>WK 01/1/1 (+3/-3)</v>
      </c>
      <c r="AR7" s="372">
        <f t="shared" ref="AR7:AR22" si="16">D7</f>
        <v>6.2</v>
      </c>
      <c r="AS7" s="231">
        <f t="shared" ref="AS7:AS22" si="17">E7</f>
        <v>6.2</v>
      </c>
      <c r="AT7" s="232">
        <f t="shared" ref="AT7:AT22" si="18">F7</f>
        <v>6.03</v>
      </c>
      <c r="AU7" s="373">
        <f t="shared" ref="AU7:AU22" si="19">G7</f>
        <v>3.3865249885830218</v>
      </c>
      <c r="AV7" s="382">
        <v>-3.6835000000000001E-3</v>
      </c>
      <c r="AW7" s="382">
        <v>3.2722000000000001E-2</v>
      </c>
      <c r="AX7" s="374">
        <f t="shared" ref="AX7:AX22" si="20">J7</f>
        <v>0</v>
      </c>
      <c r="AY7" s="208">
        <f>AT7-AU7-AV7+AW7+AX7</f>
        <v>2.6798805114169788</v>
      </c>
      <c r="AZ7" s="232">
        <f t="shared" ref="AZ7:AZ22" si="21">L7</f>
        <v>-0.18069037035359736</v>
      </c>
      <c r="BA7" s="208">
        <f t="shared" ref="BA7" si="22">SUM(AY7:AZ7)</f>
        <v>2.4991901410633814</v>
      </c>
      <c r="BB7" s="211">
        <f t="shared" ref="BB7:BB22" si="23">N7</f>
        <v>4.9195000000000003E-3</v>
      </c>
      <c r="BC7" s="211">
        <f t="shared" ref="BC7:BC22" si="24">O7</f>
        <v>-0.15026439999999999</v>
      </c>
      <c r="BD7" s="211">
        <f t="shared" ref="BD7:BD22" si="25">P7</f>
        <v>0</v>
      </c>
      <c r="BE7" s="211">
        <f t="shared" ref="BE7:BE22" si="26">Q7</f>
        <v>2.63E-2</v>
      </c>
      <c r="BF7" s="211">
        <f>SUM(BB7:BE7)</f>
        <v>-0.1190449</v>
      </c>
      <c r="BG7" s="208">
        <f t="shared" ref="BG7" si="27">BA7+BF7</f>
        <v>2.3801452410633814</v>
      </c>
      <c r="BH7" s="211">
        <f t="shared" ref="BH7:BH22" si="28">T7</f>
        <v>5.1099999999999993E-2</v>
      </c>
      <c r="BI7" s="211">
        <f t="shared" ref="BI7:BI22" si="29">U7</f>
        <v>-6.4299999999999996E-2</v>
      </c>
      <c r="BJ7" s="211">
        <f t="shared" ref="BJ7:BJ22" si="30">V7</f>
        <v>-2.6200000000000001E-2</v>
      </c>
      <c r="BK7" s="211" t="str">
        <f t="shared" ref="BK7:BK22" si="31">W7</f>
        <v>-</v>
      </c>
      <c r="BL7" s="211" t="str">
        <f t="shared" ref="BL7:BL22" si="32">X7</f>
        <v>-</v>
      </c>
      <c r="BM7" s="211">
        <f>SUM(BI7:BL7)</f>
        <v>-9.0499999999999997E-2</v>
      </c>
      <c r="BN7" s="211">
        <f t="shared" ref="BN7:BN22" si="33">Z7</f>
        <v>-0.03</v>
      </c>
      <c r="BO7" s="208">
        <f t="shared" ref="BO7:BO23" si="34">SUM(BG7:BH7,BM7:BN7)</f>
        <v>2.3107452410633815</v>
      </c>
      <c r="BP7" s="211">
        <f>AB7</f>
        <v>-0.02</v>
      </c>
      <c r="BQ7" s="211">
        <f>AC7</f>
        <v>-8.3199999999999996E-2</v>
      </c>
      <c r="BR7" s="125">
        <f>SUM(BO7:BQ7)</f>
        <v>2.2075452410633813</v>
      </c>
      <c r="BS7" s="211">
        <f>AE7</f>
        <v>-0.22969999999999999</v>
      </c>
      <c r="BT7" s="125">
        <f>SUM(BR7:BS7)</f>
        <v>1.9778452410633813</v>
      </c>
      <c r="BU7" s="375">
        <f t="shared" ref="BU7:BU22" si="35">AG7</f>
        <v>-0.28999999999999998</v>
      </c>
      <c r="BV7" s="23"/>
      <c r="BW7" s="83">
        <v>0</v>
      </c>
      <c r="BX7" s="23"/>
      <c r="BY7" s="83">
        <v>0</v>
      </c>
      <c r="CA7" s="137">
        <f t="shared" ref="CA7:CA22" si="36">B7</f>
        <v>102</v>
      </c>
      <c r="CB7" s="79" t="str">
        <f t="shared" si="9"/>
        <v>WK 01/1/1 (+3/-3)</v>
      </c>
      <c r="CC7" s="372">
        <f t="shared" ref="CC7:CC22" si="37">D7</f>
        <v>6.2</v>
      </c>
      <c r="CD7" s="231">
        <f t="shared" ref="CD7:CD22" si="38">E7</f>
        <v>6.2</v>
      </c>
      <c r="CE7" s="232">
        <f t="shared" ref="CE7:CE22" si="39">F7</f>
        <v>6.03</v>
      </c>
      <c r="CF7" s="373">
        <f t="shared" ref="CF7:CF22" si="40">G7</f>
        <v>3.3865249885830218</v>
      </c>
      <c r="CG7" s="373">
        <f t="shared" ref="CG7:CG22" si="41">AV7*$BY7</f>
        <v>0</v>
      </c>
      <c r="CH7" s="373">
        <f t="shared" ref="CH7:CH22" si="42">AW7*$BY7</f>
        <v>0</v>
      </c>
      <c r="CI7" s="374">
        <f t="shared" ref="CI7:CI22" si="43">J7</f>
        <v>0</v>
      </c>
      <c r="CJ7" s="125">
        <f>CE7-CF7-CG7+CH7+CI7</f>
        <v>2.6434750114169785</v>
      </c>
      <c r="CK7" s="232">
        <f t="shared" ref="CK7:CK22" si="44">L7</f>
        <v>-0.18069037035359736</v>
      </c>
      <c r="CL7" s="125">
        <f t="shared" ref="CL7" si="45">SUM(CJ7:CK7)</f>
        <v>2.4627846410633811</v>
      </c>
      <c r="CM7" s="211">
        <f t="shared" ref="CM7:CM22" si="46">N7</f>
        <v>4.9195000000000003E-3</v>
      </c>
      <c r="CN7" s="211">
        <f t="shared" ref="CN7:CN22" si="47">O7</f>
        <v>-0.15026439999999999</v>
      </c>
      <c r="CO7" s="211">
        <f t="shared" ref="CO7:CO22" si="48">P7</f>
        <v>0</v>
      </c>
      <c r="CP7" s="211">
        <f t="shared" ref="CP7:CP22" si="49">Q7</f>
        <v>2.63E-2</v>
      </c>
      <c r="CQ7" s="82">
        <f>SUM(CM7:CP7)</f>
        <v>-0.1190449</v>
      </c>
      <c r="CR7" s="125">
        <f t="shared" ref="CR7:CR22" si="50">CL7+CQ7</f>
        <v>2.3437397410633811</v>
      </c>
      <c r="CS7" s="211">
        <f t="shared" ref="CS7:CS22" si="51">T7</f>
        <v>5.1099999999999993E-2</v>
      </c>
      <c r="CT7" s="211">
        <f t="shared" ref="CT7:CT22" si="52">U7</f>
        <v>-6.4299999999999996E-2</v>
      </c>
      <c r="CU7" s="211">
        <f t="shared" ref="CU7:CU22" si="53">V7</f>
        <v>-2.6200000000000001E-2</v>
      </c>
      <c r="CV7" s="211" t="str">
        <f t="shared" ref="CV7:CV22" si="54">W7</f>
        <v>-</v>
      </c>
      <c r="CW7" s="211" t="str">
        <f t="shared" ref="CW7:CW22" si="55">X7</f>
        <v>-</v>
      </c>
      <c r="CX7" s="211">
        <f>SUM(CT7:CW7)</f>
        <v>-9.0499999999999997E-2</v>
      </c>
      <c r="CY7" s="211">
        <f t="shared" ref="CY7:CY22" si="56">Z7</f>
        <v>-0.03</v>
      </c>
      <c r="CZ7" s="125">
        <f t="shared" ref="CZ7:CZ23" si="57">SUM(CR7:CS7,CX7:CY7)</f>
        <v>2.2743397410633812</v>
      </c>
      <c r="DA7" s="211">
        <f>AB7</f>
        <v>-0.02</v>
      </c>
      <c r="DB7" s="211">
        <f>AC7</f>
        <v>-8.3199999999999996E-2</v>
      </c>
      <c r="DC7" s="125">
        <f>SUM(CZ7:DB7)</f>
        <v>2.171139741063381</v>
      </c>
      <c r="DD7" s="211">
        <f>AE7</f>
        <v>-0.22969999999999999</v>
      </c>
      <c r="DE7" s="125">
        <f>SUM(DC7:DD7)</f>
        <v>1.941439741063381</v>
      </c>
      <c r="DF7" s="375">
        <f t="shared" ref="DF7:DF22" si="58">AG7</f>
        <v>-0.28999999999999998</v>
      </c>
      <c r="DG7" s="23"/>
      <c r="DH7" s="83">
        <v>0</v>
      </c>
    </row>
    <row r="8" spans="2:112" s="1" customFormat="1" ht="13">
      <c r="B8" s="137">
        <v>112</v>
      </c>
      <c r="C8" s="79" t="str">
        <f>INDEX(ActT,5,ActLangID)&amp;" 05/5/5 (+3/-3)" &amp; " -10 "&amp;INDEX(ActT,55,ActLangID)</f>
        <v>WK 05/5/5 (+3/-3) -10 jaar</v>
      </c>
      <c r="D8" s="426">
        <v>5.15</v>
      </c>
      <c r="E8" s="166">
        <f t="shared" ref="E8:E10" si="59">D8</f>
        <v>5.15</v>
      </c>
      <c r="F8" s="47">
        <f t="shared" ref="F8:F10" si="60">ROUND((POWER(1+D8/100,1/12)-1)*12*100,3)</f>
        <v>5.032</v>
      </c>
      <c r="G8" s="81">
        <v>2.7245638504173324</v>
      </c>
      <c r="H8" s="81">
        <v>0</v>
      </c>
      <c r="I8" s="81">
        <v>0</v>
      </c>
      <c r="J8" s="287">
        <v>0</v>
      </c>
      <c r="K8" s="125">
        <f t="shared" ref="K8:K22" si="61">F8-G8-H8+I8+J8</f>
        <v>2.3074361495826676</v>
      </c>
      <c r="L8" s="193">
        <v>-0.71231856219930068</v>
      </c>
      <c r="M8" s="125">
        <f t="shared" ref="M8:M10" si="62">SUM(K8:L8)</f>
        <v>1.595117587383367</v>
      </c>
      <c r="N8" s="354">
        <v>4.5006999999999998E-3</v>
      </c>
      <c r="O8" s="354">
        <v>-3.0324500000000001E-2</v>
      </c>
      <c r="P8" s="354">
        <v>-6.67687E-2</v>
      </c>
      <c r="Q8" s="354">
        <v>2.47E-2</v>
      </c>
      <c r="R8" s="82">
        <f t="shared" ref="R8:R10" si="63">SUM(N8:Q8)</f>
        <v>-6.7892499999999995E-2</v>
      </c>
      <c r="S8" s="125">
        <f t="shared" ref="S8:S10" si="64">M8+R8</f>
        <v>1.527225087383367</v>
      </c>
      <c r="T8" s="354">
        <v>8.9099999999999999E-2</v>
      </c>
      <c r="U8" s="354">
        <v>-0.1153</v>
      </c>
      <c r="V8" s="354">
        <v>-4.7E-2</v>
      </c>
      <c r="W8" s="354" t="s">
        <v>393</v>
      </c>
      <c r="X8" s="358" t="s">
        <v>393</v>
      </c>
      <c r="Y8" s="211">
        <f t="shared" ref="Y8:Y10" si="65">SUM(U8:X8)</f>
        <v>-0.1623</v>
      </c>
      <c r="Z8" s="354">
        <v>-0.01</v>
      </c>
      <c r="AA8" s="125">
        <f t="shared" si="14"/>
        <v>1.4440250873833669</v>
      </c>
      <c r="AB8" s="442">
        <v>-3.49E-2</v>
      </c>
      <c r="AC8" s="442">
        <v>-7.3899999999999993E-2</v>
      </c>
      <c r="AD8" s="125">
        <f t="shared" ref="AD8:AD25" si="66">SUM(AA8:AC8)</f>
        <v>1.3352250873833669</v>
      </c>
      <c r="AE8" s="442">
        <v>-0.20409999999999998</v>
      </c>
      <c r="AF8" s="125">
        <f t="shared" ref="AF8:AF25" si="67">SUM(AD8:AE8)</f>
        <v>1.1311250873833669</v>
      </c>
      <c r="AG8" s="320">
        <v>-0.44</v>
      </c>
      <c r="AH8" s="23"/>
      <c r="AI8" s="83">
        <v>0</v>
      </c>
      <c r="AJ8" s="23"/>
      <c r="AK8" s="461">
        <v>120</v>
      </c>
      <c r="AL8" s="454">
        <v>110000</v>
      </c>
      <c r="AN8" s="83">
        <v>0</v>
      </c>
      <c r="AO8"/>
      <c r="AP8" s="229">
        <f t="shared" si="15"/>
        <v>112</v>
      </c>
      <c r="AQ8" s="230" t="str">
        <f t="shared" si="8"/>
        <v>WK 05/5/5 (+3/-3) -10 jaar</v>
      </c>
      <c r="AR8" s="372">
        <f t="shared" si="16"/>
        <v>5.15</v>
      </c>
      <c r="AS8" s="231">
        <f t="shared" si="17"/>
        <v>5.15</v>
      </c>
      <c r="AT8" s="234">
        <f t="shared" si="18"/>
        <v>5.032</v>
      </c>
      <c r="AU8" s="373">
        <f t="shared" si="19"/>
        <v>2.7245638504173324</v>
      </c>
      <c r="AV8" s="382">
        <v>-7.2272000000000005E-3</v>
      </c>
      <c r="AW8" s="382">
        <v>5.3760000000000002E-2</v>
      </c>
      <c r="AX8" s="374">
        <f t="shared" si="20"/>
        <v>0</v>
      </c>
      <c r="AY8" s="208">
        <f t="shared" ref="AY8:AY22" si="68">AT8-AU8-AV8+AW8+AX8</f>
        <v>2.3684233495826676</v>
      </c>
      <c r="AZ8" s="234">
        <f t="shared" si="21"/>
        <v>-0.71231856219930068</v>
      </c>
      <c r="BA8" s="208">
        <f t="shared" ref="BA8:BA23" si="69">SUM(AY8:AZ8)</f>
        <v>1.656104787383367</v>
      </c>
      <c r="BB8" s="211">
        <f t="shared" si="23"/>
        <v>4.5006999999999998E-3</v>
      </c>
      <c r="BC8" s="211">
        <f t="shared" si="24"/>
        <v>-3.0324500000000001E-2</v>
      </c>
      <c r="BD8" s="211">
        <f t="shared" si="25"/>
        <v>-6.67687E-2</v>
      </c>
      <c r="BE8" s="211">
        <f t="shared" si="26"/>
        <v>2.47E-2</v>
      </c>
      <c r="BF8" s="211">
        <f t="shared" ref="BF8:BF22" si="70">SUM(BB8:BE8)</f>
        <v>-6.7892499999999995E-2</v>
      </c>
      <c r="BG8" s="208">
        <f t="shared" ref="BG8:BG22" si="71">BA8+BF8</f>
        <v>1.5882122873833671</v>
      </c>
      <c r="BH8" s="211">
        <f t="shared" si="28"/>
        <v>8.9099999999999999E-2</v>
      </c>
      <c r="BI8" s="211">
        <f t="shared" si="29"/>
        <v>-0.1153</v>
      </c>
      <c r="BJ8" s="211">
        <f t="shared" si="30"/>
        <v>-4.7E-2</v>
      </c>
      <c r="BK8" s="211" t="str">
        <f t="shared" si="31"/>
        <v>-</v>
      </c>
      <c r="BL8" s="211" t="str">
        <f t="shared" si="32"/>
        <v>-</v>
      </c>
      <c r="BM8" s="211">
        <f t="shared" ref="BM8:BM22" si="72">SUM(BI8:BL8)</f>
        <v>-0.1623</v>
      </c>
      <c r="BN8" s="211">
        <f t="shared" si="33"/>
        <v>-0.01</v>
      </c>
      <c r="BO8" s="208">
        <f t="shared" ref="BO8:BO22" si="73">SUM(BG8:BH8,BM8:BN8)</f>
        <v>1.5050122873833669</v>
      </c>
      <c r="BP8" s="211">
        <f t="shared" ref="BP8:BP22" si="74">AB8</f>
        <v>-3.49E-2</v>
      </c>
      <c r="BQ8" s="211">
        <f t="shared" ref="BQ8:BQ22" si="75">AC8</f>
        <v>-7.3899999999999993E-2</v>
      </c>
      <c r="BR8" s="125">
        <f t="shared" ref="BR8:BR23" si="76">SUM(BO8:BQ8)</f>
        <v>1.3962122873833669</v>
      </c>
      <c r="BS8" s="211">
        <f t="shared" ref="BS8:BS22" si="77">AE8</f>
        <v>-0.20409999999999998</v>
      </c>
      <c r="BT8" s="125">
        <f t="shared" ref="BT8:BT23" si="78">SUM(BR8:BS8)</f>
        <v>1.1921122873833669</v>
      </c>
      <c r="BU8" s="375">
        <f t="shared" si="35"/>
        <v>-0.44</v>
      </c>
      <c r="BV8" s="23"/>
      <c r="BW8" s="83">
        <v>0</v>
      </c>
      <c r="BX8" s="23"/>
      <c r="BY8" s="83">
        <v>0</v>
      </c>
      <c r="CA8" s="137">
        <f t="shared" si="36"/>
        <v>112</v>
      </c>
      <c r="CB8" s="79" t="str">
        <f t="shared" si="9"/>
        <v>WK 05/5/5 (+3/-3) -10 jaar</v>
      </c>
      <c r="CC8" s="372">
        <f t="shared" si="37"/>
        <v>5.15</v>
      </c>
      <c r="CD8" s="231">
        <f t="shared" si="38"/>
        <v>5.15</v>
      </c>
      <c r="CE8" s="234">
        <f t="shared" si="39"/>
        <v>5.032</v>
      </c>
      <c r="CF8" s="373">
        <f t="shared" si="40"/>
        <v>2.7245638504173324</v>
      </c>
      <c r="CG8" s="373">
        <f t="shared" si="41"/>
        <v>0</v>
      </c>
      <c r="CH8" s="373">
        <f t="shared" si="42"/>
        <v>0</v>
      </c>
      <c r="CI8" s="374">
        <f t="shared" si="43"/>
        <v>0</v>
      </c>
      <c r="CJ8" s="125">
        <f t="shared" ref="CJ8:CJ22" si="79">CE8-CF8-CG8+CH8+CI8</f>
        <v>2.3074361495826676</v>
      </c>
      <c r="CK8" s="234">
        <f t="shared" si="44"/>
        <v>-0.71231856219930068</v>
      </c>
      <c r="CL8" s="125">
        <f t="shared" ref="CL8:CL10" si="80">SUM(CJ8:CK8)</f>
        <v>1.595117587383367</v>
      </c>
      <c r="CM8" s="211">
        <f t="shared" si="46"/>
        <v>4.5006999999999998E-3</v>
      </c>
      <c r="CN8" s="211">
        <f t="shared" si="47"/>
        <v>-3.0324500000000001E-2</v>
      </c>
      <c r="CO8" s="211">
        <f t="shared" si="48"/>
        <v>-6.67687E-2</v>
      </c>
      <c r="CP8" s="211">
        <f t="shared" si="49"/>
        <v>2.47E-2</v>
      </c>
      <c r="CQ8" s="82">
        <f t="shared" ref="CQ8:CQ10" si="81">SUM(CM8:CP8)</f>
        <v>-6.7892499999999995E-2</v>
      </c>
      <c r="CR8" s="125">
        <f t="shared" si="50"/>
        <v>1.527225087383367</v>
      </c>
      <c r="CS8" s="211">
        <f t="shared" si="51"/>
        <v>8.9099999999999999E-2</v>
      </c>
      <c r="CT8" s="211">
        <f t="shared" si="52"/>
        <v>-0.1153</v>
      </c>
      <c r="CU8" s="211">
        <f t="shared" si="53"/>
        <v>-4.7E-2</v>
      </c>
      <c r="CV8" s="211" t="str">
        <f t="shared" si="54"/>
        <v>-</v>
      </c>
      <c r="CW8" s="211" t="str">
        <f t="shared" si="55"/>
        <v>-</v>
      </c>
      <c r="CX8" s="211">
        <f t="shared" ref="CX8:CX10" si="82">SUM(CT8:CW8)</f>
        <v>-0.1623</v>
      </c>
      <c r="CY8" s="211">
        <f t="shared" si="56"/>
        <v>-0.01</v>
      </c>
      <c r="CZ8" s="125">
        <f t="shared" si="57"/>
        <v>1.4440250873833669</v>
      </c>
      <c r="DA8" s="211">
        <f t="shared" ref="DA8:DA22" si="83">AB8</f>
        <v>-3.49E-2</v>
      </c>
      <c r="DB8" s="211">
        <f t="shared" ref="DB8:DB22" si="84">AC8</f>
        <v>-7.3899999999999993E-2</v>
      </c>
      <c r="DC8" s="125">
        <f t="shared" ref="DC8:DC25" si="85">SUM(CZ8:DB8)</f>
        <v>1.3352250873833669</v>
      </c>
      <c r="DD8" s="211">
        <f t="shared" ref="DD8:DD22" si="86">AE8</f>
        <v>-0.20409999999999998</v>
      </c>
      <c r="DE8" s="125">
        <f t="shared" ref="DE8:DE25" si="87">SUM(DC8:DD8)</f>
        <v>1.1311250873833669</v>
      </c>
      <c r="DF8" s="375">
        <f t="shared" si="58"/>
        <v>-0.44</v>
      </c>
      <c r="DG8" s="23"/>
      <c r="DH8" s="83">
        <v>0</v>
      </c>
    </row>
    <row r="9" spans="2:112" s="1" customFormat="1" ht="12.5">
      <c r="B9" s="137">
        <v>114</v>
      </c>
      <c r="C9" s="79" t="str">
        <f>INDEX(ActT,5,ActLangID)&amp;" 05/5/5 (+3/-3)" &amp; " -15 "&amp;INDEX(ActT,55,ActLangID)</f>
        <v>WK 05/5/5 (+3/-3) -15 jaar</v>
      </c>
      <c r="D9" s="426">
        <v>5.15</v>
      </c>
      <c r="E9" s="166">
        <f t="shared" si="59"/>
        <v>5.15</v>
      </c>
      <c r="F9" s="47">
        <f t="shared" si="60"/>
        <v>5.032</v>
      </c>
      <c r="G9" s="81">
        <v>2.6969094668500069</v>
      </c>
      <c r="H9" s="81">
        <v>0</v>
      </c>
      <c r="I9" s="81">
        <v>0</v>
      </c>
      <c r="J9" s="287">
        <v>0</v>
      </c>
      <c r="K9" s="125">
        <f t="shared" si="61"/>
        <v>2.3350905331499932</v>
      </c>
      <c r="L9" s="193">
        <v>-0.82326259517499101</v>
      </c>
      <c r="M9" s="125">
        <f t="shared" si="62"/>
        <v>1.5118279379750021</v>
      </c>
      <c r="N9" s="354">
        <v>4.5006999999999998E-3</v>
      </c>
      <c r="O9" s="354">
        <v>-7.2745799999999999E-2</v>
      </c>
      <c r="P9" s="354">
        <v>-6.8531599999999998E-2</v>
      </c>
      <c r="Q9" s="354">
        <v>2.4899999999999999E-2</v>
      </c>
      <c r="R9" s="82">
        <f t="shared" si="63"/>
        <v>-0.1118767</v>
      </c>
      <c r="S9" s="125">
        <f t="shared" si="64"/>
        <v>1.3999512379750021</v>
      </c>
      <c r="T9" s="354">
        <v>3.9599999999999996E-2</v>
      </c>
      <c r="U9" s="354">
        <v>-7.6999999999999999E-2</v>
      </c>
      <c r="V9" s="354">
        <v>-3.1300000000000001E-2</v>
      </c>
      <c r="W9" s="358" t="s">
        <v>393</v>
      </c>
      <c r="X9" s="358" t="s">
        <v>393</v>
      </c>
      <c r="Y9" s="211">
        <f t="shared" si="65"/>
        <v>-0.10830000000000001</v>
      </c>
      <c r="Z9" s="354">
        <v>-0.01</v>
      </c>
      <c r="AA9" s="125">
        <f t="shared" si="14"/>
        <v>1.3212512379750021</v>
      </c>
      <c r="AB9" s="442">
        <v>-1.55E-2</v>
      </c>
      <c r="AC9" s="442">
        <v>-5.2299999999999999E-2</v>
      </c>
      <c r="AD9" s="125">
        <f t="shared" si="66"/>
        <v>1.253451237975002</v>
      </c>
      <c r="AE9" s="442">
        <v>-0.14450000000000002</v>
      </c>
      <c r="AF9" s="125">
        <f t="shared" si="67"/>
        <v>1.1089512379750019</v>
      </c>
      <c r="AG9" s="320">
        <v>-0.44</v>
      </c>
      <c r="AH9" s="23"/>
      <c r="AI9" s="83">
        <v>0</v>
      </c>
      <c r="AJ9" s="23"/>
      <c r="AK9" s="280">
        <v>180</v>
      </c>
      <c r="AL9" s="85">
        <v>165300</v>
      </c>
      <c r="AN9" s="83">
        <v>0</v>
      </c>
      <c r="AO9"/>
      <c r="AP9" s="229">
        <f t="shared" si="15"/>
        <v>114</v>
      </c>
      <c r="AQ9" s="230" t="str">
        <f t="shared" si="8"/>
        <v>WK 05/5/5 (+3/-3) -15 jaar</v>
      </c>
      <c r="AR9" s="372">
        <f t="shared" si="16"/>
        <v>5.15</v>
      </c>
      <c r="AS9" s="231">
        <f t="shared" si="17"/>
        <v>5.15</v>
      </c>
      <c r="AT9" s="234">
        <f t="shared" si="18"/>
        <v>5.032</v>
      </c>
      <c r="AU9" s="373">
        <f t="shared" si="19"/>
        <v>2.6969094668500069</v>
      </c>
      <c r="AV9" s="382">
        <v>-5.1680000000000007E-3</v>
      </c>
      <c r="AW9" s="382">
        <v>3.9831999999999999E-2</v>
      </c>
      <c r="AX9" s="374">
        <f t="shared" si="20"/>
        <v>0</v>
      </c>
      <c r="AY9" s="208">
        <f t="shared" si="68"/>
        <v>2.3800905331499931</v>
      </c>
      <c r="AZ9" s="234">
        <f t="shared" si="21"/>
        <v>-0.82326259517499101</v>
      </c>
      <c r="BA9" s="208">
        <f t="shared" si="69"/>
        <v>1.5568279379750021</v>
      </c>
      <c r="BB9" s="211">
        <f t="shared" si="23"/>
        <v>4.5006999999999998E-3</v>
      </c>
      <c r="BC9" s="211">
        <f t="shared" si="24"/>
        <v>-7.2745799999999999E-2</v>
      </c>
      <c r="BD9" s="211">
        <f t="shared" si="25"/>
        <v>-6.8531599999999998E-2</v>
      </c>
      <c r="BE9" s="211">
        <f t="shared" si="26"/>
        <v>2.4899999999999999E-2</v>
      </c>
      <c r="BF9" s="211">
        <f t="shared" si="70"/>
        <v>-0.1118767</v>
      </c>
      <c r="BG9" s="208">
        <f t="shared" si="71"/>
        <v>1.444951237975002</v>
      </c>
      <c r="BH9" s="211">
        <f t="shared" si="28"/>
        <v>3.9599999999999996E-2</v>
      </c>
      <c r="BI9" s="211">
        <f t="shared" si="29"/>
        <v>-7.6999999999999999E-2</v>
      </c>
      <c r="BJ9" s="211">
        <f t="shared" si="30"/>
        <v>-3.1300000000000001E-2</v>
      </c>
      <c r="BK9" s="211" t="str">
        <f t="shared" si="31"/>
        <v>-</v>
      </c>
      <c r="BL9" s="211" t="str">
        <f t="shared" si="32"/>
        <v>-</v>
      </c>
      <c r="BM9" s="211">
        <f t="shared" si="72"/>
        <v>-0.10830000000000001</v>
      </c>
      <c r="BN9" s="211">
        <f t="shared" si="33"/>
        <v>-0.01</v>
      </c>
      <c r="BO9" s="208">
        <f t="shared" si="73"/>
        <v>1.366251237975002</v>
      </c>
      <c r="BP9" s="211">
        <f t="shared" si="74"/>
        <v>-1.55E-2</v>
      </c>
      <c r="BQ9" s="211">
        <f t="shared" si="75"/>
        <v>-5.2299999999999999E-2</v>
      </c>
      <c r="BR9" s="125">
        <f t="shared" si="76"/>
        <v>1.2984512379750019</v>
      </c>
      <c r="BS9" s="211">
        <f t="shared" si="77"/>
        <v>-0.14450000000000002</v>
      </c>
      <c r="BT9" s="125">
        <f t="shared" si="78"/>
        <v>1.1539512379750019</v>
      </c>
      <c r="BU9" s="375">
        <f t="shared" si="35"/>
        <v>-0.44</v>
      </c>
      <c r="BV9" s="23"/>
      <c r="BW9" s="83">
        <v>0</v>
      </c>
      <c r="BX9" s="23"/>
      <c r="BY9" s="83">
        <v>0</v>
      </c>
      <c r="CA9" s="137">
        <f t="shared" si="36"/>
        <v>114</v>
      </c>
      <c r="CB9" s="79" t="str">
        <f t="shared" si="9"/>
        <v>WK 05/5/5 (+3/-3) -15 jaar</v>
      </c>
      <c r="CC9" s="372">
        <f t="shared" si="37"/>
        <v>5.15</v>
      </c>
      <c r="CD9" s="231">
        <f t="shared" si="38"/>
        <v>5.15</v>
      </c>
      <c r="CE9" s="234">
        <f t="shared" si="39"/>
        <v>5.032</v>
      </c>
      <c r="CF9" s="373">
        <f t="shared" si="40"/>
        <v>2.6969094668500069</v>
      </c>
      <c r="CG9" s="373">
        <f t="shared" si="41"/>
        <v>0</v>
      </c>
      <c r="CH9" s="373">
        <f t="shared" si="42"/>
        <v>0</v>
      </c>
      <c r="CI9" s="374">
        <f t="shared" si="43"/>
        <v>0</v>
      </c>
      <c r="CJ9" s="125">
        <f t="shared" si="79"/>
        <v>2.3350905331499932</v>
      </c>
      <c r="CK9" s="234">
        <f t="shared" si="44"/>
        <v>-0.82326259517499101</v>
      </c>
      <c r="CL9" s="125">
        <f t="shared" si="80"/>
        <v>1.5118279379750021</v>
      </c>
      <c r="CM9" s="211">
        <f t="shared" si="46"/>
        <v>4.5006999999999998E-3</v>
      </c>
      <c r="CN9" s="211">
        <f t="shared" si="47"/>
        <v>-7.2745799999999999E-2</v>
      </c>
      <c r="CO9" s="211">
        <f t="shared" si="48"/>
        <v>-6.8531599999999998E-2</v>
      </c>
      <c r="CP9" s="211">
        <f t="shared" si="49"/>
        <v>2.4899999999999999E-2</v>
      </c>
      <c r="CQ9" s="82">
        <f t="shared" si="81"/>
        <v>-0.1118767</v>
      </c>
      <c r="CR9" s="125">
        <f t="shared" si="50"/>
        <v>1.3999512379750021</v>
      </c>
      <c r="CS9" s="211">
        <f t="shared" si="51"/>
        <v>3.9599999999999996E-2</v>
      </c>
      <c r="CT9" s="211">
        <f t="shared" si="52"/>
        <v>-7.6999999999999999E-2</v>
      </c>
      <c r="CU9" s="211">
        <f t="shared" si="53"/>
        <v>-3.1300000000000001E-2</v>
      </c>
      <c r="CV9" s="211" t="str">
        <f t="shared" si="54"/>
        <v>-</v>
      </c>
      <c r="CW9" s="211" t="str">
        <f t="shared" si="55"/>
        <v>-</v>
      </c>
      <c r="CX9" s="211">
        <f t="shared" si="82"/>
        <v>-0.10830000000000001</v>
      </c>
      <c r="CY9" s="211">
        <f t="shared" si="56"/>
        <v>-0.01</v>
      </c>
      <c r="CZ9" s="125">
        <f t="shared" si="57"/>
        <v>1.3212512379750021</v>
      </c>
      <c r="DA9" s="211">
        <f t="shared" si="83"/>
        <v>-1.55E-2</v>
      </c>
      <c r="DB9" s="211">
        <f t="shared" si="84"/>
        <v>-5.2299999999999999E-2</v>
      </c>
      <c r="DC9" s="125">
        <f t="shared" si="85"/>
        <v>1.253451237975002</v>
      </c>
      <c r="DD9" s="211">
        <f t="shared" si="86"/>
        <v>-0.14450000000000002</v>
      </c>
      <c r="DE9" s="125">
        <f t="shared" si="87"/>
        <v>1.1089512379750019</v>
      </c>
      <c r="DF9" s="375">
        <f t="shared" si="58"/>
        <v>-0.44</v>
      </c>
      <c r="DG9" s="23"/>
      <c r="DH9" s="83">
        <v>0</v>
      </c>
    </row>
    <row r="10" spans="2:112" s="1" customFormat="1" ht="12.5">
      <c r="B10" s="137">
        <v>116</v>
      </c>
      <c r="C10" s="79" t="str">
        <f>INDEX(ActT,5,ActLangID)&amp;" 05/5/5 (+3/-3)" &amp; " -20 "&amp;INDEX(ActT,55,ActLangID)</f>
        <v>WK 05/5/5 (+3/-3) -20 jaar</v>
      </c>
      <c r="D10" s="426">
        <v>5.14</v>
      </c>
      <c r="E10" s="166">
        <f t="shared" si="59"/>
        <v>5.14</v>
      </c>
      <c r="F10" s="47">
        <f t="shared" si="60"/>
        <v>5.0229999999999997</v>
      </c>
      <c r="G10" s="81">
        <v>2.6853095752466314</v>
      </c>
      <c r="H10" s="81">
        <v>0</v>
      </c>
      <c r="I10" s="81">
        <v>0</v>
      </c>
      <c r="J10" s="287">
        <v>0</v>
      </c>
      <c r="K10" s="125">
        <f t="shared" si="61"/>
        <v>2.3376904247533683</v>
      </c>
      <c r="L10" s="193">
        <v>-0.90499145971504436</v>
      </c>
      <c r="M10" s="125">
        <f t="shared" si="62"/>
        <v>1.4326989650383239</v>
      </c>
      <c r="N10" s="354">
        <v>4.5006999999999998E-3</v>
      </c>
      <c r="O10" s="354">
        <v>-0.11501969999999999</v>
      </c>
      <c r="P10" s="354">
        <v>-6.9299999999999987E-2</v>
      </c>
      <c r="Q10" s="354">
        <v>2.5000000000000001E-2</v>
      </c>
      <c r="R10" s="82">
        <f t="shared" si="63"/>
        <v>-0.15481899999999998</v>
      </c>
      <c r="S10" s="125">
        <f t="shared" si="64"/>
        <v>1.2778799650383239</v>
      </c>
      <c r="T10" s="354">
        <v>5.6400000000000006E-2</v>
      </c>
      <c r="U10" s="354">
        <v>-5.7799999999999997E-2</v>
      </c>
      <c r="V10" s="354">
        <v>-2.35E-2</v>
      </c>
      <c r="W10" s="358" t="s">
        <v>393</v>
      </c>
      <c r="X10" s="358" t="s">
        <v>393</v>
      </c>
      <c r="Y10" s="211">
        <f t="shared" si="65"/>
        <v>-8.1299999999999997E-2</v>
      </c>
      <c r="Z10" s="354">
        <v>-0.01</v>
      </c>
      <c r="AA10" s="125">
        <f t="shared" si="14"/>
        <v>1.242979965038324</v>
      </c>
      <c r="AB10" s="442">
        <v>-2.2000000000000002E-2</v>
      </c>
      <c r="AC10" s="442">
        <v>-0.10579999999999999</v>
      </c>
      <c r="AD10" s="125">
        <f t="shared" si="66"/>
        <v>1.1151799650383241</v>
      </c>
      <c r="AE10" s="442">
        <v>-0.29210000000000003</v>
      </c>
      <c r="AF10" s="125">
        <f t="shared" si="67"/>
        <v>0.82307996503832404</v>
      </c>
      <c r="AG10" s="320">
        <v>-0.44</v>
      </c>
      <c r="AH10" s="23"/>
      <c r="AI10" s="83">
        <v>0</v>
      </c>
      <c r="AJ10" s="23"/>
      <c r="AK10" s="280">
        <v>240</v>
      </c>
      <c r="AL10" s="85">
        <v>87200</v>
      </c>
      <c r="AN10" s="83">
        <v>0</v>
      </c>
      <c r="AO10"/>
      <c r="AP10" s="229">
        <f t="shared" si="15"/>
        <v>116</v>
      </c>
      <c r="AQ10" s="230" t="str">
        <f t="shared" si="8"/>
        <v>WK 05/5/5 (+3/-3) -20 jaar</v>
      </c>
      <c r="AR10" s="372">
        <f t="shared" si="16"/>
        <v>5.14</v>
      </c>
      <c r="AS10" s="231">
        <f t="shared" si="17"/>
        <v>5.14</v>
      </c>
      <c r="AT10" s="234">
        <f t="shared" si="18"/>
        <v>5.0229999999999997</v>
      </c>
      <c r="AU10" s="373">
        <f t="shared" si="19"/>
        <v>2.6853095752466314</v>
      </c>
      <c r="AV10" s="382">
        <v>-4.1671E-3</v>
      </c>
      <c r="AW10" s="382">
        <v>3.2722000000000001E-2</v>
      </c>
      <c r="AX10" s="374">
        <f t="shared" si="20"/>
        <v>0</v>
      </c>
      <c r="AY10" s="208">
        <f t="shared" si="68"/>
        <v>2.3745795247533685</v>
      </c>
      <c r="AZ10" s="234">
        <f t="shared" si="21"/>
        <v>-0.90499145971504436</v>
      </c>
      <c r="BA10" s="208">
        <f t="shared" si="69"/>
        <v>1.4695880650383242</v>
      </c>
      <c r="BB10" s="211">
        <f t="shared" si="23"/>
        <v>4.5006999999999998E-3</v>
      </c>
      <c r="BC10" s="211">
        <f t="shared" si="24"/>
        <v>-0.11501969999999999</v>
      </c>
      <c r="BD10" s="211">
        <f t="shared" si="25"/>
        <v>-6.9299999999999987E-2</v>
      </c>
      <c r="BE10" s="211">
        <f t="shared" si="26"/>
        <v>2.5000000000000001E-2</v>
      </c>
      <c r="BF10" s="211">
        <f t="shared" si="70"/>
        <v>-0.15481899999999998</v>
      </c>
      <c r="BG10" s="208">
        <f t="shared" si="71"/>
        <v>1.3147690650383241</v>
      </c>
      <c r="BH10" s="211">
        <f t="shared" si="28"/>
        <v>5.6400000000000006E-2</v>
      </c>
      <c r="BI10" s="211">
        <f t="shared" si="29"/>
        <v>-5.7799999999999997E-2</v>
      </c>
      <c r="BJ10" s="211">
        <f t="shared" si="30"/>
        <v>-2.35E-2</v>
      </c>
      <c r="BK10" s="211" t="str">
        <f t="shared" si="31"/>
        <v>-</v>
      </c>
      <c r="BL10" s="211" t="str">
        <f t="shared" si="32"/>
        <v>-</v>
      </c>
      <c r="BM10" s="211">
        <f t="shared" si="72"/>
        <v>-8.1299999999999997E-2</v>
      </c>
      <c r="BN10" s="211">
        <f t="shared" si="33"/>
        <v>-0.01</v>
      </c>
      <c r="BO10" s="208">
        <f t="shared" si="73"/>
        <v>1.2798690650383242</v>
      </c>
      <c r="BP10" s="211">
        <f t="shared" si="74"/>
        <v>-2.2000000000000002E-2</v>
      </c>
      <c r="BQ10" s="211">
        <f t="shared" si="75"/>
        <v>-0.10579999999999999</v>
      </c>
      <c r="BR10" s="125">
        <f t="shared" si="76"/>
        <v>1.1520690650383243</v>
      </c>
      <c r="BS10" s="211">
        <f t="shared" si="77"/>
        <v>-0.29210000000000003</v>
      </c>
      <c r="BT10" s="125">
        <f t="shared" si="78"/>
        <v>0.85996906503832427</v>
      </c>
      <c r="BU10" s="375">
        <f t="shared" si="35"/>
        <v>-0.44</v>
      </c>
      <c r="BV10" s="23"/>
      <c r="BW10" s="83">
        <v>0</v>
      </c>
      <c r="BX10" s="23"/>
      <c r="BY10" s="83">
        <v>0</v>
      </c>
      <c r="CA10" s="137">
        <f t="shared" si="36"/>
        <v>116</v>
      </c>
      <c r="CB10" s="79" t="str">
        <f t="shared" si="9"/>
        <v>WK 05/5/5 (+3/-3) -20 jaar</v>
      </c>
      <c r="CC10" s="372">
        <f t="shared" si="37"/>
        <v>5.14</v>
      </c>
      <c r="CD10" s="231">
        <f t="shared" si="38"/>
        <v>5.14</v>
      </c>
      <c r="CE10" s="234">
        <f t="shared" si="39"/>
        <v>5.0229999999999997</v>
      </c>
      <c r="CF10" s="373">
        <f t="shared" si="40"/>
        <v>2.6853095752466314</v>
      </c>
      <c r="CG10" s="373">
        <f t="shared" si="41"/>
        <v>0</v>
      </c>
      <c r="CH10" s="373">
        <f t="shared" si="42"/>
        <v>0</v>
      </c>
      <c r="CI10" s="374">
        <f t="shared" si="43"/>
        <v>0</v>
      </c>
      <c r="CJ10" s="125">
        <f t="shared" si="79"/>
        <v>2.3376904247533683</v>
      </c>
      <c r="CK10" s="234">
        <f t="shared" si="44"/>
        <v>-0.90499145971504436</v>
      </c>
      <c r="CL10" s="125">
        <f t="shared" si="80"/>
        <v>1.4326989650383239</v>
      </c>
      <c r="CM10" s="211">
        <f t="shared" si="46"/>
        <v>4.5006999999999998E-3</v>
      </c>
      <c r="CN10" s="211">
        <f t="shared" si="47"/>
        <v>-0.11501969999999999</v>
      </c>
      <c r="CO10" s="211">
        <f t="shared" si="48"/>
        <v>-6.9299999999999987E-2</v>
      </c>
      <c r="CP10" s="211">
        <f t="shared" si="49"/>
        <v>2.5000000000000001E-2</v>
      </c>
      <c r="CQ10" s="82">
        <f t="shared" si="81"/>
        <v>-0.15481899999999998</v>
      </c>
      <c r="CR10" s="125">
        <f t="shared" si="50"/>
        <v>1.2778799650383239</v>
      </c>
      <c r="CS10" s="211">
        <f t="shared" si="51"/>
        <v>5.6400000000000006E-2</v>
      </c>
      <c r="CT10" s="211">
        <f t="shared" si="52"/>
        <v>-5.7799999999999997E-2</v>
      </c>
      <c r="CU10" s="211">
        <f t="shared" si="53"/>
        <v>-2.35E-2</v>
      </c>
      <c r="CV10" s="211" t="str">
        <f t="shared" si="54"/>
        <v>-</v>
      </c>
      <c r="CW10" s="211" t="str">
        <f t="shared" si="55"/>
        <v>-</v>
      </c>
      <c r="CX10" s="211">
        <f t="shared" si="82"/>
        <v>-8.1299999999999997E-2</v>
      </c>
      <c r="CY10" s="211">
        <f t="shared" si="56"/>
        <v>-0.01</v>
      </c>
      <c r="CZ10" s="125">
        <f t="shared" si="57"/>
        <v>1.242979965038324</v>
      </c>
      <c r="DA10" s="211">
        <f t="shared" si="83"/>
        <v>-2.2000000000000002E-2</v>
      </c>
      <c r="DB10" s="211">
        <f t="shared" si="84"/>
        <v>-0.10579999999999999</v>
      </c>
      <c r="DC10" s="125">
        <f t="shared" si="85"/>
        <v>1.1151799650383241</v>
      </c>
      <c r="DD10" s="211">
        <f t="shared" si="86"/>
        <v>-0.29210000000000003</v>
      </c>
      <c r="DE10" s="125">
        <f t="shared" si="87"/>
        <v>0.82307996503832404</v>
      </c>
      <c r="DF10" s="375">
        <f t="shared" si="58"/>
        <v>-0.44</v>
      </c>
      <c r="DG10" s="23"/>
      <c r="DH10" s="83">
        <v>0</v>
      </c>
    </row>
    <row r="11" spans="2:112" s="1" customFormat="1" ht="12.5">
      <c r="B11" s="137">
        <v>118</v>
      </c>
      <c r="C11" s="79" t="str">
        <f>INDEX(ActT,5,ActLangID)&amp;" 05/5/5 (+3/-3)" &amp; " -25 "&amp;INDEX(ActT,55,ActLangID)</f>
        <v>WK 05/5/5 (+3/-3) -25 jaar</v>
      </c>
      <c r="D11" s="426">
        <v>5.15</v>
      </c>
      <c r="E11" s="166">
        <f t="shared" si="10"/>
        <v>5.15</v>
      </c>
      <c r="F11" s="47">
        <f t="shared" si="11"/>
        <v>5.032</v>
      </c>
      <c r="G11" s="81">
        <v>2.6790486293993117</v>
      </c>
      <c r="H11" s="81">
        <v>0</v>
      </c>
      <c r="I11" s="81">
        <v>0</v>
      </c>
      <c r="J11" s="287">
        <v>0</v>
      </c>
      <c r="K11" s="125">
        <f t="shared" si="61"/>
        <v>2.3529513706006884</v>
      </c>
      <c r="L11" s="193">
        <v>-0.94698193492469418</v>
      </c>
      <c r="M11" s="125">
        <f t="shared" si="12"/>
        <v>1.4059694356759942</v>
      </c>
      <c r="N11" s="40">
        <v>4.5006999999999998E-3</v>
      </c>
      <c r="O11" s="40">
        <v>-0.15144869999999999</v>
      </c>
      <c r="P11" s="40">
        <v>-6.9857199999999994E-2</v>
      </c>
      <c r="Q11" s="40">
        <v>2.4899999999999999E-2</v>
      </c>
      <c r="R11" s="82">
        <f t="shared" ref="R11:R74" si="88">SUM(N11:Q11)</f>
        <v>-0.19190519999999997</v>
      </c>
      <c r="S11" s="125">
        <f t="shared" si="13"/>
        <v>1.2140642356759943</v>
      </c>
      <c r="T11" s="40">
        <v>1.3899999999999999E-2</v>
      </c>
      <c r="U11" s="40">
        <v>-4.6399999999999997E-2</v>
      </c>
      <c r="V11" s="40">
        <v>-1.89E-2</v>
      </c>
      <c r="W11" s="358" t="s">
        <v>393</v>
      </c>
      <c r="X11" s="358" t="s">
        <v>393</v>
      </c>
      <c r="Y11" s="211">
        <f t="shared" ref="Y11:Y25" si="89">SUM(U11:X11)</f>
        <v>-6.5299999999999997E-2</v>
      </c>
      <c r="Z11" s="40">
        <v>-0.01</v>
      </c>
      <c r="AA11" s="125">
        <f t="shared" si="14"/>
        <v>1.1526642356759944</v>
      </c>
      <c r="AB11" s="442">
        <v>-5.3999999999999994E-3</v>
      </c>
      <c r="AC11" s="442">
        <v>-3.4799999999999998E-2</v>
      </c>
      <c r="AD11" s="125">
        <f t="shared" si="66"/>
        <v>1.1124642356759944</v>
      </c>
      <c r="AE11" s="442">
        <v>-9.6100000000000005E-2</v>
      </c>
      <c r="AF11" s="125">
        <f t="shared" si="67"/>
        <v>1.0163642356759943</v>
      </c>
      <c r="AG11" s="320">
        <v>-0.44</v>
      </c>
      <c r="AH11" s="23"/>
      <c r="AI11" s="83">
        <v>0</v>
      </c>
      <c r="AJ11" s="23"/>
      <c r="AK11" s="84">
        <v>300</v>
      </c>
      <c r="AL11" s="85">
        <v>283600</v>
      </c>
      <c r="AN11" s="83">
        <v>0</v>
      </c>
      <c r="AO11"/>
      <c r="AP11" s="229">
        <f t="shared" si="15"/>
        <v>118</v>
      </c>
      <c r="AQ11" s="230" t="str">
        <f t="shared" si="8"/>
        <v>WK 05/5/5 (+3/-3) -25 jaar</v>
      </c>
      <c r="AR11" s="372">
        <f t="shared" si="16"/>
        <v>5.15</v>
      </c>
      <c r="AS11" s="231">
        <f t="shared" si="17"/>
        <v>5.15</v>
      </c>
      <c r="AT11" s="234">
        <f t="shared" si="18"/>
        <v>5.032</v>
      </c>
      <c r="AU11" s="373">
        <f t="shared" si="19"/>
        <v>2.6790486293993117</v>
      </c>
      <c r="AV11" s="382">
        <v>-3.5732000000000003E-3</v>
      </c>
      <c r="AW11" s="382">
        <v>2.8382000000000001E-2</v>
      </c>
      <c r="AX11" s="374">
        <f t="shared" si="20"/>
        <v>0</v>
      </c>
      <c r="AY11" s="208">
        <f t="shared" si="68"/>
        <v>2.3849065706006884</v>
      </c>
      <c r="AZ11" s="234">
        <f t="shared" si="21"/>
        <v>-0.94698193492469418</v>
      </c>
      <c r="BA11" s="208">
        <f t="shared" si="69"/>
        <v>1.4379246356759943</v>
      </c>
      <c r="BB11" s="211">
        <f t="shared" si="23"/>
        <v>4.5006999999999998E-3</v>
      </c>
      <c r="BC11" s="211">
        <f t="shared" si="24"/>
        <v>-0.15144869999999999</v>
      </c>
      <c r="BD11" s="211">
        <f t="shared" si="25"/>
        <v>-6.9857199999999994E-2</v>
      </c>
      <c r="BE11" s="211">
        <f t="shared" si="26"/>
        <v>2.4899999999999999E-2</v>
      </c>
      <c r="BF11" s="211">
        <f t="shared" si="70"/>
        <v>-0.19190519999999997</v>
      </c>
      <c r="BG11" s="208">
        <f t="shared" si="71"/>
        <v>1.2460194356759944</v>
      </c>
      <c r="BH11" s="211">
        <f t="shared" si="28"/>
        <v>1.3899999999999999E-2</v>
      </c>
      <c r="BI11" s="211">
        <f t="shared" si="29"/>
        <v>-4.6399999999999997E-2</v>
      </c>
      <c r="BJ11" s="211">
        <f t="shared" si="30"/>
        <v>-1.89E-2</v>
      </c>
      <c r="BK11" s="211" t="str">
        <f t="shared" si="31"/>
        <v>-</v>
      </c>
      <c r="BL11" s="211" t="str">
        <f t="shared" si="32"/>
        <v>-</v>
      </c>
      <c r="BM11" s="211">
        <f t="shared" si="72"/>
        <v>-6.5299999999999997E-2</v>
      </c>
      <c r="BN11" s="211">
        <f t="shared" si="33"/>
        <v>-0.01</v>
      </c>
      <c r="BO11" s="208">
        <f t="shared" si="73"/>
        <v>1.1846194356759945</v>
      </c>
      <c r="BP11" s="211">
        <f t="shared" si="74"/>
        <v>-5.3999999999999994E-3</v>
      </c>
      <c r="BQ11" s="211">
        <f t="shared" si="75"/>
        <v>-3.4799999999999998E-2</v>
      </c>
      <c r="BR11" s="125">
        <f t="shared" si="76"/>
        <v>1.1444194356759945</v>
      </c>
      <c r="BS11" s="211">
        <f t="shared" si="77"/>
        <v>-9.6100000000000005E-2</v>
      </c>
      <c r="BT11" s="125">
        <f t="shared" si="78"/>
        <v>1.0483194356759944</v>
      </c>
      <c r="BU11" s="375">
        <f t="shared" si="35"/>
        <v>-0.44</v>
      </c>
      <c r="BV11" s="23"/>
      <c r="BW11" s="83">
        <v>0</v>
      </c>
      <c r="BX11" s="23"/>
      <c r="BY11" s="83">
        <v>0</v>
      </c>
      <c r="CA11" s="137">
        <f t="shared" si="36"/>
        <v>118</v>
      </c>
      <c r="CB11" s="79" t="str">
        <f t="shared" si="9"/>
        <v>WK 05/5/5 (+3/-3) -25 jaar</v>
      </c>
      <c r="CC11" s="372">
        <f t="shared" si="37"/>
        <v>5.15</v>
      </c>
      <c r="CD11" s="231">
        <f t="shared" si="38"/>
        <v>5.15</v>
      </c>
      <c r="CE11" s="234">
        <f t="shared" si="39"/>
        <v>5.032</v>
      </c>
      <c r="CF11" s="373">
        <f t="shared" si="40"/>
        <v>2.6790486293993117</v>
      </c>
      <c r="CG11" s="373">
        <f t="shared" si="41"/>
        <v>0</v>
      </c>
      <c r="CH11" s="373">
        <f t="shared" si="42"/>
        <v>0</v>
      </c>
      <c r="CI11" s="374">
        <f t="shared" si="43"/>
        <v>0</v>
      </c>
      <c r="CJ11" s="125">
        <f t="shared" si="79"/>
        <v>2.3529513706006884</v>
      </c>
      <c r="CK11" s="234">
        <f t="shared" si="44"/>
        <v>-0.94698193492469418</v>
      </c>
      <c r="CL11" s="125">
        <f t="shared" ref="CL11:CL12" si="90">SUM(CJ11:CK11)</f>
        <v>1.4059694356759942</v>
      </c>
      <c r="CM11" s="211">
        <f t="shared" si="46"/>
        <v>4.5006999999999998E-3</v>
      </c>
      <c r="CN11" s="211">
        <f t="shared" si="47"/>
        <v>-0.15144869999999999</v>
      </c>
      <c r="CO11" s="211">
        <f t="shared" si="48"/>
        <v>-6.9857199999999994E-2</v>
      </c>
      <c r="CP11" s="211">
        <f t="shared" si="49"/>
        <v>2.4899999999999999E-2</v>
      </c>
      <c r="CQ11" s="82">
        <f t="shared" ref="CQ11:CQ12" si="91">SUM(CM11:CP11)</f>
        <v>-0.19190519999999997</v>
      </c>
      <c r="CR11" s="125">
        <f t="shared" si="50"/>
        <v>1.2140642356759943</v>
      </c>
      <c r="CS11" s="211">
        <f t="shared" si="51"/>
        <v>1.3899999999999999E-2</v>
      </c>
      <c r="CT11" s="211">
        <f t="shared" si="52"/>
        <v>-4.6399999999999997E-2</v>
      </c>
      <c r="CU11" s="211">
        <f t="shared" si="53"/>
        <v>-1.89E-2</v>
      </c>
      <c r="CV11" s="211" t="str">
        <f t="shared" si="54"/>
        <v>-</v>
      </c>
      <c r="CW11" s="211" t="str">
        <f t="shared" si="55"/>
        <v>-</v>
      </c>
      <c r="CX11" s="211">
        <f t="shared" ref="CX11:CX12" si="92">SUM(CT11:CW11)</f>
        <v>-6.5299999999999997E-2</v>
      </c>
      <c r="CY11" s="211">
        <f t="shared" si="56"/>
        <v>-0.01</v>
      </c>
      <c r="CZ11" s="125">
        <f t="shared" si="57"/>
        <v>1.1526642356759944</v>
      </c>
      <c r="DA11" s="211">
        <f t="shared" si="83"/>
        <v>-5.3999999999999994E-3</v>
      </c>
      <c r="DB11" s="211">
        <f t="shared" si="84"/>
        <v>-3.4799999999999998E-2</v>
      </c>
      <c r="DC11" s="125">
        <f t="shared" si="85"/>
        <v>1.1124642356759944</v>
      </c>
      <c r="DD11" s="211">
        <f t="shared" si="86"/>
        <v>-9.6100000000000005E-2</v>
      </c>
      <c r="DE11" s="125">
        <f t="shared" si="87"/>
        <v>1.0163642356759943</v>
      </c>
      <c r="DF11" s="375">
        <f t="shared" si="58"/>
        <v>-0.44</v>
      </c>
      <c r="DG11" s="23"/>
      <c r="DH11" s="83">
        <v>0</v>
      </c>
    </row>
    <row r="12" spans="2:112" s="1" customFormat="1" ht="12.5">
      <c r="B12" s="137">
        <v>122</v>
      </c>
      <c r="C12" s="79" t="str">
        <f>INDEX(ActT,5,ActLangID)&amp;" 10/5/5 (+3/-3)"</f>
        <v>WK 10/5/5 (+3/-3)</v>
      </c>
      <c r="D12" s="426">
        <v>5.01</v>
      </c>
      <c r="E12" s="166">
        <f t="shared" si="10"/>
        <v>5.01</v>
      </c>
      <c r="F12" s="46">
        <f t="shared" si="11"/>
        <v>4.899</v>
      </c>
      <c r="G12" s="81">
        <v>2.6221274377410566</v>
      </c>
      <c r="H12" s="81">
        <v>0</v>
      </c>
      <c r="I12" s="81">
        <v>0</v>
      </c>
      <c r="J12" s="287">
        <v>-1.19</v>
      </c>
      <c r="K12" s="125">
        <f t="shared" si="61"/>
        <v>1.0868725622589435</v>
      </c>
      <c r="L12" s="192">
        <v>-0.98087639785948921</v>
      </c>
      <c r="M12" s="125">
        <f t="shared" si="12"/>
        <v>0.10599616439945425</v>
      </c>
      <c r="N12" s="40">
        <v>-4.0972999999999999E-3</v>
      </c>
      <c r="O12" s="40">
        <v>-0.11646440000000001</v>
      </c>
      <c r="P12" s="40">
        <v>-0.16205510000000001</v>
      </c>
      <c r="Q12" s="40">
        <v>1.8599999999999998E-2</v>
      </c>
      <c r="R12" s="82">
        <f t="shared" si="88"/>
        <v>-0.2640168</v>
      </c>
      <c r="S12" s="125">
        <f t="shared" si="13"/>
        <v>-0.15802063560054574</v>
      </c>
      <c r="T12" s="40">
        <v>0.03</v>
      </c>
      <c r="U12" s="40">
        <v>-5.6400000000000006E-2</v>
      </c>
      <c r="V12" s="40">
        <v>-2.3E-2</v>
      </c>
      <c r="W12" s="358" t="s">
        <v>393</v>
      </c>
      <c r="X12" s="358" t="s">
        <v>393</v>
      </c>
      <c r="Y12" s="211">
        <f t="shared" si="89"/>
        <v>-7.9399999999999998E-2</v>
      </c>
      <c r="Z12" s="40">
        <v>-0.01</v>
      </c>
      <c r="AA12" s="125">
        <f t="shared" si="14"/>
        <v>-0.21742063560054575</v>
      </c>
      <c r="AB12" s="442">
        <v>-1.17E-2</v>
      </c>
      <c r="AC12" s="442">
        <v>-6.0700000000000004E-2</v>
      </c>
      <c r="AD12" s="125">
        <f t="shared" si="66"/>
        <v>-0.28982063560054572</v>
      </c>
      <c r="AE12" s="442">
        <v>-0.1676</v>
      </c>
      <c r="AF12" s="125">
        <f t="shared" si="67"/>
        <v>-0.45742063560054569</v>
      </c>
      <c r="AG12" s="320">
        <v>-0.44</v>
      </c>
      <c r="AH12" s="23"/>
      <c r="AI12" s="83">
        <v>2.5120424433736658E-3</v>
      </c>
      <c r="AJ12" s="23"/>
      <c r="AK12" s="84">
        <v>255</v>
      </c>
      <c r="AL12" s="85">
        <v>160000</v>
      </c>
      <c r="AN12" s="83">
        <v>1.7889478243684523E-3</v>
      </c>
      <c r="AO12"/>
      <c r="AP12" s="229">
        <f t="shared" si="15"/>
        <v>122</v>
      </c>
      <c r="AQ12" s="230" t="str">
        <f t="shared" si="8"/>
        <v>WK 10/5/5 (+3/-3)</v>
      </c>
      <c r="AR12" s="372">
        <f t="shared" si="16"/>
        <v>5.01</v>
      </c>
      <c r="AS12" s="231">
        <f t="shared" si="17"/>
        <v>5.01</v>
      </c>
      <c r="AT12" s="232">
        <f t="shared" si="18"/>
        <v>4.899</v>
      </c>
      <c r="AU12" s="373">
        <f t="shared" si="19"/>
        <v>2.6221274377410566</v>
      </c>
      <c r="AV12" s="382">
        <v>1.5500400000000001E-2</v>
      </c>
      <c r="AW12" s="382">
        <v>2.8382000000000001E-2</v>
      </c>
      <c r="AX12" s="374">
        <f t="shared" si="20"/>
        <v>-1.19</v>
      </c>
      <c r="AY12" s="208">
        <f t="shared" si="68"/>
        <v>1.0997541622589435</v>
      </c>
      <c r="AZ12" s="232">
        <f t="shared" si="21"/>
        <v>-0.98087639785948921</v>
      </c>
      <c r="BA12" s="208">
        <f t="shared" si="69"/>
        <v>0.1188777643994543</v>
      </c>
      <c r="BB12" s="211">
        <f t="shared" si="23"/>
        <v>-4.0972999999999999E-3</v>
      </c>
      <c r="BC12" s="211">
        <f t="shared" si="24"/>
        <v>-0.11646440000000001</v>
      </c>
      <c r="BD12" s="211">
        <f t="shared" si="25"/>
        <v>-0.16205510000000001</v>
      </c>
      <c r="BE12" s="211">
        <f t="shared" si="26"/>
        <v>1.8599999999999998E-2</v>
      </c>
      <c r="BF12" s="211">
        <f t="shared" si="70"/>
        <v>-0.2640168</v>
      </c>
      <c r="BG12" s="208">
        <f t="shared" si="71"/>
        <v>-0.1451390356005457</v>
      </c>
      <c r="BH12" s="211">
        <f t="shared" si="28"/>
        <v>0.03</v>
      </c>
      <c r="BI12" s="211">
        <f t="shared" si="29"/>
        <v>-5.6400000000000006E-2</v>
      </c>
      <c r="BJ12" s="211">
        <f t="shared" si="30"/>
        <v>-2.3E-2</v>
      </c>
      <c r="BK12" s="211" t="str">
        <f t="shared" si="31"/>
        <v>-</v>
      </c>
      <c r="BL12" s="211" t="str">
        <f t="shared" si="32"/>
        <v>-</v>
      </c>
      <c r="BM12" s="211">
        <f t="shared" si="72"/>
        <v>-7.9399999999999998E-2</v>
      </c>
      <c r="BN12" s="211">
        <f t="shared" si="33"/>
        <v>-0.01</v>
      </c>
      <c r="BO12" s="208">
        <f t="shared" si="73"/>
        <v>-0.2045390356005457</v>
      </c>
      <c r="BP12" s="211">
        <f t="shared" si="74"/>
        <v>-1.17E-2</v>
      </c>
      <c r="BQ12" s="211">
        <f t="shared" si="75"/>
        <v>-6.0700000000000004E-2</v>
      </c>
      <c r="BR12" s="125">
        <f t="shared" si="76"/>
        <v>-0.27693903560054567</v>
      </c>
      <c r="BS12" s="211">
        <f t="shared" si="77"/>
        <v>-0.1676</v>
      </c>
      <c r="BT12" s="125">
        <f t="shared" si="78"/>
        <v>-0.44453903560054564</v>
      </c>
      <c r="BU12" s="375">
        <f t="shared" si="35"/>
        <v>-0.44</v>
      </c>
      <c r="BV12" s="23"/>
      <c r="BW12" s="83">
        <v>3.0897668651079117E-4</v>
      </c>
      <c r="BX12" s="23"/>
      <c r="BY12" s="83">
        <v>0.04</v>
      </c>
      <c r="CA12" s="137">
        <f t="shared" si="36"/>
        <v>122</v>
      </c>
      <c r="CB12" s="79" t="str">
        <f t="shared" si="9"/>
        <v>WK 10/5/5 (+3/-3)</v>
      </c>
      <c r="CC12" s="372">
        <f t="shared" si="37"/>
        <v>5.01</v>
      </c>
      <c r="CD12" s="231">
        <f t="shared" si="38"/>
        <v>5.01</v>
      </c>
      <c r="CE12" s="232">
        <f t="shared" si="39"/>
        <v>4.899</v>
      </c>
      <c r="CF12" s="373">
        <f t="shared" si="40"/>
        <v>2.6221274377410566</v>
      </c>
      <c r="CG12" s="373">
        <f t="shared" si="41"/>
        <v>6.2001600000000003E-4</v>
      </c>
      <c r="CH12" s="373">
        <f t="shared" si="42"/>
        <v>1.13528E-3</v>
      </c>
      <c r="CI12" s="374">
        <f t="shared" si="43"/>
        <v>-1.19</v>
      </c>
      <c r="CJ12" s="125">
        <f t="shared" si="79"/>
        <v>1.0873878262589436</v>
      </c>
      <c r="CK12" s="232">
        <f t="shared" si="44"/>
        <v>-0.98087639785948921</v>
      </c>
      <c r="CL12" s="125">
        <f t="shared" si="90"/>
        <v>0.10651142839945438</v>
      </c>
      <c r="CM12" s="211">
        <f t="shared" si="46"/>
        <v>-4.0972999999999999E-3</v>
      </c>
      <c r="CN12" s="211">
        <f t="shared" si="47"/>
        <v>-0.11646440000000001</v>
      </c>
      <c r="CO12" s="211">
        <f t="shared" si="48"/>
        <v>-0.16205510000000001</v>
      </c>
      <c r="CP12" s="211">
        <f t="shared" si="49"/>
        <v>1.8599999999999998E-2</v>
      </c>
      <c r="CQ12" s="82">
        <f t="shared" si="91"/>
        <v>-0.2640168</v>
      </c>
      <c r="CR12" s="125">
        <f t="shared" si="50"/>
        <v>-0.15750537160054562</v>
      </c>
      <c r="CS12" s="211">
        <f t="shared" si="51"/>
        <v>0.03</v>
      </c>
      <c r="CT12" s="211">
        <f t="shared" si="52"/>
        <v>-5.6400000000000006E-2</v>
      </c>
      <c r="CU12" s="211">
        <f t="shared" si="53"/>
        <v>-2.3E-2</v>
      </c>
      <c r="CV12" s="211" t="str">
        <f t="shared" si="54"/>
        <v>-</v>
      </c>
      <c r="CW12" s="211" t="str">
        <f t="shared" si="55"/>
        <v>-</v>
      </c>
      <c r="CX12" s="211">
        <f t="shared" si="92"/>
        <v>-7.9399999999999998E-2</v>
      </c>
      <c r="CY12" s="211">
        <f t="shared" si="56"/>
        <v>-0.01</v>
      </c>
      <c r="CZ12" s="125">
        <f t="shared" si="57"/>
        <v>-0.21690537160054563</v>
      </c>
      <c r="DA12" s="211">
        <f t="shared" si="83"/>
        <v>-1.17E-2</v>
      </c>
      <c r="DB12" s="211">
        <f t="shared" si="84"/>
        <v>-6.0700000000000004E-2</v>
      </c>
      <c r="DC12" s="125">
        <f t="shared" si="85"/>
        <v>-0.28930537160054559</v>
      </c>
      <c r="DD12" s="211">
        <f t="shared" si="86"/>
        <v>-0.1676</v>
      </c>
      <c r="DE12" s="125">
        <f t="shared" si="87"/>
        <v>-0.45690537160054556</v>
      </c>
      <c r="DF12" s="375">
        <f t="shared" si="58"/>
        <v>-0.44</v>
      </c>
      <c r="DG12" s="23"/>
      <c r="DH12" s="83">
        <v>1.9545804228812192E-3</v>
      </c>
    </row>
    <row r="13" spans="2:112" s="1" customFormat="1" ht="13">
      <c r="B13" s="137">
        <v>124</v>
      </c>
      <c r="C13" s="79" t="str">
        <f>INDEX(ActT,5,ActLangID)&amp;" 10/5/5 (+3/-3) +25 "&amp;INDEX(ActT,55,ActLangID)</f>
        <v>WK 10/5/5 (+3/-3) +25 jaar</v>
      </c>
      <c r="D13" s="426">
        <v>5.33</v>
      </c>
      <c r="E13" s="166">
        <f t="shared" ref="E13" si="93">D13</f>
        <v>5.33</v>
      </c>
      <c r="F13" s="46">
        <f t="shared" ref="F13" si="94">ROUND((POWER(1+D13/100,1/12)-1)*12*100,3)</f>
        <v>5.2039999999999997</v>
      </c>
      <c r="G13" s="81">
        <v>2.6160666902283674</v>
      </c>
      <c r="H13" s="81">
        <v>0</v>
      </c>
      <c r="I13" s="81">
        <v>0</v>
      </c>
      <c r="J13" s="287">
        <v>0</v>
      </c>
      <c r="K13" s="125">
        <f t="shared" si="61"/>
        <v>2.5879333097716324</v>
      </c>
      <c r="L13" s="192">
        <v>-1.0157547486950411</v>
      </c>
      <c r="M13" s="125">
        <f t="shared" ref="M13" si="95">SUM(K13:L13)</f>
        <v>1.5721785610765913</v>
      </c>
      <c r="N13" s="259">
        <v>-4.0972999999999999E-3</v>
      </c>
      <c r="O13" s="259">
        <v>-0.11646440000000001</v>
      </c>
      <c r="P13" s="259">
        <v>-0.16205510000000001</v>
      </c>
      <c r="Q13" s="259">
        <v>2.5899999999999999E-2</v>
      </c>
      <c r="R13" s="82">
        <f t="shared" ref="R13" si="96">SUM(N13:Q13)</f>
        <v>-0.25671680000000002</v>
      </c>
      <c r="S13" s="125">
        <f t="shared" ref="S13" si="97">M13+R13</f>
        <v>1.3154617610765913</v>
      </c>
      <c r="T13" s="259">
        <v>7.4999999999999997E-3</v>
      </c>
      <c r="U13" s="259">
        <v>-4.1300000000000003E-2</v>
      </c>
      <c r="V13" s="259">
        <v>-1.6799999999999999E-2</v>
      </c>
      <c r="W13" s="358" t="s">
        <v>393</v>
      </c>
      <c r="X13" s="358" t="s">
        <v>393</v>
      </c>
      <c r="Y13" s="211">
        <f t="shared" ref="Y13" si="98">SUM(U13:X13)</f>
        <v>-5.8099999999999999E-2</v>
      </c>
      <c r="Z13" s="259">
        <v>-0.01</v>
      </c>
      <c r="AA13" s="125">
        <f t="shared" si="14"/>
        <v>1.2548617610765913</v>
      </c>
      <c r="AB13" s="442">
        <v>-2.8999999999999998E-3</v>
      </c>
      <c r="AC13" s="442">
        <v>-2.18E-2</v>
      </c>
      <c r="AD13" s="125">
        <f t="shared" si="66"/>
        <v>1.2301617610765914</v>
      </c>
      <c r="AE13" s="442">
        <v>-6.0100000000000001E-2</v>
      </c>
      <c r="AF13" s="125">
        <f t="shared" si="67"/>
        <v>1.1700617610765913</v>
      </c>
      <c r="AG13" s="320">
        <v>-0.44</v>
      </c>
      <c r="AH13" s="23"/>
      <c r="AI13" s="83">
        <v>0</v>
      </c>
      <c r="AJ13" s="23"/>
      <c r="AK13" s="332">
        <v>336</v>
      </c>
      <c r="AL13" s="454">
        <v>470000</v>
      </c>
      <c r="AN13" s="83">
        <v>0</v>
      </c>
      <c r="AO13"/>
      <c r="AP13" s="229">
        <f t="shared" si="15"/>
        <v>124</v>
      </c>
      <c r="AQ13" s="230" t="str">
        <f t="shared" si="8"/>
        <v>WK 10/5/5 (+3/-3) +25 jaar</v>
      </c>
      <c r="AR13" s="372">
        <f t="shared" si="16"/>
        <v>5.33</v>
      </c>
      <c r="AS13" s="231">
        <f t="shared" si="17"/>
        <v>5.33</v>
      </c>
      <c r="AT13" s="232">
        <f t="shared" si="18"/>
        <v>5.2039999999999997</v>
      </c>
      <c r="AU13" s="373">
        <f t="shared" si="19"/>
        <v>2.6160666902283674</v>
      </c>
      <c r="AV13" s="382">
        <v>1.5500400000000001E-2</v>
      </c>
      <c r="AW13" s="382">
        <v>2.8382000000000001E-2</v>
      </c>
      <c r="AX13" s="374">
        <f t="shared" si="20"/>
        <v>0</v>
      </c>
      <c r="AY13" s="208">
        <f>AT13-AU13-AV13+AW13+AX13</f>
        <v>2.6008149097716324</v>
      </c>
      <c r="AZ13" s="232">
        <f t="shared" si="21"/>
        <v>-1.0157547486950411</v>
      </c>
      <c r="BA13" s="208">
        <f t="shared" si="69"/>
        <v>1.5850601610765913</v>
      </c>
      <c r="BB13" s="211">
        <f t="shared" si="23"/>
        <v>-4.0972999999999999E-3</v>
      </c>
      <c r="BC13" s="211">
        <f t="shared" si="24"/>
        <v>-0.11646440000000001</v>
      </c>
      <c r="BD13" s="211">
        <f t="shared" si="25"/>
        <v>-0.16205510000000001</v>
      </c>
      <c r="BE13" s="211">
        <f t="shared" si="26"/>
        <v>2.5899999999999999E-2</v>
      </c>
      <c r="BF13" s="211">
        <f t="shared" si="70"/>
        <v>-0.25671680000000002</v>
      </c>
      <c r="BG13" s="208">
        <f t="shared" si="71"/>
        <v>1.3283433610765913</v>
      </c>
      <c r="BH13" s="211">
        <f t="shared" si="28"/>
        <v>7.4999999999999997E-3</v>
      </c>
      <c r="BI13" s="211">
        <f t="shared" si="29"/>
        <v>-4.1300000000000003E-2</v>
      </c>
      <c r="BJ13" s="211">
        <f t="shared" si="30"/>
        <v>-1.6799999999999999E-2</v>
      </c>
      <c r="BK13" s="211" t="str">
        <f t="shared" si="31"/>
        <v>-</v>
      </c>
      <c r="BL13" s="211" t="str">
        <f t="shared" si="32"/>
        <v>-</v>
      </c>
      <c r="BM13" s="211">
        <f t="shared" si="72"/>
        <v>-5.8099999999999999E-2</v>
      </c>
      <c r="BN13" s="211">
        <f t="shared" si="33"/>
        <v>-0.01</v>
      </c>
      <c r="BO13" s="208">
        <f t="shared" si="73"/>
        <v>1.2677433610765914</v>
      </c>
      <c r="BP13" s="211">
        <f t="shared" si="74"/>
        <v>-2.8999999999999998E-3</v>
      </c>
      <c r="BQ13" s="211">
        <f t="shared" si="75"/>
        <v>-2.18E-2</v>
      </c>
      <c r="BR13" s="125">
        <f t="shared" si="76"/>
        <v>1.2430433610765914</v>
      </c>
      <c r="BS13" s="211">
        <f t="shared" si="77"/>
        <v>-6.0100000000000001E-2</v>
      </c>
      <c r="BT13" s="125">
        <f t="shared" si="78"/>
        <v>1.1829433610765914</v>
      </c>
      <c r="BU13" s="375">
        <f t="shared" si="35"/>
        <v>-0.44</v>
      </c>
      <c r="BV13" s="23"/>
      <c r="BW13" s="83">
        <v>0</v>
      </c>
      <c r="BX13" s="23"/>
      <c r="BY13" s="83">
        <v>0</v>
      </c>
      <c r="CA13" s="137">
        <f t="shared" si="36"/>
        <v>124</v>
      </c>
      <c r="CB13" s="79" t="str">
        <f t="shared" si="9"/>
        <v>WK 10/5/5 (+3/-3) +25 jaar</v>
      </c>
      <c r="CC13" s="372">
        <f t="shared" si="37"/>
        <v>5.33</v>
      </c>
      <c r="CD13" s="231">
        <f t="shared" si="38"/>
        <v>5.33</v>
      </c>
      <c r="CE13" s="232">
        <f t="shared" si="39"/>
        <v>5.2039999999999997</v>
      </c>
      <c r="CF13" s="373">
        <f t="shared" si="40"/>
        <v>2.6160666902283674</v>
      </c>
      <c r="CG13" s="373">
        <f t="shared" si="41"/>
        <v>0</v>
      </c>
      <c r="CH13" s="373">
        <f t="shared" si="42"/>
        <v>0</v>
      </c>
      <c r="CI13" s="374">
        <f t="shared" si="43"/>
        <v>0</v>
      </c>
      <c r="CJ13" s="125">
        <f t="shared" si="79"/>
        <v>2.5879333097716324</v>
      </c>
      <c r="CK13" s="232">
        <f t="shared" si="44"/>
        <v>-1.0157547486950411</v>
      </c>
      <c r="CL13" s="125">
        <f t="shared" ref="CL13" si="99">SUM(CJ13:CK13)</f>
        <v>1.5721785610765913</v>
      </c>
      <c r="CM13" s="211">
        <f t="shared" si="46"/>
        <v>-4.0972999999999999E-3</v>
      </c>
      <c r="CN13" s="211">
        <f t="shared" si="47"/>
        <v>-0.11646440000000001</v>
      </c>
      <c r="CO13" s="211">
        <f t="shared" si="48"/>
        <v>-0.16205510000000001</v>
      </c>
      <c r="CP13" s="211">
        <f t="shared" si="49"/>
        <v>2.5899999999999999E-2</v>
      </c>
      <c r="CQ13" s="82">
        <f t="shared" ref="CQ13" si="100">SUM(CM13:CP13)</f>
        <v>-0.25671680000000002</v>
      </c>
      <c r="CR13" s="125">
        <f t="shared" si="50"/>
        <v>1.3154617610765913</v>
      </c>
      <c r="CS13" s="211">
        <f t="shared" si="51"/>
        <v>7.4999999999999997E-3</v>
      </c>
      <c r="CT13" s="211">
        <f t="shared" si="52"/>
        <v>-4.1300000000000003E-2</v>
      </c>
      <c r="CU13" s="211">
        <f t="shared" si="53"/>
        <v>-1.6799999999999999E-2</v>
      </c>
      <c r="CV13" s="211" t="str">
        <f t="shared" si="54"/>
        <v>-</v>
      </c>
      <c r="CW13" s="211" t="str">
        <f t="shared" si="55"/>
        <v>-</v>
      </c>
      <c r="CX13" s="211">
        <f t="shared" ref="CX13" si="101">SUM(CT13:CW13)</f>
        <v>-5.8099999999999999E-2</v>
      </c>
      <c r="CY13" s="211">
        <f t="shared" si="56"/>
        <v>-0.01</v>
      </c>
      <c r="CZ13" s="125">
        <f t="shared" si="57"/>
        <v>1.2548617610765913</v>
      </c>
      <c r="DA13" s="211">
        <f t="shared" si="83"/>
        <v>-2.8999999999999998E-3</v>
      </c>
      <c r="DB13" s="211">
        <f t="shared" si="84"/>
        <v>-2.18E-2</v>
      </c>
      <c r="DC13" s="125">
        <f t="shared" si="85"/>
        <v>1.2301617610765914</v>
      </c>
      <c r="DD13" s="211">
        <f t="shared" si="86"/>
        <v>-6.0100000000000001E-2</v>
      </c>
      <c r="DE13" s="125">
        <f t="shared" si="87"/>
        <v>1.1700617610765913</v>
      </c>
      <c r="DF13" s="375">
        <f t="shared" si="58"/>
        <v>-0.44</v>
      </c>
      <c r="DG13" s="23"/>
      <c r="DH13" s="83">
        <v>0</v>
      </c>
    </row>
    <row r="14" spans="2:112" s="1" customFormat="1" ht="12.5">
      <c r="B14" s="137">
        <v>132</v>
      </c>
      <c r="C14" s="79" t="str">
        <f>INDEX(ActT,5,ActLangID)&amp;" 20/5/5 (+3/-3)"</f>
        <v>WK 20/5/5 (+3/-3)</v>
      </c>
      <c r="D14" s="426">
        <v>5.08</v>
      </c>
      <c r="E14" s="166">
        <f t="shared" si="10"/>
        <v>5.08</v>
      </c>
      <c r="F14" s="47">
        <f t="shared" si="11"/>
        <v>4.9649999999999999</v>
      </c>
      <c r="G14" s="81">
        <v>2.6547941665643999</v>
      </c>
      <c r="H14" s="81">
        <v>0</v>
      </c>
      <c r="I14" s="81">
        <v>0</v>
      </c>
      <c r="J14" s="287">
        <v>0</v>
      </c>
      <c r="K14" s="125">
        <f t="shared" si="61"/>
        <v>2.3102058334355999</v>
      </c>
      <c r="L14" s="193">
        <v>-0.96715415081063538</v>
      </c>
      <c r="M14" s="125">
        <f t="shared" si="12"/>
        <v>1.3430516826249645</v>
      </c>
      <c r="N14" s="40">
        <v>-2.1077600000000002E-2</v>
      </c>
      <c r="O14" s="40">
        <v>-1.49347E-2</v>
      </c>
      <c r="P14" s="40">
        <v>-0.30254420000000004</v>
      </c>
      <c r="Q14" s="40">
        <v>2.46E-2</v>
      </c>
      <c r="R14" s="82">
        <f t="shared" si="88"/>
        <v>-0.31395650000000003</v>
      </c>
      <c r="S14" s="125">
        <f t="shared" si="13"/>
        <v>1.0290951826249646</v>
      </c>
      <c r="T14" s="40">
        <v>2.3800000000000002E-2</v>
      </c>
      <c r="U14" s="40">
        <v>-4.8399999999999999E-2</v>
      </c>
      <c r="V14" s="40">
        <v>-1.9699999999999999E-2</v>
      </c>
      <c r="W14" s="358" t="s">
        <v>393</v>
      </c>
      <c r="X14" s="358" t="s">
        <v>393</v>
      </c>
      <c r="Y14" s="211">
        <f t="shared" si="89"/>
        <v>-6.8099999999999994E-2</v>
      </c>
      <c r="Z14" s="40">
        <v>-0.01</v>
      </c>
      <c r="AA14" s="125">
        <f t="shared" si="14"/>
        <v>0.97479518262496456</v>
      </c>
      <c r="AB14" s="442">
        <v>-9.2999999999999992E-3</v>
      </c>
      <c r="AC14" s="442">
        <v>-5.6400000000000006E-2</v>
      </c>
      <c r="AD14" s="125">
        <f t="shared" si="66"/>
        <v>0.90909518262496458</v>
      </c>
      <c r="AE14" s="442">
        <v>-0.15590000000000001</v>
      </c>
      <c r="AF14" s="125">
        <f t="shared" si="67"/>
        <v>0.75319518262496454</v>
      </c>
      <c r="AG14" s="320">
        <v>-0.44</v>
      </c>
      <c r="AH14" s="23"/>
      <c r="AI14" s="83">
        <v>0</v>
      </c>
      <c r="AJ14" s="23"/>
      <c r="AK14" s="84">
        <v>288</v>
      </c>
      <c r="AL14" s="85">
        <v>172700</v>
      </c>
      <c r="AN14" s="83">
        <v>0</v>
      </c>
      <c r="AO14"/>
      <c r="AP14" s="229">
        <f t="shared" si="15"/>
        <v>132</v>
      </c>
      <c r="AQ14" s="230" t="str">
        <f t="shared" si="8"/>
        <v>WK 20/5/5 (+3/-3)</v>
      </c>
      <c r="AR14" s="372">
        <f t="shared" si="16"/>
        <v>5.08</v>
      </c>
      <c r="AS14" s="231">
        <f t="shared" si="17"/>
        <v>5.08</v>
      </c>
      <c r="AT14" s="234">
        <f t="shared" si="18"/>
        <v>4.9649999999999999</v>
      </c>
      <c r="AU14" s="373">
        <f t="shared" si="19"/>
        <v>2.6547941665643999</v>
      </c>
      <c r="AV14" s="382">
        <v>4.5124600000000001E-2</v>
      </c>
      <c r="AW14" s="382">
        <v>2.8382000000000001E-2</v>
      </c>
      <c r="AX14" s="374">
        <f t="shared" si="20"/>
        <v>0</v>
      </c>
      <c r="AY14" s="208">
        <f t="shared" si="68"/>
        <v>2.2934632334356002</v>
      </c>
      <c r="AZ14" s="234">
        <f t="shared" si="21"/>
        <v>-0.96715415081063538</v>
      </c>
      <c r="BA14" s="208">
        <f t="shared" si="69"/>
        <v>1.3263090826249648</v>
      </c>
      <c r="BB14" s="211">
        <f t="shared" si="23"/>
        <v>-2.1077600000000002E-2</v>
      </c>
      <c r="BC14" s="211">
        <f t="shared" si="24"/>
        <v>-1.49347E-2</v>
      </c>
      <c r="BD14" s="211">
        <f t="shared" si="25"/>
        <v>-0.30254420000000004</v>
      </c>
      <c r="BE14" s="211">
        <f t="shared" si="26"/>
        <v>2.46E-2</v>
      </c>
      <c r="BF14" s="211">
        <f t="shared" si="70"/>
        <v>-0.31395650000000003</v>
      </c>
      <c r="BG14" s="208">
        <f t="shared" si="71"/>
        <v>1.0123525826249649</v>
      </c>
      <c r="BH14" s="211">
        <f t="shared" si="28"/>
        <v>2.3800000000000002E-2</v>
      </c>
      <c r="BI14" s="211">
        <f t="shared" si="29"/>
        <v>-4.8399999999999999E-2</v>
      </c>
      <c r="BJ14" s="211">
        <f t="shared" si="30"/>
        <v>-1.9699999999999999E-2</v>
      </c>
      <c r="BK14" s="211" t="str">
        <f t="shared" si="31"/>
        <v>-</v>
      </c>
      <c r="BL14" s="211" t="str">
        <f t="shared" si="32"/>
        <v>-</v>
      </c>
      <c r="BM14" s="211">
        <f t="shared" si="72"/>
        <v>-6.8099999999999994E-2</v>
      </c>
      <c r="BN14" s="211">
        <f t="shared" si="33"/>
        <v>-0.01</v>
      </c>
      <c r="BO14" s="208">
        <f t="shared" si="73"/>
        <v>0.95805258262496484</v>
      </c>
      <c r="BP14" s="211">
        <f t="shared" si="74"/>
        <v>-9.2999999999999992E-3</v>
      </c>
      <c r="BQ14" s="211">
        <f t="shared" si="75"/>
        <v>-5.6400000000000006E-2</v>
      </c>
      <c r="BR14" s="125">
        <f t="shared" si="76"/>
        <v>0.89235258262496486</v>
      </c>
      <c r="BS14" s="211">
        <f t="shared" si="77"/>
        <v>-0.15590000000000001</v>
      </c>
      <c r="BT14" s="125">
        <f t="shared" si="78"/>
        <v>0.73645258262496482</v>
      </c>
      <c r="BU14" s="375">
        <f t="shared" si="35"/>
        <v>-0.44</v>
      </c>
      <c r="BV14" s="23"/>
      <c r="BW14" s="83">
        <v>0</v>
      </c>
      <c r="BX14" s="23"/>
      <c r="BY14" s="83">
        <v>0</v>
      </c>
      <c r="CA14" s="137">
        <f t="shared" si="36"/>
        <v>132</v>
      </c>
      <c r="CB14" s="79" t="str">
        <f t="shared" si="9"/>
        <v>WK 20/5/5 (+3/-3)</v>
      </c>
      <c r="CC14" s="372">
        <f t="shared" si="37"/>
        <v>5.08</v>
      </c>
      <c r="CD14" s="231">
        <f t="shared" si="38"/>
        <v>5.08</v>
      </c>
      <c r="CE14" s="234">
        <f t="shared" si="39"/>
        <v>4.9649999999999999</v>
      </c>
      <c r="CF14" s="373">
        <f t="shared" si="40"/>
        <v>2.6547941665643999</v>
      </c>
      <c r="CG14" s="373">
        <f t="shared" si="41"/>
        <v>0</v>
      </c>
      <c r="CH14" s="373">
        <f t="shared" si="42"/>
        <v>0</v>
      </c>
      <c r="CI14" s="374">
        <f t="shared" si="43"/>
        <v>0</v>
      </c>
      <c r="CJ14" s="125">
        <f t="shared" si="79"/>
        <v>2.3102058334355999</v>
      </c>
      <c r="CK14" s="234">
        <f t="shared" si="44"/>
        <v>-0.96715415081063538</v>
      </c>
      <c r="CL14" s="125">
        <f t="shared" ref="CL14" si="102">SUM(CJ14:CK14)</f>
        <v>1.3430516826249645</v>
      </c>
      <c r="CM14" s="211">
        <f t="shared" si="46"/>
        <v>-2.1077600000000002E-2</v>
      </c>
      <c r="CN14" s="211">
        <f t="shared" si="47"/>
        <v>-1.49347E-2</v>
      </c>
      <c r="CO14" s="211">
        <f t="shared" si="48"/>
        <v>-0.30254420000000004</v>
      </c>
      <c r="CP14" s="211">
        <f t="shared" si="49"/>
        <v>2.46E-2</v>
      </c>
      <c r="CQ14" s="82">
        <f t="shared" ref="CQ14" si="103">SUM(CM14:CP14)</f>
        <v>-0.31395650000000003</v>
      </c>
      <c r="CR14" s="125">
        <f t="shared" si="50"/>
        <v>1.0290951826249646</v>
      </c>
      <c r="CS14" s="211">
        <f t="shared" si="51"/>
        <v>2.3800000000000002E-2</v>
      </c>
      <c r="CT14" s="211">
        <f t="shared" si="52"/>
        <v>-4.8399999999999999E-2</v>
      </c>
      <c r="CU14" s="211">
        <f t="shared" si="53"/>
        <v>-1.9699999999999999E-2</v>
      </c>
      <c r="CV14" s="211" t="str">
        <f t="shared" si="54"/>
        <v>-</v>
      </c>
      <c r="CW14" s="211" t="str">
        <f t="shared" si="55"/>
        <v>-</v>
      </c>
      <c r="CX14" s="211">
        <f t="shared" ref="CX14" si="104">SUM(CT14:CW14)</f>
        <v>-6.8099999999999994E-2</v>
      </c>
      <c r="CY14" s="211">
        <f t="shared" si="56"/>
        <v>-0.01</v>
      </c>
      <c r="CZ14" s="125">
        <f t="shared" si="57"/>
        <v>0.97479518262496456</v>
      </c>
      <c r="DA14" s="211">
        <f t="shared" si="83"/>
        <v>-9.2999999999999992E-3</v>
      </c>
      <c r="DB14" s="211">
        <f t="shared" si="84"/>
        <v>-5.6400000000000006E-2</v>
      </c>
      <c r="DC14" s="125">
        <f t="shared" si="85"/>
        <v>0.90909518262496458</v>
      </c>
      <c r="DD14" s="211">
        <f t="shared" si="86"/>
        <v>-0.15590000000000001</v>
      </c>
      <c r="DE14" s="125">
        <f t="shared" si="87"/>
        <v>0.75319518262496454</v>
      </c>
      <c r="DF14" s="375">
        <f t="shared" si="58"/>
        <v>-0.44</v>
      </c>
      <c r="DG14" s="23"/>
      <c r="DH14" s="83">
        <v>0</v>
      </c>
    </row>
    <row r="15" spans="2:112" s="1" customFormat="1" ht="12.5">
      <c r="B15" s="137">
        <v>134</v>
      </c>
      <c r="C15" s="79" t="str">
        <f>INDEX(ActT,5,ActLangID)&amp;" 20/5/5 (+3/-3) +25 "&amp;INDEX(ActT,55,ActLangID)</f>
        <v>WK 20/5/5 (+3/-3) +25 jaar</v>
      </c>
      <c r="D15" s="426">
        <v>5.43</v>
      </c>
      <c r="E15" s="166">
        <f t="shared" ref="E15" si="105">D15</f>
        <v>5.43</v>
      </c>
      <c r="F15" s="47">
        <f t="shared" ref="F15" si="106">ROUND((POWER(1+D15/100,1/12)-1)*12*100,3)</f>
        <v>5.2990000000000004</v>
      </c>
      <c r="G15" s="81">
        <v>2.6528030122132185</v>
      </c>
      <c r="H15" s="81">
        <v>0</v>
      </c>
      <c r="I15" s="81">
        <v>0</v>
      </c>
      <c r="J15" s="287">
        <v>-1.56</v>
      </c>
      <c r="K15" s="125">
        <f t="shared" si="61"/>
        <v>1.0861969877867819</v>
      </c>
      <c r="L15" s="193">
        <v>-0.9784450883233351</v>
      </c>
      <c r="M15" s="125">
        <f t="shared" ref="M15" si="107">SUM(K15:L15)</f>
        <v>0.10775189946344677</v>
      </c>
      <c r="N15" s="259">
        <v>-2.1077600000000002E-2</v>
      </c>
      <c r="O15" s="259">
        <v>-1.49347E-2</v>
      </c>
      <c r="P15" s="259">
        <v>-0.30254420000000004</v>
      </c>
      <c r="Q15" s="259">
        <v>1.84E-2</v>
      </c>
      <c r="R15" s="82">
        <f t="shared" ref="R15" si="108">SUM(N15:Q15)</f>
        <v>-0.32015650000000007</v>
      </c>
      <c r="S15" s="125">
        <f t="shared" ref="S15" si="109">M15+R15</f>
        <v>-0.2124046005365533</v>
      </c>
      <c r="T15" s="259">
        <v>1.2E-2</v>
      </c>
      <c r="U15" s="259">
        <v>-4.0800000000000003E-2</v>
      </c>
      <c r="V15" s="259">
        <v>-1.66E-2</v>
      </c>
      <c r="W15" s="358" t="s">
        <v>393</v>
      </c>
      <c r="X15" s="358" t="s">
        <v>393</v>
      </c>
      <c r="Y15" s="211">
        <f t="shared" ref="Y15" si="110">SUM(U15:X15)</f>
        <v>-5.7400000000000007E-2</v>
      </c>
      <c r="Z15" s="259">
        <v>-0.01</v>
      </c>
      <c r="AA15" s="125">
        <f t="shared" si="14"/>
        <v>-0.26780460053655331</v>
      </c>
      <c r="AB15" s="442">
        <v>-4.6999999999999993E-3</v>
      </c>
      <c r="AC15" s="442">
        <v>-3.8400000000000004E-2</v>
      </c>
      <c r="AD15" s="125">
        <f t="shared" si="66"/>
        <v>-0.31090460053655328</v>
      </c>
      <c r="AE15" s="442">
        <v>-0.106</v>
      </c>
      <c r="AF15" s="125">
        <f t="shared" si="67"/>
        <v>-0.41690460053655326</v>
      </c>
      <c r="AG15" s="320">
        <v>-0.44</v>
      </c>
      <c r="AH15" s="23"/>
      <c r="AI15" s="83">
        <v>3.202854115301424E-3</v>
      </c>
      <c r="AJ15" s="23"/>
      <c r="AK15" s="84">
        <v>359</v>
      </c>
      <c r="AL15" s="85">
        <v>287800</v>
      </c>
      <c r="AN15" s="83">
        <v>2.1896721370269854E-3</v>
      </c>
      <c r="AO15"/>
      <c r="AP15" s="229">
        <f t="shared" si="15"/>
        <v>134</v>
      </c>
      <c r="AQ15" s="230" t="str">
        <f t="shared" si="8"/>
        <v>WK 20/5/5 (+3/-3) +25 jaar</v>
      </c>
      <c r="AR15" s="372">
        <f t="shared" si="16"/>
        <v>5.43</v>
      </c>
      <c r="AS15" s="231">
        <f t="shared" si="17"/>
        <v>5.43</v>
      </c>
      <c r="AT15" s="234">
        <f t="shared" si="18"/>
        <v>5.2990000000000004</v>
      </c>
      <c r="AU15" s="373">
        <f t="shared" si="19"/>
        <v>2.6528030122132185</v>
      </c>
      <c r="AV15" s="382">
        <v>4.5124600000000001E-2</v>
      </c>
      <c r="AW15" s="382">
        <v>2.8382000000000001E-2</v>
      </c>
      <c r="AX15" s="374">
        <f t="shared" si="20"/>
        <v>-1.56</v>
      </c>
      <c r="AY15" s="208">
        <f t="shared" si="68"/>
        <v>1.0694543877867821</v>
      </c>
      <c r="AZ15" s="234">
        <f t="shared" si="21"/>
        <v>-0.9784450883233351</v>
      </c>
      <c r="BA15" s="208">
        <f t="shared" si="69"/>
        <v>9.1009299463447046E-2</v>
      </c>
      <c r="BB15" s="211">
        <f t="shared" si="23"/>
        <v>-2.1077600000000002E-2</v>
      </c>
      <c r="BC15" s="211">
        <f t="shared" si="24"/>
        <v>-1.49347E-2</v>
      </c>
      <c r="BD15" s="211">
        <f t="shared" si="25"/>
        <v>-0.30254420000000004</v>
      </c>
      <c r="BE15" s="211">
        <f t="shared" si="26"/>
        <v>1.84E-2</v>
      </c>
      <c r="BF15" s="211">
        <f t="shared" si="70"/>
        <v>-0.32015650000000007</v>
      </c>
      <c r="BG15" s="208">
        <f t="shared" si="71"/>
        <v>-0.22914720053655302</v>
      </c>
      <c r="BH15" s="211">
        <f t="shared" si="28"/>
        <v>1.2E-2</v>
      </c>
      <c r="BI15" s="211">
        <f t="shared" si="29"/>
        <v>-4.0800000000000003E-2</v>
      </c>
      <c r="BJ15" s="211">
        <f t="shared" si="30"/>
        <v>-1.66E-2</v>
      </c>
      <c r="BK15" s="211" t="str">
        <f t="shared" si="31"/>
        <v>-</v>
      </c>
      <c r="BL15" s="211" t="str">
        <f t="shared" si="32"/>
        <v>-</v>
      </c>
      <c r="BM15" s="211">
        <f t="shared" si="72"/>
        <v>-5.7400000000000007E-2</v>
      </c>
      <c r="BN15" s="211">
        <f t="shared" si="33"/>
        <v>-0.01</v>
      </c>
      <c r="BO15" s="208">
        <f t="shared" si="73"/>
        <v>-0.28454720053655302</v>
      </c>
      <c r="BP15" s="211">
        <f t="shared" si="74"/>
        <v>-4.6999999999999993E-3</v>
      </c>
      <c r="BQ15" s="211">
        <f t="shared" si="75"/>
        <v>-3.8400000000000004E-2</v>
      </c>
      <c r="BR15" s="125">
        <f t="shared" si="76"/>
        <v>-0.327647200536553</v>
      </c>
      <c r="BS15" s="211">
        <f t="shared" si="77"/>
        <v>-0.106</v>
      </c>
      <c r="BT15" s="125">
        <f t="shared" si="78"/>
        <v>-0.43364720053655298</v>
      </c>
      <c r="BU15" s="375">
        <f t="shared" si="35"/>
        <v>-0.44</v>
      </c>
      <c r="BV15" s="23"/>
      <c r="BW15" s="83">
        <v>0</v>
      </c>
      <c r="BX15" s="23"/>
      <c r="BY15" s="83">
        <v>0</v>
      </c>
      <c r="CA15" s="137">
        <f t="shared" si="36"/>
        <v>134</v>
      </c>
      <c r="CB15" s="79" t="str">
        <f t="shared" si="9"/>
        <v>WK 20/5/5 (+3/-3) +25 jaar</v>
      </c>
      <c r="CC15" s="372">
        <f t="shared" si="37"/>
        <v>5.43</v>
      </c>
      <c r="CD15" s="231">
        <f t="shared" si="38"/>
        <v>5.43</v>
      </c>
      <c r="CE15" s="234">
        <f t="shared" si="39"/>
        <v>5.2990000000000004</v>
      </c>
      <c r="CF15" s="373">
        <f t="shared" si="40"/>
        <v>2.6528030122132185</v>
      </c>
      <c r="CG15" s="373">
        <f t="shared" si="41"/>
        <v>0</v>
      </c>
      <c r="CH15" s="373">
        <f t="shared" si="42"/>
        <v>0</v>
      </c>
      <c r="CI15" s="374">
        <f t="shared" si="43"/>
        <v>-1.56</v>
      </c>
      <c r="CJ15" s="125">
        <f t="shared" si="79"/>
        <v>1.0861969877867819</v>
      </c>
      <c r="CK15" s="234">
        <f t="shared" si="44"/>
        <v>-0.9784450883233351</v>
      </c>
      <c r="CL15" s="125">
        <f t="shared" ref="CL15" si="111">SUM(CJ15:CK15)</f>
        <v>0.10775189946344677</v>
      </c>
      <c r="CM15" s="211">
        <f t="shared" si="46"/>
        <v>-2.1077600000000002E-2</v>
      </c>
      <c r="CN15" s="211">
        <f t="shared" si="47"/>
        <v>-1.49347E-2</v>
      </c>
      <c r="CO15" s="211">
        <f t="shared" si="48"/>
        <v>-0.30254420000000004</v>
      </c>
      <c r="CP15" s="211">
        <f t="shared" si="49"/>
        <v>1.84E-2</v>
      </c>
      <c r="CQ15" s="82">
        <f t="shared" ref="CQ15" si="112">SUM(CM15:CP15)</f>
        <v>-0.32015650000000007</v>
      </c>
      <c r="CR15" s="125">
        <f t="shared" si="50"/>
        <v>-0.2124046005365533</v>
      </c>
      <c r="CS15" s="211">
        <f t="shared" si="51"/>
        <v>1.2E-2</v>
      </c>
      <c r="CT15" s="211">
        <f t="shared" si="52"/>
        <v>-4.0800000000000003E-2</v>
      </c>
      <c r="CU15" s="211">
        <f t="shared" si="53"/>
        <v>-1.66E-2</v>
      </c>
      <c r="CV15" s="211" t="str">
        <f t="shared" si="54"/>
        <v>-</v>
      </c>
      <c r="CW15" s="211" t="str">
        <f t="shared" si="55"/>
        <v>-</v>
      </c>
      <c r="CX15" s="211">
        <f t="shared" ref="CX15" si="113">SUM(CT15:CW15)</f>
        <v>-5.7400000000000007E-2</v>
      </c>
      <c r="CY15" s="211">
        <f t="shared" si="56"/>
        <v>-0.01</v>
      </c>
      <c r="CZ15" s="125">
        <f t="shared" si="57"/>
        <v>-0.26780460053655331</v>
      </c>
      <c r="DA15" s="211">
        <f t="shared" si="83"/>
        <v>-4.6999999999999993E-3</v>
      </c>
      <c r="DB15" s="211">
        <f t="shared" si="84"/>
        <v>-3.8400000000000004E-2</v>
      </c>
      <c r="DC15" s="125">
        <f t="shared" si="85"/>
        <v>-0.31090460053655328</v>
      </c>
      <c r="DD15" s="211">
        <f t="shared" si="86"/>
        <v>-0.106</v>
      </c>
      <c r="DE15" s="125">
        <f t="shared" si="87"/>
        <v>-0.41690460053655326</v>
      </c>
      <c r="DF15" s="375">
        <f t="shared" si="58"/>
        <v>-0.44</v>
      </c>
      <c r="DG15" s="23"/>
      <c r="DH15" s="83">
        <v>2.3924064376066125E-3</v>
      </c>
    </row>
    <row r="16" spans="2:112" s="1" customFormat="1" ht="12.5">
      <c r="B16" s="137">
        <v>142</v>
      </c>
      <c r="C16" s="86" t="str">
        <f>INDEX(ActT,5,ActLangID)&amp;" 10 "&amp;INDEX(ActT,10,ActLangID)</f>
        <v>WK 10 jaar vast</v>
      </c>
      <c r="D16" s="426">
        <v>5.07</v>
      </c>
      <c r="E16" s="166">
        <f t="shared" si="10"/>
        <v>5.07</v>
      </c>
      <c r="F16" s="47">
        <f t="shared" si="11"/>
        <v>4.9560000000000004</v>
      </c>
      <c r="G16" s="81">
        <v>2.672444788590159</v>
      </c>
      <c r="H16" s="81">
        <v>0</v>
      </c>
      <c r="I16" s="81">
        <v>0</v>
      </c>
      <c r="J16" s="287">
        <v>-1.88</v>
      </c>
      <c r="K16" s="125">
        <f t="shared" si="61"/>
        <v>0.40355521140984152</v>
      </c>
      <c r="L16" s="193">
        <v>-0.76031016109561778</v>
      </c>
      <c r="M16" s="125">
        <f t="shared" si="12"/>
        <v>-0.35675494968577626</v>
      </c>
      <c r="N16" s="40">
        <v>-2.1077600000000002E-2</v>
      </c>
      <c r="O16" s="40">
        <v>0</v>
      </c>
      <c r="P16" s="40">
        <v>-0.1098396</v>
      </c>
      <c r="Q16" s="40">
        <v>1.5100000000000001E-2</v>
      </c>
      <c r="R16" s="82">
        <f t="shared" si="88"/>
        <v>-0.11581720000000001</v>
      </c>
      <c r="S16" s="125">
        <f t="shared" si="13"/>
        <v>-0.47257214968577627</v>
      </c>
      <c r="T16" s="40">
        <v>0.1608</v>
      </c>
      <c r="U16" s="40">
        <v>-0.1237</v>
      </c>
      <c r="V16" s="40">
        <v>-5.04E-2</v>
      </c>
      <c r="W16" s="358" t="s">
        <v>393</v>
      </c>
      <c r="X16" s="358" t="s">
        <v>393</v>
      </c>
      <c r="Y16" s="211">
        <f t="shared" si="89"/>
        <v>-0.1741</v>
      </c>
      <c r="Z16" s="40">
        <v>-0.01</v>
      </c>
      <c r="AA16" s="125">
        <f t="shared" si="14"/>
        <v>-0.49587214968577631</v>
      </c>
      <c r="AB16" s="442">
        <v>-6.2899999999999998E-2</v>
      </c>
      <c r="AC16" s="442">
        <v>-0.12719999999999998</v>
      </c>
      <c r="AD16" s="125">
        <f t="shared" si="66"/>
        <v>-0.68597214968577624</v>
      </c>
      <c r="AE16" s="442">
        <v>-0.3513</v>
      </c>
      <c r="AF16" s="125">
        <f t="shared" si="67"/>
        <v>-1.0372721496857762</v>
      </c>
      <c r="AG16" s="320">
        <v>-0.22</v>
      </c>
      <c r="AH16" s="23"/>
      <c r="AI16" s="83">
        <v>4.1707231350462691E-2</v>
      </c>
      <c r="AJ16" s="23"/>
      <c r="AK16" s="84">
        <v>115</v>
      </c>
      <c r="AL16" s="85">
        <v>65400</v>
      </c>
      <c r="AN16" s="83">
        <v>3.5415442289457373E-2</v>
      </c>
      <c r="AO16"/>
      <c r="AP16" s="229">
        <f t="shared" si="15"/>
        <v>142</v>
      </c>
      <c r="AQ16" s="376" t="str">
        <f t="shared" si="8"/>
        <v>WK 10 jaar vast</v>
      </c>
      <c r="AR16" s="372">
        <f t="shared" si="16"/>
        <v>5.07</v>
      </c>
      <c r="AS16" s="231">
        <f t="shared" si="17"/>
        <v>5.07</v>
      </c>
      <c r="AT16" s="234">
        <f t="shared" si="18"/>
        <v>4.9560000000000004</v>
      </c>
      <c r="AU16" s="373">
        <f t="shared" si="19"/>
        <v>2.672444788590159</v>
      </c>
      <c r="AV16" s="382">
        <v>6.0648899999999999E-2</v>
      </c>
      <c r="AW16" s="382">
        <v>5.3760000000000002E-2</v>
      </c>
      <c r="AX16" s="374">
        <f t="shared" si="20"/>
        <v>-1.88</v>
      </c>
      <c r="AY16" s="208">
        <f t="shared" si="68"/>
        <v>0.39666631140984165</v>
      </c>
      <c r="AZ16" s="234">
        <f t="shared" si="21"/>
        <v>-0.76031016109561778</v>
      </c>
      <c r="BA16" s="208">
        <f t="shared" si="69"/>
        <v>-0.36364384968577612</v>
      </c>
      <c r="BB16" s="211">
        <f t="shared" si="23"/>
        <v>-2.1077600000000002E-2</v>
      </c>
      <c r="BC16" s="211">
        <f t="shared" si="24"/>
        <v>0</v>
      </c>
      <c r="BD16" s="211">
        <f t="shared" si="25"/>
        <v>-0.1098396</v>
      </c>
      <c r="BE16" s="211">
        <f t="shared" si="26"/>
        <v>1.5100000000000001E-2</v>
      </c>
      <c r="BF16" s="211">
        <f t="shared" si="70"/>
        <v>-0.11581720000000001</v>
      </c>
      <c r="BG16" s="208">
        <f t="shared" si="71"/>
        <v>-0.47946104968577613</v>
      </c>
      <c r="BH16" s="211">
        <f t="shared" si="28"/>
        <v>0.1608</v>
      </c>
      <c r="BI16" s="211">
        <f t="shared" si="29"/>
        <v>-0.1237</v>
      </c>
      <c r="BJ16" s="211">
        <f t="shared" si="30"/>
        <v>-5.04E-2</v>
      </c>
      <c r="BK16" s="211" t="str">
        <f t="shared" si="31"/>
        <v>-</v>
      </c>
      <c r="BL16" s="211" t="str">
        <f t="shared" si="32"/>
        <v>-</v>
      </c>
      <c r="BM16" s="211">
        <f t="shared" si="72"/>
        <v>-0.1741</v>
      </c>
      <c r="BN16" s="211">
        <f t="shared" si="33"/>
        <v>-0.01</v>
      </c>
      <c r="BO16" s="208">
        <f t="shared" si="73"/>
        <v>-0.50276104968577617</v>
      </c>
      <c r="BP16" s="211">
        <f t="shared" si="74"/>
        <v>-6.2899999999999998E-2</v>
      </c>
      <c r="BQ16" s="211">
        <f t="shared" si="75"/>
        <v>-0.12719999999999998</v>
      </c>
      <c r="BR16" s="125">
        <f t="shared" si="76"/>
        <v>-0.69286104968577611</v>
      </c>
      <c r="BS16" s="211">
        <f t="shared" si="77"/>
        <v>-0.3513</v>
      </c>
      <c r="BT16" s="125">
        <f t="shared" si="78"/>
        <v>-1.0441610496857761</v>
      </c>
      <c r="BU16" s="375">
        <f t="shared" si="35"/>
        <v>-0.22</v>
      </c>
      <c r="BV16" s="23"/>
      <c r="BW16" s="83">
        <v>2.9800801413965811E-2</v>
      </c>
      <c r="BX16" s="23"/>
      <c r="BY16" s="83">
        <v>0.19487998060292572</v>
      </c>
      <c r="CA16" s="137">
        <f t="shared" si="36"/>
        <v>142</v>
      </c>
      <c r="CB16" s="86" t="str">
        <f t="shared" si="9"/>
        <v>WK 10 jaar vast</v>
      </c>
      <c r="CC16" s="372">
        <f t="shared" si="37"/>
        <v>5.07</v>
      </c>
      <c r="CD16" s="231">
        <f t="shared" si="38"/>
        <v>5.07</v>
      </c>
      <c r="CE16" s="234">
        <f t="shared" si="39"/>
        <v>4.9560000000000004</v>
      </c>
      <c r="CF16" s="373">
        <f t="shared" si="40"/>
        <v>2.672444788590159</v>
      </c>
      <c r="CG16" s="373">
        <f t="shared" si="41"/>
        <v>1.181925645558878E-2</v>
      </c>
      <c r="CH16" s="373">
        <f t="shared" si="42"/>
        <v>1.0476747757213287E-2</v>
      </c>
      <c r="CI16" s="374">
        <f t="shared" si="43"/>
        <v>-1.88</v>
      </c>
      <c r="CJ16" s="125">
        <f>CE16-CF16-CG16+CH16+CI16</f>
        <v>0.40221270271146592</v>
      </c>
      <c r="CK16" s="234">
        <f t="shared" si="44"/>
        <v>-0.76031016109561778</v>
      </c>
      <c r="CL16" s="125">
        <f t="shared" ref="CL16:CL23" si="114">SUM(CJ16:CK16)</f>
        <v>-0.35809745838415186</v>
      </c>
      <c r="CM16" s="211">
        <f t="shared" si="46"/>
        <v>-2.1077600000000002E-2</v>
      </c>
      <c r="CN16" s="211">
        <f t="shared" si="47"/>
        <v>0</v>
      </c>
      <c r="CO16" s="211">
        <f t="shared" si="48"/>
        <v>-0.1098396</v>
      </c>
      <c r="CP16" s="211">
        <f t="shared" si="49"/>
        <v>1.5100000000000001E-2</v>
      </c>
      <c r="CQ16" s="82">
        <f t="shared" ref="CQ16:CQ23" si="115">SUM(CM16:CP16)</f>
        <v>-0.11581720000000001</v>
      </c>
      <c r="CR16" s="125">
        <f t="shared" si="50"/>
        <v>-0.47391465838415187</v>
      </c>
      <c r="CS16" s="211">
        <f t="shared" si="51"/>
        <v>0.1608</v>
      </c>
      <c r="CT16" s="211">
        <f t="shared" si="52"/>
        <v>-0.1237</v>
      </c>
      <c r="CU16" s="211">
        <f t="shared" si="53"/>
        <v>-5.04E-2</v>
      </c>
      <c r="CV16" s="211" t="str">
        <f t="shared" si="54"/>
        <v>-</v>
      </c>
      <c r="CW16" s="211" t="str">
        <f t="shared" si="55"/>
        <v>-</v>
      </c>
      <c r="CX16" s="211">
        <f t="shared" ref="CX16:CX23" si="116">SUM(CT16:CW16)</f>
        <v>-0.1741</v>
      </c>
      <c r="CY16" s="211">
        <f t="shared" si="56"/>
        <v>-0.01</v>
      </c>
      <c r="CZ16" s="125">
        <f t="shared" si="57"/>
        <v>-0.49721465838415191</v>
      </c>
      <c r="DA16" s="211">
        <f t="shared" si="83"/>
        <v>-6.2899999999999998E-2</v>
      </c>
      <c r="DB16" s="211">
        <f t="shared" si="84"/>
        <v>-0.12719999999999998</v>
      </c>
      <c r="DC16" s="125">
        <f t="shared" si="85"/>
        <v>-0.68731465838415184</v>
      </c>
      <c r="DD16" s="211">
        <f t="shared" si="86"/>
        <v>-0.3513</v>
      </c>
      <c r="DE16" s="125">
        <f t="shared" si="87"/>
        <v>-1.0386146583841518</v>
      </c>
      <c r="DF16" s="375">
        <f t="shared" si="58"/>
        <v>-0.22</v>
      </c>
      <c r="DG16" s="23"/>
      <c r="DH16" s="83">
        <v>3.8694437715694925E-2</v>
      </c>
    </row>
    <row r="17" spans="1:112" s="1" customFormat="1" ht="12.5">
      <c r="B17" s="137">
        <v>152</v>
      </c>
      <c r="C17" s="79" t="str">
        <f>INDEX(ActT,5,ActLangID)&amp;" 15 "&amp;INDEX(ActT,10,ActLangID) &amp; " -13 "&amp;INDEX(ActT,55,ActLangID)</f>
        <v>WK 15 jaar vast -13 jaar</v>
      </c>
      <c r="D17" s="426">
        <v>5.1100000000000003</v>
      </c>
      <c r="E17" s="166">
        <f t="shared" si="10"/>
        <v>5.1100000000000003</v>
      </c>
      <c r="F17" s="47">
        <f t="shared" si="11"/>
        <v>4.9939999999999998</v>
      </c>
      <c r="G17" s="81">
        <v>2.6526542900533636</v>
      </c>
      <c r="H17" s="81">
        <v>0</v>
      </c>
      <c r="I17" s="81">
        <v>0</v>
      </c>
      <c r="J17" s="287">
        <v>-1.83</v>
      </c>
      <c r="K17" s="125">
        <f t="shared" si="61"/>
        <v>0.51134570994663608</v>
      </c>
      <c r="L17" s="193">
        <v>-0.81235575529873927</v>
      </c>
      <c r="M17" s="125">
        <f t="shared" si="12"/>
        <v>-0.30101004535210318</v>
      </c>
      <c r="N17" s="40">
        <v>-2.1077600000000002E-2</v>
      </c>
      <c r="O17" s="40">
        <v>0</v>
      </c>
      <c r="P17" s="40">
        <v>-0.14074700000000001</v>
      </c>
      <c r="Q17" s="40">
        <v>1.5599999999999999E-2</v>
      </c>
      <c r="R17" s="82">
        <f t="shared" si="88"/>
        <v>-0.14622460000000001</v>
      </c>
      <c r="S17" s="125">
        <f t="shared" si="13"/>
        <v>-0.44723464535210322</v>
      </c>
      <c r="T17" s="40">
        <v>7.8299999999999995E-2</v>
      </c>
      <c r="U17" s="40">
        <v>-0.1</v>
      </c>
      <c r="V17" s="40">
        <v>-4.07E-2</v>
      </c>
      <c r="W17" s="358" t="s">
        <v>393</v>
      </c>
      <c r="X17" s="358" t="s">
        <v>393</v>
      </c>
      <c r="Y17" s="211">
        <f t="shared" si="89"/>
        <v>-0.14069999999999999</v>
      </c>
      <c r="Z17" s="40">
        <v>-0.01</v>
      </c>
      <c r="AA17" s="125">
        <f t="shared" si="14"/>
        <v>-0.51963464535210324</v>
      </c>
      <c r="AB17" s="442">
        <v>-3.0600000000000002E-2</v>
      </c>
      <c r="AC17" s="442">
        <v>-7.9299999999999995E-2</v>
      </c>
      <c r="AD17" s="125">
        <f t="shared" si="66"/>
        <v>-0.62953464535210324</v>
      </c>
      <c r="AE17" s="442">
        <v>-0.21889999999999998</v>
      </c>
      <c r="AF17" s="125">
        <f t="shared" si="67"/>
        <v>-0.84843464535210322</v>
      </c>
      <c r="AG17" s="320">
        <v>-0.22</v>
      </c>
      <c r="AH17" s="23"/>
      <c r="AI17" s="83">
        <v>6.3148907788213001E-3</v>
      </c>
      <c r="AJ17" s="23"/>
      <c r="AK17" s="84">
        <v>143</v>
      </c>
      <c r="AL17" s="85">
        <v>108500</v>
      </c>
      <c r="AN17" s="83">
        <v>7.465803933707482E-3</v>
      </c>
      <c r="AO17"/>
      <c r="AP17" s="229">
        <f t="shared" si="15"/>
        <v>152</v>
      </c>
      <c r="AQ17" s="230" t="str">
        <f t="shared" si="8"/>
        <v>WK 15 jaar vast -13 jaar</v>
      </c>
      <c r="AR17" s="372">
        <f t="shared" si="16"/>
        <v>5.1100000000000003</v>
      </c>
      <c r="AS17" s="231">
        <f t="shared" si="17"/>
        <v>5.1100000000000003</v>
      </c>
      <c r="AT17" s="234">
        <f t="shared" si="18"/>
        <v>4.9939999999999998</v>
      </c>
      <c r="AU17" s="373">
        <f t="shared" si="19"/>
        <v>2.6526542900533636</v>
      </c>
      <c r="AV17" s="382">
        <v>6.6680799999999998E-2</v>
      </c>
      <c r="AW17" s="382">
        <v>4.4188999999999999E-2</v>
      </c>
      <c r="AX17" s="374">
        <f t="shared" si="20"/>
        <v>-1.83</v>
      </c>
      <c r="AY17" s="208">
        <f t="shared" si="68"/>
        <v>0.48885390994663602</v>
      </c>
      <c r="AZ17" s="234">
        <f t="shared" si="21"/>
        <v>-0.81235575529873927</v>
      </c>
      <c r="BA17" s="208">
        <f t="shared" si="69"/>
        <v>-0.32350184535210325</v>
      </c>
      <c r="BB17" s="211">
        <f t="shared" si="23"/>
        <v>-2.1077600000000002E-2</v>
      </c>
      <c r="BC17" s="211">
        <f t="shared" si="24"/>
        <v>0</v>
      </c>
      <c r="BD17" s="211">
        <f t="shared" si="25"/>
        <v>-0.14074700000000001</v>
      </c>
      <c r="BE17" s="211">
        <f t="shared" si="26"/>
        <v>1.5599999999999999E-2</v>
      </c>
      <c r="BF17" s="211">
        <f t="shared" si="70"/>
        <v>-0.14622460000000001</v>
      </c>
      <c r="BG17" s="208">
        <f t="shared" si="71"/>
        <v>-0.46972644535210328</v>
      </c>
      <c r="BH17" s="211">
        <f t="shared" si="28"/>
        <v>7.8299999999999995E-2</v>
      </c>
      <c r="BI17" s="211">
        <f t="shared" si="29"/>
        <v>-0.1</v>
      </c>
      <c r="BJ17" s="211">
        <f t="shared" si="30"/>
        <v>-4.07E-2</v>
      </c>
      <c r="BK17" s="211" t="str">
        <f t="shared" si="31"/>
        <v>-</v>
      </c>
      <c r="BL17" s="211" t="str">
        <f t="shared" si="32"/>
        <v>-</v>
      </c>
      <c r="BM17" s="211">
        <f t="shared" si="72"/>
        <v>-0.14069999999999999</v>
      </c>
      <c r="BN17" s="211">
        <f t="shared" si="33"/>
        <v>-0.01</v>
      </c>
      <c r="BO17" s="208">
        <f t="shared" si="73"/>
        <v>-0.5421264453521033</v>
      </c>
      <c r="BP17" s="211">
        <f t="shared" si="74"/>
        <v>-3.0600000000000002E-2</v>
      </c>
      <c r="BQ17" s="211">
        <f t="shared" si="75"/>
        <v>-7.9299999999999995E-2</v>
      </c>
      <c r="BR17" s="125">
        <f t="shared" si="76"/>
        <v>-0.6520264453521033</v>
      </c>
      <c r="BS17" s="211">
        <f t="shared" si="77"/>
        <v>-0.21889999999999998</v>
      </c>
      <c r="BT17" s="125">
        <f t="shared" si="78"/>
        <v>-0.87092644535210328</v>
      </c>
      <c r="BU17" s="375">
        <f t="shared" si="35"/>
        <v>-0.22</v>
      </c>
      <c r="BV17" s="23"/>
      <c r="BW17" s="83">
        <v>1.3594974206474812E-2</v>
      </c>
      <c r="BX17" s="23"/>
      <c r="BY17" s="83">
        <v>0.42172928713986763</v>
      </c>
      <c r="CA17" s="137">
        <f t="shared" si="36"/>
        <v>152</v>
      </c>
      <c r="CB17" s="79" t="str">
        <f t="shared" si="9"/>
        <v>WK 15 jaar vast -13 jaar</v>
      </c>
      <c r="CC17" s="372">
        <f t="shared" si="37"/>
        <v>5.1100000000000003</v>
      </c>
      <c r="CD17" s="231">
        <f t="shared" si="38"/>
        <v>5.1100000000000003</v>
      </c>
      <c r="CE17" s="234">
        <f t="shared" si="39"/>
        <v>4.9939999999999998</v>
      </c>
      <c r="CF17" s="373">
        <f t="shared" si="40"/>
        <v>2.6526542900533636</v>
      </c>
      <c r="CG17" s="373">
        <f t="shared" si="41"/>
        <v>2.8121246249916083E-2</v>
      </c>
      <c r="CH17" s="373">
        <f t="shared" si="42"/>
        <v>1.8635795469423611E-2</v>
      </c>
      <c r="CI17" s="374">
        <f t="shared" si="43"/>
        <v>-1.83</v>
      </c>
      <c r="CJ17" s="125">
        <f t="shared" si="79"/>
        <v>0.50186025916614341</v>
      </c>
      <c r="CK17" s="234">
        <f t="shared" si="44"/>
        <v>-0.81235575529873927</v>
      </c>
      <c r="CL17" s="125">
        <f t="shared" si="114"/>
        <v>-0.31049549613259586</v>
      </c>
      <c r="CM17" s="211">
        <f t="shared" si="46"/>
        <v>-2.1077600000000002E-2</v>
      </c>
      <c r="CN17" s="211">
        <f t="shared" si="47"/>
        <v>0</v>
      </c>
      <c r="CO17" s="211">
        <f t="shared" si="48"/>
        <v>-0.14074700000000001</v>
      </c>
      <c r="CP17" s="211">
        <f t="shared" si="49"/>
        <v>1.5599999999999999E-2</v>
      </c>
      <c r="CQ17" s="82">
        <f t="shared" si="115"/>
        <v>-0.14622460000000001</v>
      </c>
      <c r="CR17" s="125">
        <f t="shared" si="50"/>
        <v>-0.4567200961325959</v>
      </c>
      <c r="CS17" s="211">
        <f t="shared" si="51"/>
        <v>7.8299999999999995E-2</v>
      </c>
      <c r="CT17" s="211">
        <f t="shared" si="52"/>
        <v>-0.1</v>
      </c>
      <c r="CU17" s="211">
        <f t="shared" si="53"/>
        <v>-4.07E-2</v>
      </c>
      <c r="CV17" s="211" t="str">
        <f t="shared" si="54"/>
        <v>-</v>
      </c>
      <c r="CW17" s="211" t="str">
        <f t="shared" si="55"/>
        <v>-</v>
      </c>
      <c r="CX17" s="211">
        <f t="shared" si="116"/>
        <v>-0.14069999999999999</v>
      </c>
      <c r="CY17" s="211">
        <f t="shared" si="56"/>
        <v>-0.01</v>
      </c>
      <c r="CZ17" s="125">
        <f t="shared" si="57"/>
        <v>-0.52912009613259592</v>
      </c>
      <c r="DA17" s="211">
        <f t="shared" si="83"/>
        <v>-3.0600000000000002E-2</v>
      </c>
      <c r="DB17" s="211">
        <f t="shared" si="84"/>
        <v>-7.9299999999999995E-2</v>
      </c>
      <c r="DC17" s="125">
        <f t="shared" si="85"/>
        <v>-0.63902009613259592</v>
      </c>
      <c r="DD17" s="211">
        <f t="shared" si="86"/>
        <v>-0.21889999999999998</v>
      </c>
      <c r="DE17" s="125">
        <f t="shared" si="87"/>
        <v>-0.8579200961325959</v>
      </c>
      <c r="DF17" s="375">
        <f t="shared" si="58"/>
        <v>-0.22</v>
      </c>
      <c r="DG17" s="23"/>
      <c r="DH17" s="83">
        <v>8.1570373440297515E-3</v>
      </c>
    </row>
    <row r="18" spans="1:112" s="1" customFormat="1" ht="12.5">
      <c r="B18" s="137">
        <v>154</v>
      </c>
      <c r="C18" s="79" t="str">
        <f>INDEX(ActT,5,ActLangID)&amp;" 15 "&amp;INDEX(ActT,10,ActLangID)</f>
        <v>WK 15 jaar vast</v>
      </c>
      <c r="D18" s="426">
        <v>5.05</v>
      </c>
      <c r="E18" s="166">
        <f t="shared" ref="E18" si="117">D18</f>
        <v>5.05</v>
      </c>
      <c r="F18" s="47">
        <f t="shared" ref="F18" si="118">ROUND((POWER(1+D18/100,1/12)-1)*12*100,3)</f>
        <v>4.9370000000000003</v>
      </c>
      <c r="G18" s="81">
        <v>2.6546954322489609</v>
      </c>
      <c r="H18" s="81">
        <v>0</v>
      </c>
      <c r="I18" s="81">
        <v>0</v>
      </c>
      <c r="J18" s="287">
        <v>-1.84</v>
      </c>
      <c r="K18" s="125">
        <f t="shared" si="61"/>
        <v>0.44230456775103932</v>
      </c>
      <c r="L18" s="193">
        <v>-0.86385335398251573</v>
      </c>
      <c r="M18" s="125">
        <f t="shared" si="12"/>
        <v>-0.4215487862314764</v>
      </c>
      <c r="N18" s="336">
        <v>-2.1077600000000002E-2</v>
      </c>
      <c r="O18" s="336">
        <v>0</v>
      </c>
      <c r="P18" s="336">
        <v>-0.16102150000000001</v>
      </c>
      <c r="Q18" s="336">
        <v>1.5300000000000001E-2</v>
      </c>
      <c r="R18" s="82">
        <f t="shared" si="88"/>
        <v>-0.16679910000000001</v>
      </c>
      <c r="S18" s="125">
        <f t="shared" si="13"/>
        <v>-0.58834788623147638</v>
      </c>
      <c r="T18" s="336">
        <v>6.2100000000000002E-2</v>
      </c>
      <c r="U18" s="336">
        <v>-8.0599999999999991E-2</v>
      </c>
      <c r="V18" s="336">
        <v>-3.2800000000000003E-2</v>
      </c>
      <c r="W18" s="358" t="s">
        <v>393</v>
      </c>
      <c r="X18" s="358" t="s">
        <v>393</v>
      </c>
      <c r="Y18" s="211">
        <f t="shared" si="89"/>
        <v>-0.1134</v>
      </c>
      <c r="Z18" s="336">
        <v>-0.01</v>
      </c>
      <c r="AA18" s="125">
        <f t="shared" si="14"/>
        <v>-0.64964788623147629</v>
      </c>
      <c r="AB18" s="442">
        <v>-2.4299999999999999E-2</v>
      </c>
      <c r="AC18" s="442">
        <v>-8.1699999999999995E-2</v>
      </c>
      <c r="AD18" s="125">
        <f t="shared" si="66"/>
        <v>-0.75564788623147627</v>
      </c>
      <c r="AE18" s="442">
        <v>-0.22560000000000002</v>
      </c>
      <c r="AF18" s="125">
        <f t="shared" si="67"/>
        <v>-0.9812478862314763</v>
      </c>
      <c r="AG18" s="320">
        <v>-0.22</v>
      </c>
      <c r="AH18" s="23"/>
      <c r="AI18" s="83">
        <v>6.9193497357368669E-2</v>
      </c>
      <c r="AJ18" s="23"/>
      <c r="AK18" s="84">
        <v>179</v>
      </c>
      <c r="AL18" s="85">
        <v>110200</v>
      </c>
      <c r="AN18" s="83">
        <v>5.9094900257249477E-2</v>
      </c>
      <c r="AO18"/>
      <c r="AP18" s="229">
        <f t="shared" si="15"/>
        <v>154</v>
      </c>
      <c r="AQ18" s="230" t="str">
        <f t="shared" si="8"/>
        <v>WK 15 jaar vast</v>
      </c>
      <c r="AR18" s="372">
        <f t="shared" si="16"/>
        <v>5.05</v>
      </c>
      <c r="AS18" s="231">
        <f t="shared" si="17"/>
        <v>5.05</v>
      </c>
      <c r="AT18" s="234">
        <f t="shared" si="18"/>
        <v>4.9370000000000003</v>
      </c>
      <c r="AU18" s="373">
        <f t="shared" si="19"/>
        <v>2.6546954322489609</v>
      </c>
      <c r="AV18" s="382">
        <v>6.6644399999999993E-2</v>
      </c>
      <c r="AW18" s="382">
        <v>3.9831999999999999E-2</v>
      </c>
      <c r="AX18" s="374">
        <f t="shared" si="20"/>
        <v>-1.84</v>
      </c>
      <c r="AY18" s="208">
        <f t="shared" si="68"/>
        <v>0.41549216775103948</v>
      </c>
      <c r="AZ18" s="234">
        <f t="shared" si="21"/>
        <v>-0.86385335398251573</v>
      </c>
      <c r="BA18" s="208">
        <f t="shared" si="69"/>
        <v>-0.44836118623147625</v>
      </c>
      <c r="BB18" s="211">
        <f t="shared" si="23"/>
        <v>-2.1077600000000002E-2</v>
      </c>
      <c r="BC18" s="211">
        <f t="shared" si="24"/>
        <v>0</v>
      </c>
      <c r="BD18" s="211">
        <f t="shared" si="25"/>
        <v>-0.16102150000000001</v>
      </c>
      <c r="BE18" s="211">
        <f t="shared" si="26"/>
        <v>1.5300000000000001E-2</v>
      </c>
      <c r="BF18" s="211">
        <f t="shared" si="70"/>
        <v>-0.16679910000000001</v>
      </c>
      <c r="BG18" s="208">
        <f t="shared" si="71"/>
        <v>-0.61516028623147623</v>
      </c>
      <c r="BH18" s="211">
        <f t="shared" si="28"/>
        <v>6.2100000000000002E-2</v>
      </c>
      <c r="BI18" s="211">
        <f t="shared" si="29"/>
        <v>-8.0599999999999991E-2</v>
      </c>
      <c r="BJ18" s="211">
        <f t="shared" si="30"/>
        <v>-3.2800000000000003E-2</v>
      </c>
      <c r="BK18" s="211" t="str">
        <f t="shared" si="31"/>
        <v>-</v>
      </c>
      <c r="BL18" s="211" t="str">
        <f t="shared" si="32"/>
        <v>-</v>
      </c>
      <c r="BM18" s="211">
        <f t="shared" si="72"/>
        <v>-0.1134</v>
      </c>
      <c r="BN18" s="211">
        <f t="shared" si="33"/>
        <v>-0.01</v>
      </c>
      <c r="BO18" s="208">
        <f t="shared" si="73"/>
        <v>-0.67646028623147614</v>
      </c>
      <c r="BP18" s="211">
        <f t="shared" si="74"/>
        <v>-2.4299999999999999E-2</v>
      </c>
      <c r="BQ18" s="211">
        <f t="shared" si="75"/>
        <v>-8.1699999999999995E-2</v>
      </c>
      <c r="BR18" s="125">
        <f t="shared" si="76"/>
        <v>-0.78246028623147612</v>
      </c>
      <c r="BS18" s="211">
        <f t="shared" si="77"/>
        <v>-0.22560000000000002</v>
      </c>
      <c r="BT18" s="125">
        <f t="shared" si="78"/>
        <v>-1.0080602862314763</v>
      </c>
      <c r="BU18" s="375">
        <f t="shared" si="35"/>
        <v>-0.22</v>
      </c>
      <c r="BV18" s="23"/>
      <c r="BW18" s="83">
        <v>5.090699886951796E-2</v>
      </c>
      <c r="BX18" s="23"/>
      <c r="BY18" s="83">
        <v>0.19950760032413326</v>
      </c>
      <c r="CA18" s="137">
        <f t="shared" si="36"/>
        <v>154</v>
      </c>
      <c r="CB18" s="79" t="str">
        <f t="shared" si="9"/>
        <v>WK 15 jaar vast</v>
      </c>
      <c r="CC18" s="372">
        <f t="shared" si="37"/>
        <v>5.05</v>
      </c>
      <c r="CD18" s="231">
        <f t="shared" si="38"/>
        <v>5.05</v>
      </c>
      <c r="CE18" s="234">
        <f t="shared" si="39"/>
        <v>4.9370000000000003</v>
      </c>
      <c r="CF18" s="373">
        <f t="shared" si="40"/>
        <v>2.6546954322489609</v>
      </c>
      <c r="CG18" s="373">
        <f t="shared" si="41"/>
        <v>1.3296064319041664E-2</v>
      </c>
      <c r="CH18" s="373">
        <f t="shared" si="42"/>
        <v>7.9467867361108762E-3</v>
      </c>
      <c r="CI18" s="374">
        <f t="shared" si="43"/>
        <v>-1.84</v>
      </c>
      <c r="CJ18" s="125">
        <f t="shared" si="79"/>
        <v>0.43695529016810863</v>
      </c>
      <c r="CK18" s="234">
        <f t="shared" si="44"/>
        <v>-0.86385335398251573</v>
      </c>
      <c r="CL18" s="125">
        <f t="shared" si="114"/>
        <v>-0.42689806381440709</v>
      </c>
      <c r="CM18" s="211">
        <f t="shared" si="46"/>
        <v>-2.1077600000000002E-2</v>
      </c>
      <c r="CN18" s="211">
        <f t="shared" si="47"/>
        <v>0</v>
      </c>
      <c r="CO18" s="211">
        <f t="shared" si="48"/>
        <v>-0.16102150000000001</v>
      </c>
      <c r="CP18" s="211">
        <f t="shared" si="49"/>
        <v>1.5300000000000001E-2</v>
      </c>
      <c r="CQ18" s="82">
        <f t="shared" si="115"/>
        <v>-0.16679910000000001</v>
      </c>
      <c r="CR18" s="125">
        <f t="shared" si="50"/>
        <v>-0.59369716381440707</v>
      </c>
      <c r="CS18" s="211">
        <f t="shared" si="51"/>
        <v>6.2100000000000002E-2</v>
      </c>
      <c r="CT18" s="211">
        <f t="shared" si="52"/>
        <v>-8.0599999999999991E-2</v>
      </c>
      <c r="CU18" s="211">
        <f t="shared" si="53"/>
        <v>-3.2800000000000003E-2</v>
      </c>
      <c r="CV18" s="211" t="str">
        <f t="shared" si="54"/>
        <v>-</v>
      </c>
      <c r="CW18" s="211" t="str">
        <f t="shared" si="55"/>
        <v>-</v>
      </c>
      <c r="CX18" s="211">
        <f t="shared" si="116"/>
        <v>-0.1134</v>
      </c>
      <c r="CY18" s="211">
        <f t="shared" si="56"/>
        <v>-0.01</v>
      </c>
      <c r="CZ18" s="125">
        <f t="shared" si="57"/>
        <v>-0.65499716381440698</v>
      </c>
      <c r="DA18" s="211">
        <f t="shared" si="83"/>
        <v>-2.4299999999999999E-2</v>
      </c>
      <c r="DB18" s="211">
        <f t="shared" si="84"/>
        <v>-8.1699999999999995E-2</v>
      </c>
      <c r="DC18" s="125">
        <f t="shared" si="85"/>
        <v>-0.76099716381440696</v>
      </c>
      <c r="DD18" s="211">
        <f t="shared" si="86"/>
        <v>-0.22560000000000002</v>
      </c>
      <c r="DE18" s="125">
        <f t="shared" si="87"/>
        <v>-0.98659716381440699</v>
      </c>
      <c r="DF18" s="375">
        <f t="shared" si="58"/>
        <v>-0.22</v>
      </c>
      <c r="DG18" s="23"/>
      <c r="DH18" s="83">
        <v>6.456629621141402E-2</v>
      </c>
    </row>
    <row r="19" spans="1:112" s="1" customFormat="1" ht="12.5">
      <c r="B19" s="137">
        <v>162</v>
      </c>
      <c r="C19" s="79" t="str">
        <f>INDEX(ActT,5,ActLangID)&amp;" 20 "&amp;INDEX(ActT,10,ActLangID) &amp; " -18 "&amp;INDEX(ActT,55,ActLangID)</f>
        <v>WK 20 jaar vast -18 jaar</v>
      </c>
      <c r="D19" s="426">
        <v>5.05</v>
      </c>
      <c r="E19" s="166">
        <f t="shared" si="10"/>
        <v>5.05</v>
      </c>
      <c r="F19" s="47">
        <f t="shared" si="11"/>
        <v>4.9370000000000003</v>
      </c>
      <c r="G19" s="81">
        <v>2.6581516038047832</v>
      </c>
      <c r="H19" s="81">
        <v>0</v>
      </c>
      <c r="I19" s="81">
        <v>0</v>
      </c>
      <c r="J19" s="287">
        <v>-1.81</v>
      </c>
      <c r="K19" s="125">
        <f t="shared" si="61"/>
        <v>0.46884839619521701</v>
      </c>
      <c r="L19" s="193">
        <v>-0.90195493902675916</v>
      </c>
      <c r="M19" s="125">
        <f t="shared" si="12"/>
        <v>-0.43310654283154215</v>
      </c>
      <c r="N19" s="40">
        <v>-2.1077600000000002E-2</v>
      </c>
      <c r="O19" s="40">
        <v>0</v>
      </c>
      <c r="P19" s="40">
        <v>-0.19201009999999999</v>
      </c>
      <c r="Q19" s="40">
        <v>1.55E-2</v>
      </c>
      <c r="R19" s="82">
        <f t="shared" si="88"/>
        <v>-0.19758769999999998</v>
      </c>
      <c r="S19" s="125">
        <f t="shared" si="13"/>
        <v>-0.63069424283154207</v>
      </c>
      <c r="T19" s="40">
        <v>0.04</v>
      </c>
      <c r="U19" s="40">
        <v>-6.8699999999999997E-2</v>
      </c>
      <c r="V19" s="40">
        <v>-2.7999999999999997E-2</v>
      </c>
      <c r="W19" s="358" t="s">
        <v>393</v>
      </c>
      <c r="X19" s="358" t="s">
        <v>393</v>
      </c>
      <c r="Y19" s="211">
        <f t="shared" si="89"/>
        <v>-9.6699999999999994E-2</v>
      </c>
      <c r="Z19" s="40">
        <v>-0.01</v>
      </c>
      <c r="AA19" s="125">
        <f t="shared" si="14"/>
        <v>-0.69739424283154205</v>
      </c>
      <c r="AB19" s="442">
        <v>-1.5699999999999999E-2</v>
      </c>
      <c r="AC19" s="442">
        <v>-6.409999999999999E-2</v>
      </c>
      <c r="AD19" s="125">
        <f t="shared" si="66"/>
        <v>-0.77719424283154215</v>
      </c>
      <c r="AE19" s="442">
        <v>-0.1769</v>
      </c>
      <c r="AF19" s="125">
        <f t="shared" si="67"/>
        <v>-0.95409424283154221</v>
      </c>
      <c r="AG19" s="320">
        <v>-0.22</v>
      </c>
      <c r="AH19" s="23"/>
      <c r="AI19" s="83">
        <v>3.1592496429619164E-2</v>
      </c>
      <c r="AJ19" s="23"/>
      <c r="AK19" s="84">
        <v>211</v>
      </c>
      <c r="AL19" s="85">
        <v>146000</v>
      </c>
      <c r="AN19" s="83">
        <v>2.5197976846647114E-2</v>
      </c>
      <c r="AO19"/>
      <c r="AP19" s="229">
        <f t="shared" si="15"/>
        <v>162</v>
      </c>
      <c r="AQ19" s="230" t="str">
        <f t="shared" si="8"/>
        <v>WK 20 jaar vast -18 jaar</v>
      </c>
      <c r="AR19" s="372">
        <f t="shared" si="16"/>
        <v>5.05</v>
      </c>
      <c r="AS19" s="231">
        <f t="shared" si="17"/>
        <v>5.05</v>
      </c>
      <c r="AT19" s="234">
        <f t="shared" si="18"/>
        <v>4.9370000000000003</v>
      </c>
      <c r="AU19" s="373">
        <f t="shared" si="19"/>
        <v>2.6581516038047832</v>
      </c>
      <c r="AV19" s="382">
        <v>6.1017700000000008E-2</v>
      </c>
      <c r="AW19" s="382">
        <v>3.5061000000000002E-2</v>
      </c>
      <c r="AX19" s="374">
        <f t="shared" si="20"/>
        <v>-1.81</v>
      </c>
      <c r="AY19" s="208">
        <f t="shared" si="68"/>
        <v>0.44289169619521696</v>
      </c>
      <c r="AZ19" s="234">
        <f t="shared" si="21"/>
        <v>-0.90195493902675916</v>
      </c>
      <c r="BA19" s="208">
        <f t="shared" si="69"/>
        <v>-0.45906324283154221</v>
      </c>
      <c r="BB19" s="211">
        <f t="shared" si="23"/>
        <v>-2.1077600000000002E-2</v>
      </c>
      <c r="BC19" s="211">
        <f t="shared" si="24"/>
        <v>0</v>
      </c>
      <c r="BD19" s="211">
        <f t="shared" si="25"/>
        <v>-0.19201009999999999</v>
      </c>
      <c r="BE19" s="211">
        <f t="shared" si="26"/>
        <v>1.55E-2</v>
      </c>
      <c r="BF19" s="211">
        <f t="shared" si="70"/>
        <v>-0.19758769999999998</v>
      </c>
      <c r="BG19" s="208">
        <f t="shared" si="71"/>
        <v>-0.65665094283154213</v>
      </c>
      <c r="BH19" s="211">
        <f t="shared" si="28"/>
        <v>0.04</v>
      </c>
      <c r="BI19" s="211">
        <f t="shared" si="29"/>
        <v>-6.8699999999999997E-2</v>
      </c>
      <c r="BJ19" s="211">
        <f t="shared" si="30"/>
        <v>-2.7999999999999997E-2</v>
      </c>
      <c r="BK19" s="211" t="str">
        <f t="shared" si="31"/>
        <v>-</v>
      </c>
      <c r="BL19" s="211" t="str">
        <f t="shared" si="32"/>
        <v>-</v>
      </c>
      <c r="BM19" s="211">
        <f t="shared" si="72"/>
        <v>-9.6699999999999994E-2</v>
      </c>
      <c r="BN19" s="211">
        <f t="shared" si="33"/>
        <v>-0.01</v>
      </c>
      <c r="BO19" s="208">
        <f t="shared" si="73"/>
        <v>-0.72335094283154211</v>
      </c>
      <c r="BP19" s="211">
        <f t="shared" si="74"/>
        <v>-1.5699999999999999E-2</v>
      </c>
      <c r="BQ19" s="211">
        <f t="shared" si="75"/>
        <v>-6.409999999999999E-2</v>
      </c>
      <c r="BR19" s="125">
        <f t="shared" si="76"/>
        <v>-0.8031509428315422</v>
      </c>
      <c r="BS19" s="211">
        <f t="shared" si="77"/>
        <v>-0.1769</v>
      </c>
      <c r="BT19" s="125">
        <f t="shared" si="78"/>
        <v>-0.98005094283154226</v>
      </c>
      <c r="BU19" s="375">
        <f t="shared" si="35"/>
        <v>-0.22</v>
      </c>
      <c r="BV19" s="23"/>
      <c r="BW19" s="83">
        <v>1.5541527331492796E-2</v>
      </c>
      <c r="BX19" s="23"/>
      <c r="BY19" s="83">
        <v>0.14284333399204086</v>
      </c>
      <c r="CA19" s="137">
        <f t="shared" si="36"/>
        <v>162</v>
      </c>
      <c r="CB19" s="79" t="str">
        <f t="shared" si="9"/>
        <v>WK 20 jaar vast -18 jaar</v>
      </c>
      <c r="CC19" s="372">
        <f t="shared" si="37"/>
        <v>5.05</v>
      </c>
      <c r="CD19" s="231">
        <f t="shared" si="38"/>
        <v>5.05</v>
      </c>
      <c r="CE19" s="234">
        <f t="shared" si="39"/>
        <v>4.9370000000000003</v>
      </c>
      <c r="CF19" s="373">
        <f t="shared" si="40"/>
        <v>2.6581516038047832</v>
      </c>
      <c r="CG19" s="373">
        <f t="shared" si="41"/>
        <v>8.7159717005261522E-3</v>
      </c>
      <c r="CH19" s="373">
        <f t="shared" si="42"/>
        <v>5.0082301330949446E-3</v>
      </c>
      <c r="CI19" s="374">
        <f t="shared" si="43"/>
        <v>-1.81</v>
      </c>
      <c r="CJ19" s="125">
        <f t="shared" si="79"/>
        <v>0.46514065462778564</v>
      </c>
      <c r="CK19" s="234">
        <f t="shared" si="44"/>
        <v>-0.90195493902675916</v>
      </c>
      <c r="CL19" s="125">
        <f t="shared" si="114"/>
        <v>-0.43681428439897352</v>
      </c>
      <c r="CM19" s="211">
        <f t="shared" si="46"/>
        <v>-2.1077600000000002E-2</v>
      </c>
      <c r="CN19" s="211">
        <f t="shared" si="47"/>
        <v>0</v>
      </c>
      <c r="CO19" s="211">
        <f t="shared" si="48"/>
        <v>-0.19201009999999999</v>
      </c>
      <c r="CP19" s="211">
        <f t="shared" si="49"/>
        <v>1.55E-2</v>
      </c>
      <c r="CQ19" s="82">
        <f t="shared" si="115"/>
        <v>-0.19758769999999998</v>
      </c>
      <c r="CR19" s="125">
        <f t="shared" si="50"/>
        <v>-0.63440198439897344</v>
      </c>
      <c r="CS19" s="211">
        <f t="shared" si="51"/>
        <v>0.04</v>
      </c>
      <c r="CT19" s="211">
        <f t="shared" si="52"/>
        <v>-6.8699999999999997E-2</v>
      </c>
      <c r="CU19" s="211">
        <f t="shared" si="53"/>
        <v>-2.7999999999999997E-2</v>
      </c>
      <c r="CV19" s="211" t="str">
        <f t="shared" si="54"/>
        <v>-</v>
      </c>
      <c r="CW19" s="211" t="str">
        <f t="shared" si="55"/>
        <v>-</v>
      </c>
      <c r="CX19" s="211">
        <f t="shared" si="116"/>
        <v>-9.6699999999999994E-2</v>
      </c>
      <c r="CY19" s="211">
        <f t="shared" si="56"/>
        <v>-0.01</v>
      </c>
      <c r="CZ19" s="125">
        <f t="shared" si="57"/>
        <v>-0.70110198439897342</v>
      </c>
      <c r="DA19" s="211">
        <f t="shared" si="83"/>
        <v>-1.5699999999999999E-2</v>
      </c>
      <c r="DB19" s="211">
        <f t="shared" si="84"/>
        <v>-6.409999999999999E-2</v>
      </c>
      <c r="DC19" s="125">
        <f t="shared" si="85"/>
        <v>-0.78090198439897351</v>
      </c>
      <c r="DD19" s="211">
        <f t="shared" si="86"/>
        <v>-0.1769</v>
      </c>
      <c r="DE19" s="125">
        <f t="shared" si="87"/>
        <v>-0.95780198439897357</v>
      </c>
      <c r="DF19" s="375">
        <f t="shared" si="58"/>
        <v>-0.22</v>
      </c>
      <c r="DG19" s="23"/>
      <c r="DH19" s="83">
        <v>2.7530971876196454E-2</v>
      </c>
    </row>
    <row r="20" spans="1:112" s="1" customFormat="1" ht="12.5">
      <c r="B20" s="137">
        <v>164</v>
      </c>
      <c r="C20" s="79" t="str">
        <f>INDEX(ActT,5,ActLangID)&amp;" 20 "&amp;INDEX(ActT,10,ActLangID)</f>
        <v>WK 20 jaar vast</v>
      </c>
      <c r="D20" s="426">
        <v>5.03</v>
      </c>
      <c r="E20" s="166">
        <f t="shared" ref="E20" si="119">D20</f>
        <v>5.03</v>
      </c>
      <c r="F20" s="47">
        <f t="shared" ref="F20" si="120">ROUND((POWER(1+D20/100,1/12)-1)*12*100,3)</f>
        <v>4.9180000000000001</v>
      </c>
      <c r="G20" s="81">
        <v>2.6573026439701124</v>
      </c>
      <c r="H20" s="81">
        <v>0</v>
      </c>
      <c r="I20" s="81">
        <v>0</v>
      </c>
      <c r="J20" s="287">
        <v>-1.89</v>
      </c>
      <c r="K20" s="125">
        <f t="shared" si="61"/>
        <v>0.37069735602988785</v>
      </c>
      <c r="L20" s="193">
        <v>-0.93257572187341609</v>
      </c>
      <c r="M20" s="125">
        <f t="shared" si="12"/>
        <v>-0.56187836584352824</v>
      </c>
      <c r="N20" s="336">
        <v>-2.1077600000000002E-2</v>
      </c>
      <c r="O20" s="336">
        <v>0</v>
      </c>
      <c r="P20" s="336">
        <v>-0.2125225</v>
      </c>
      <c r="Q20" s="336">
        <v>1.5100000000000001E-2</v>
      </c>
      <c r="R20" s="82">
        <f t="shared" si="88"/>
        <v>-0.2185001</v>
      </c>
      <c r="S20" s="125">
        <f t="shared" si="13"/>
        <v>-0.78037846584352821</v>
      </c>
      <c r="T20" s="336">
        <v>3.6000000000000004E-2</v>
      </c>
      <c r="U20" s="336">
        <v>-6.0899999999999996E-2</v>
      </c>
      <c r="V20" s="336">
        <v>-2.4800000000000003E-2</v>
      </c>
      <c r="W20" s="358" t="s">
        <v>393</v>
      </c>
      <c r="X20" s="358" t="s">
        <v>393</v>
      </c>
      <c r="Y20" s="211">
        <f t="shared" si="89"/>
        <v>-8.5699999999999998E-2</v>
      </c>
      <c r="Z20" s="336">
        <v>-0.01</v>
      </c>
      <c r="AA20" s="125">
        <f t="shared" si="14"/>
        <v>-0.84007846584352819</v>
      </c>
      <c r="AB20" s="442">
        <v>-1.4100000000000001E-2</v>
      </c>
      <c r="AC20" s="442">
        <v>-6.7500000000000004E-2</v>
      </c>
      <c r="AD20" s="125">
        <f t="shared" si="66"/>
        <v>-0.92167846584352819</v>
      </c>
      <c r="AE20" s="442">
        <v>-0.1865</v>
      </c>
      <c r="AF20" s="125">
        <f t="shared" si="67"/>
        <v>-1.1081784658435283</v>
      </c>
      <c r="AG20" s="320">
        <v>-0.27999999999999997</v>
      </c>
      <c r="AH20" s="23"/>
      <c r="AI20" s="83">
        <v>0.23111915622848114</v>
      </c>
      <c r="AJ20" s="23"/>
      <c r="AK20" s="84">
        <v>240</v>
      </c>
      <c r="AL20" s="85">
        <v>143900</v>
      </c>
      <c r="AN20" s="83">
        <v>0.21375587244404695</v>
      </c>
      <c r="AO20"/>
      <c r="AP20" s="229">
        <f t="shared" si="15"/>
        <v>164</v>
      </c>
      <c r="AQ20" s="230" t="str">
        <f t="shared" si="8"/>
        <v>WK 20 jaar vast</v>
      </c>
      <c r="AR20" s="372">
        <f t="shared" si="16"/>
        <v>5.03</v>
      </c>
      <c r="AS20" s="231">
        <f t="shared" si="17"/>
        <v>5.03</v>
      </c>
      <c r="AT20" s="234">
        <f t="shared" si="18"/>
        <v>4.9180000000000001</v>
      </c>
      <c r="AU20" s="373">
        <f t="shared" si="19"/>
        <v>2.6573026439701124</v>
      </c>
      <c r="AV20" s="382">
        <v>6.0724400000000005E-2</v>
      </c>
      <c r="AW20" s="382">
        <v>3.2722000000000001E-2</v>
      </c>
      <c r="AX20" s="374">
        <f t="shared" si="20"/>
        <v>-1.89</v>
      </c>
      <c r="AY20" s="208">
        <f t="shared" si="68"/>
        <v>0.3426949560298882</v>
      </c>
      <c r="AZ20" s="234">
        <f t="shared" si="21"/>
        <v>-0.93257572187341609</v>
      </c>
      <c r="BA20" s="208">
        <f t="shared" si="69"/>
        <v>-0.58988076584352789</v>
      </c>
      <c r="BB20" s="211">
        <f t="shared" si="23"/>
        <v>-2.1077600000000002E-2</v>
      </c>
      <c r="BC20" s="211">
        <f t="shared" si="24"/>
        <v>0</v>
      </c>
      <c r="BD20" s="211">
        <f t="shared" si="25"/>
        <v>-0.2125225</v>
      </c>
      <c r="BE20" s="211">
        <f t="shared" si="26"/>
        <v>1.5100000000000001E-2</v>
      </c>
      <c r="BF20" s="211">
        <f t="shared" si="70"/>
        <v>-0.2185001</v>
      </c>
      <c r="BG20" s="208">
        <f t="shared" si="71"/>
        <v>-0.80838086584352786</v>
      </c>
      <c r="BH20" s="211">
        <f t="shared" si="28"/>
        <v>3.6000000000000004E-2</v>
      </c>
      <c r="BI20" s="211">
        <f t="shared" si="29"/>
        <v>-6.0899999999999996E-2</v>
      </c>
      <c r="BJ20" s="211">
        <f t="shared" si="30"/>
        <v>-2.4800000000000003E-2</v>
      </c>
      <c r="BK20" s="211" t="str">
        <f t="shared" si="31"/>
        <v>-</v>
      </c>
      <c r="BL20" s="211" t="str">
        <f t="shared" si="32"/>
        <v>-</v>
      </c>
      <c r="BM20" s="211">
        <f t="shared" si="72"/>
        <v>-8.5699999999999998E-2</v>
      </c>
      <c r="BN20" s="211">
        <f t="shared" si="33"/>
        <v>-0.01</v>
      </c>
      <c r="BO20" s="208">
        <f t="shared" si="73"/>
        <v>-0.86808086584352784</v>
      </c>
      <c r="BP20" s="211">
        <f t="shared" si="74"/>
        <v>-1.4100000000000001E-2</v>
      </c>
      <c r="BQ20" s="211">
        <f t="shared" si="75"/>
        <v>-6.7500000000000004E-2</v>
      </c>
      <c r="BR20" s="125">
        <f t="shared" si="76"/>
        <v>-0.94968086584352784</v>
      </c>
      <c r="BS20" s="211">
        <f t="shared" si="77"/>
        <v>-0.1865</v>
      </c>
      <c r="BT20" s="125">
        <f t="shared" si="78"/>
        <v>-1.136180865843528</v>
      </c>
      <c r="BU20" s="375">
        <f t="shared" si="35"/>
        <v>-0.27999999999999997</v>
      </c>
      <c r="BV20" s="23"/>
      <c r="BW20" s="83">
        <v>0.24071310766254145</v>
      </c>
      <c r="BX20" s="23"/>
      <c r="BY20" s="83">
        <v>0.26080363439373988</v>
      </c>
      <c r="CA20" s="137">
        <f t="shared" si="36"/>
        <v>164</v>
      </c>
      <c r="CB20" s="79" t="str">
        <f t="shared" si="9"/>
        <v>WK 20 jaar vast</v>
      </c>
      <c r="CC20" s="372">
        <f t="shared" si="37"/>
        <v>5.03</v>
      </c>
      <c r="CD20" s="231">
        <f t="shared" si="38"/>
        <v>5.03</v>
      </c>
      <c r="CE20" s="234">
        <f t="shared" si="39"/>
        <v>4.9180000000000001</v>
      </c>
      <c r="CF20" s="373">
        <f t="shared" si="40"/>
        <v>2.6573026439701124</v>
      </c>
      <c r="CG20" s="373">
        <f t="shared" si="41"/>
        <v>1.5837144216379218E-2</v>
      </c>
      <c r="CH20" s="373">
        <f t="shared" si="42"/>
        <v>8.5340165246319561E-3</v>
      </c>
      <c r="CI20" s="374">
        <f t="shared" si="43"/>
        <v>-1.89</v>
      </c>
      <c r="CJ20" s="125">
        <f t="shared" si="79"/>
        <v>0.36339422833814061</v>
      </c>
      <c r="CK20" s="234">
        <f t="shared" si="44"/>
        <v>-0.93257572187341609</v>
      </c>
      <c r="CL20" s="125">
        <f t="shared" si="114"/>
        <v>-0.56918149353527547</v>
      </c>
      <c r="CM20" s="211">
        <f t="shared" si="46"/>
        <v>-2.1077600000000002E-2</v>
      </c>
      <c r="CN20" s="211">
        <f t="shared" si="47"/>
        <v>0</v>
      </c>
      <c r="CO20" s="211">
        <f t="shared" si="48"/>
        <v>-0.2125225</v>
      </c>
      <c r="CP20" s="211">
        <f t="shared" si="49"/>
        <v>1.5100000000000001E-2</v>
      </c>
      <c r="CQ20" s="82">
        <f t="shared" si="115"/>
        <v>-0.2185001</v>
      </c>
      <c r="CR20" s="125">
        <f t="shared" si="50"/>
        <v>-0.78768159353527545</v>
      </c>
      <c r="CS20" s="211">
        <f t="shared" si="51"/>
        <v>3.6000000000000004E-2</v>
      </c>
      <c r="CT20" s="211">
        <f t="shared" si="52"/>
        <v>-6.0899999999999996E-2</v>
      </c>
      <c r="CU20" s="211">
        <f t="shared" si="53"/>
        <v>-2.4800000000000003E-2</v>
      </c>
      <c r="CV20" s="211" t="str">
        <f t="shared" si="54"/>
        <v>-</v>
      </c>
      <c r="CW20" s="211" t="str">
        <f t="shared" si="55"/>
        <v>-</v>
      </c>
      <c r="CX20" s="211">
        <f t="shared" si="116"/>
        <v>-8.5699999999999998E-2</v>
      </c>
      <c r="CY20" s="211">
        <f t="shared" si="56"/>
        <v>-0.01</v>
      </c>
      <c r="CZ20" s="125">
        <f t="shared" si="57"/>
        <v>-0.84738159353527542</v>
      </c>
      <c r="DA20" s="211">
        <f t="shared" si="83"/>
        <v>-1.4100000000000001E-2</v>
      </c>
      <c r="DB20" s="211">
        <f t="shared" si="84"/>
        <v>-6.7500000000000004E-2</v>
      </c>
      <c r="DC20" s="125">
        <f t="shared" si="85"/>
        <v>-0.92898159353527543</v>
      </c>
      <c r="DD20" s="211">
        <f t="shared" si="86"/>
        <v>-0.1865</v>
      </c>
      <c r="DE20" s="125">
        <f t="shared" si="87"/>
        <v>-1.1154815935352755</v>
      </c>
      <c r="DF20" s="375">
        <f t="shared" si="58"/>
        <v>-0.27999999999999997</v>
      </c>
      <c r="DG20" s="23"/>
      <c r="DH20" s="83">
        <v>0.23354680212796328</v>
      </c>
    </row>
    <row r="21" spans="1:112" s="1" customFormat="1" ht="12.5">
      <c r="B21" s="137">
        <v>172</v>
      </c>
      <c r="C21" s="79" t="str">
        <f>INDEX(ActT,5,ActLangID)&amp;" 25 "&amp;INDEX(ActT,10,ActLangID)</f>
        <v>WK 25 jaar vast</v>
      </c>
      <c r="D21" s="451">
        <v>5.08</v>
      </c>
      <c r="E21" s="166">
        <f t="shared" si="10"/>
        <v>5.08</v>
      </c>
      <c r="F21" s="47">
        <f t="shared" si="11"/>
        <v>4.9649999999999999</v>
      </c>
      <c r="G21" s="81">
        <v>2.6416666772502766</v>
      </c>
      <c r="H21" s="81">
        <v>0</v>
      </c>
      <c r="I21" s="81">
        <v>0</v>
      </c>
      <c r="J21" s="287">
        <v>-1.84</v>
      </c>
      <c r="K21" s="125">
        <f t="shared" si="61"/>
        <v>0.48333332274972318</v>
      </c>
      <c r="L21" s="193">
        <v>-0.98381945732022458</v>
      </c>
      <c r="M21" s="125">
        <f t="shared" si="12"/>
        <v>-0.5004861345705014</v>
      </c>
      <c r="N21" s="40">
        <v>-2.1077600000000002E-2</v>
      </c>
      <c r="O21" s="40">
        <v>0</v>
      </c>
      <c r="P21" s="40">
        <v>-0.26487460000000002</v>
      </c>
      <c r="Q21" s="40">
        <v>1.5599999999999999E-2</v>
      </c>
      <c r="R21" s="82">
        <f t="shared" si="88"/>
        <v>-0.27035219999999999</v>
      </c>
      <c r="S21" s="125">
        <f t="shared" si="13"/>
        <v>-0.77083833457050144</v>
      </c>
      <c r="T21" s="40">
        <v>2.0500000000000001E-2</v>
      </c>
      <c r="U21" s="40">
        <v>-4.9399999999999999E-2</v>
      </c>
      <c r="V21" s="40">
        <v>-2.01E-2</v>
      </c>
      <c r="W21" s="358" t="s">
        <v>393</v>
      </c>
      <c r="X21" s="358" t="s">
        <v>393</v>
      </c>
      <c r="Y21" s="211">
        <f t="shared" si="89"/>
        <v>-6.9500000000000006E-2</v>
      </c>
      <c r="Z21" s="40">
        <v>-0.01</v>
      </c>
      <c r="AA21" s="125">
        <f t="shared" si="14"/>
        <v>-0.82983833457050149</v>
      </c>
      <c r="AB21" s="442">
        <v>-8.0000000000000002E-3</v>
      </c>
      <c r="AC21" s="442">
        <v>-5.1099999999999993E-2</v>
      </c>
      <c r="AD21" s="125">
        <f t="shared" si="66"/>
        <v>-0.88893833457050153</v>
      </c>
      <c r="AE21" s="442">
        <v>-0.14100000000000001</v>
      </c>
      <c r="AF21" s="125">
        <f t="shared" si="67"/>
        <v>-1.0299383345705015</v>
      </c>
      <c r="AG21" s="320">
        <v>-0.4</v>
      </c>
      <c r="AH21" s="23"/>
      <c r="AI21" s="83">
        <v>0.58849949439509441</v>
      </c>
      <c r="AJ21" s="23"/>
      <c r="AK21" s="84">
        <v>299</v>
      </c>
      <c r="AL21" s="85">
        <v>204600</v>
      </c>
      <c r="AN21" s="83">
        <v>0.54714083156763282</v>
      </c>
      <c r="AO21"/>
      <c r="AP21" s="229">
        <f t="shared" si="15"/>
        <v>172</v>
      </c>
      <c r="AQ21" s="230" t="str">
        <f t="shared" si="8"/>
        <v>WK 25 jaar vast</v>
      </c>
      <c r="AR21" s="372">
        <f t="shared" si="16"/>
        <v>5.08</v>
      </c>
      <c r="AS21" s="231">
        <f t="shared" si="17"/>
        <v>5.08</v>
      </c>
      <c r="AT21" s="234">
        <f t="shared" si="18"/>
        <v>4.9649999999999999</v>
      </c>
      <c r="AU21" s="373">
        <f t="shared" si="19"/>
        <v>2.6416666772502766</v>
      </c>
      <c r="AV21" s="382">
        <v>4.2307300000000006E-2</v>
      </c>
      <c r="AW21" s="382">
        <v>2.8382000000000001E-2</v>
      </c>
      <c r="AX21" s="374">
        <f t="shared" si="20"/>
        <v>-1.84</v>
      </c>
      <c r="AY21" s="208">
        <f t="shared" si="68"/>
        <v>0.46940802274972326</v>
      </c>
      <c r="AZ21" s="234">
        <f t="shared" si="21"/>
        <v>-0.98381945732022458</v>
      </c>
      <c r="BA21" s="208">
        <f t="shared" si="69"/>
        <v>-0.51441143457050131</v>
      </c>
      <c r="BB21" s="211">
        <f t="shared" si="23"/>
        <v>-2.1077600000000002E-2</v>
      </c>
      <c r="BC21" s="211">
        <f t="shared" si="24"/>
        <v>0</v>
      </c>
      <c r="BD21" s="211">
        <f t="shared" si="25"/>
        <v>-0.26487460000000002</v>
      </c>
      <c r="BE21" s="211">
        <f t="shared" si="26"/>
        <v>1.5599999999999999E-2</v>
      </c>
      <c r="BF21" s="211">
        <f t="shared" si="70"/>
        <v>-0.27035219999999999</v>
      </c>
      <c r="BG21" s="208">
        <f t="shared" si="71"/>
        <v>-0.78476363457050136</v>
      </c>
      <c r="BH21" s="211">
        <f t="shared" si="28"/>
        <v>2.0500000000000001E-2</v>
      </c>
      <c r="BI21" s="211">
        <f t="shared" si="29"/>
        <v>-4.9399999999999999E-2</v>
      </c>
      <c r="BJ21" s="211">
        <f t="shared" si="30"/>
        <v>-2.01E-2</v>
      </c>
      <c r="BK21" s="211" t="str">
        <f t="shared" si="31"/>
        <v>-</v>
      </c>
      <c r="BL21" s="211" t="str">
        <f t="shared" si="32"/>
        <v>-</v>
      </c>
      <c r="BM21" s="211">
        <f t="shared" si="72"/>
        <v>-6.9500000000000006E-2</v>
      </c>
      <c r="BN21" s="211">
        <f t="shared" si="33"/>
        <v>-0.01</v>
      </c>
      <c r="BO21" s="208">
        <f t="shared" si="73"/>
        <v>-0.84376363457050141</v>
      </c>
      <c r="BP21" s="211">
        <f t="shared" si="74"/>
        <v>-8.0000000000000002E-3</v>
      </c>
      <c r="BQ21" s="211">
        <f t="shared" si="75"/>
        <v>-5.1099999999999993E-2</v>
      </c>
      <c r="BR21" s="125">
        <f t="shared" si="76"/>
        <v>-0.90286363457050145</v>
      </c>
      <c r="BS21" s="211">
        <f t="shared" si="77"/>
        <v>-0.14100000000000001</v>
      </c>
      <c r="BT21" s="125">
        <f t="shared" si="78"/>
        <v>-1.0438636345705015</v>
      </c>
      <c r="BU21" s="375">
        <f t="shared" si="35"/>
        <v>-0.4</v>
      </c>
      <c r="BV21" s="23"/>
      <c r="BW21" s="83">
        <v>0.62524971596221224</v>
      </c>
      <c r="BX21" s="23"/>
      <c r="BY21" s="83">
        <v>0.26465879520627744</v>
      </c>
      <c r="CA21" s="137">
        <f t="shared" si="36"/>
        <v>172</v>
      </c>
      <c r="CB21" s="79" t="str">
        <f t="shared" si="9"/>
        <v>WK 25 jaar vast</v>
      </c>
      <c r="CC21" s="372">
        <f t="shared" si="37"/>
        <v>5.08</v>
      </c>
      <c r="CD21" s="231">
        <f t="shared" si="38"/>
        <v>5.08</v>
      </c>
      <c r="CE21" s="234">
        <f t="shared" si="39"/>
        <v>4.9649999999999999</v>
      </c>
      <c r="CF21" s="373">
        <f t="shared" si="40"/>
        <v>2.6416666772502766</v>
      </c>
      <c r="CG21" s="373">
        <f t="shared" si="41"/>
        <v>1.1196999046430543E-2</v>
      </c>
      <c r="CH21" s="373">
        <f t="shared" si="42"/>
        <v>7.5115459255445669E-3</v>
      </c>
      <c r="CI21" s="374">
        <f t="shared" si="43"/>
        <v>-1.84</v>
      </c>
      <c r="CJ21" s="125">
        <f t="shared" si="79"/>
        <v>0.4796478696288371</v>
      </c>
      <c r="CK21" s="234">
        <f t="shared" si="44"/>
        <v>-0.98381945732022458</v>
      </c>
      <c r="CL21" s="125">
        <f t="shared" si="114"/>
        <v>-0.50417158769138748</v>
      </c>
      <c r="CM21" s="211">
        <f t="shared" si="46"/>
        <v>-2.1077600000000002E-2</v>
      </c>
      <c r="CN21" s="211">
        <f t="shared" si="47"/>
        <v>0</v>
      </c>
      <c r="CO21" s="211">
        <f t="shared" si="48"/>
        <v>-0.26487460000000002</v>
      </c>
      <c r="CP21" s="211">
        <f t="shared" si="49"/>
        <v>1.5599999999999999E-2</v>
      </c>
      <c r="CQ21" s="82">
        <f t="shared" si="115"/>
        <v>-0.27035219999999999</v>
      </c>
      <c r="CR21" s="125">
        <f t="shared" si="50"/>
        <v>-0.77452378769138752</v>
      </c>
      <c r="CS21" s="211">
        <f t="shared" si="51"/>
        <v>2.0500000000000001E-2</v>
      </c>
      <c r="CT21" s="211">
        <f t="shared" si="52"/>
        <v>-4.9399999999999999E-2</v>
      </c>
      <c r="CU21" s="211">
        <f t="shared" si="53"/>
        <v>-2.01E-2</v>
      </c>
      <c r="CV21" s="211" t="str">
        <f t="shared" si="54"/>
        <v>-</v>
      </c>
      <c r="CW21" s="211" t="str">
        <f t="shared" si="55"/>
        <v>-</v>
      </c>
      <c r="CX21" s="211">
        <f t="shared" si="116"/>
        <v>-6.9500000000000006E-2</v>
      </c>
      <c r="CY21" s="211">
        <f t="shared" si="56"/>
        <v>-0.01</v>
      </c>
      <c r="CZ21" s="125">
        <f t="shared" si="57"/>
        <v>-0.83352378769138757</v>
      </c>
      <c r="DA21" s="211">
        <f t="shared" si="83"/>
        <v>-8.0000000000000002E-3</v>
      </c>
      <c r="DB21" s="211">
        <f t="shared" si="84"/>
        <v>-5.1099999999999993E-2</v>
      </c>
      <c r="DC21" s="125">
        <f t="shared" si="85"/>
        <v>-0.89262378769138762</v>
      </c>
      <c r="DD21" s="211">
        <f t="shared" si="86"/>
        <v>-0.14100000000000001</v>
      </c>
      <c r="DE21" s="125">
        <f t="shared" si="87"/>
        <v>-1.0336237876913876</v>
      </c>
      <c r="DF21" s="375">
        <f t="shared" si="58"/>
        <v>-0.4</v>
      </c>
      <c r="DG21" s="23"/>
      <c r="DH21" s="83">
        <v>0.5977987414577528</v>
      </c>
    </row>
    <row r="22" spans="1:112" s="1" customFormat="1" ht="12.5">
      <c r="B22" s="137">
        <v>182</v>
      </c>
      <c r="C22" s="79" t="str">
        <f>INDEX(ActT,5,ActLangID)&amp;" 30 "&amp;INDEX(ActT,10,ActLangID)</f>
        <v>WK 30 jaar vast</v>
      </c>
      <c r="D22" s="426">
        <v>5.17</v>
      </c>
      <c r="E22" s="167">
        <f t="shared" si="10"/>
        <v>5.17</v>
      </c>
      <c r="F22" s="50">
        <f t="shared" si="11"/>
        <v>5.0510000000000002</v>
      </c>
      <c r="G22" s="51">
        <v>2.6137787450194803</v>
      </c>
      <c r="H22" s="81">
        <v>0</v>
      </c>
      <c r="I22" s="81">
        <v>0</v>
      </c>
      <c r="J22" s="105">
        <v>-1.74</v>
      </c>
      <c r="K22" s="126">
        <f t="shared" si="61"/>
        <v>0.6972212549805199</v>
      </c>
      <c r="L22" s="194">
        <v>-1.0171346443173579</v>
      </c>
      <c r="M22" s="126">
        <f t="shared" si="12"/>
        <v>-0.31991338933683799</v>
      </c>
      <c r="N22" s="29">
        <v>-2.1077600000000002E-2</v>
      </c>
      <c r="O22" s="29">
        <v>0</v>
      </c>
      <c r="P22" s="29">
        <v>-0.31887499999999996</v>
      </c>
      <c r="Q22" s="29">
        <v>1.6500000000000001E-2</v>
      </c>
      <c r="R22" s="82">
        <f t="shared" si="88"/>
        <v>-0.32345259999999992</v>
      </c>
      <c r="S22" s="125">
        <f t="shared" si="13"/>
        <v>-0.64336598933683797</v>
      </c>
      <c r="T22" s="29">
        <v>1.66E-2</v>
      </c>
      <c r="U22" s="29">
        <v>-4.1800000000000004E-2</v>
      </c>
      <c r="V22" s="29">
        <v>-1.7000000000000001E-2</v>
      </c>
      <c r="W22" s="358" t="s">
        <v>393</v>
      </c>
      <c r="X22" s="358" t="s">
        <v>393</v>
      </c>
      <c r="Y22" s="212">
        <f t="shared" si="89"/>
        <v>-5.8800000000000005E-2</v>
      </c>
      <c r="Z22" s="29">
        <v>-0.01</v>
      </c>
      <c r="AA22" s="125">
        <f t="shared" si="14"/>
        <v>-0.695565989336838</v>
      </c>
      <c r="AB22" s="442">
        <v>-6.4999999999999997E-3</v>
      </c>
      <c r="AC22" s="442">
        <v>-5.21E-2</v>
      </c>
      <c r="AD22" s="125">
        <f t="shared" si="66"/>
        <v>-0.75416598933683798</v>
      </c>
      <c r="AE22" s="442">
        <v>-0.14380000000000001</v>
      </c>
      <c r="AF22" s="125">
        <f t="shared" si="67"/>
        <v>-0.89796598933683802</v>
      </c>
      <c r="AG22" s="325">
        <v>-0.4</v>
      </c>
      <c r="AH22" s="23"/>
      <c r="AI22" s="83">
        <v>2.5858336901477673E-2</v>
      </c>
      <c r="AJ22" s="23"/>
      <c r="AK22" s="84">
        <v>355</v>
      </c>
      <c r="AL22" s="85">
        <v>214200</v>
      </c>
      <c r="AN22" s="83">
        <v>2.3209809073356302E-2</v>
      </c>
      <c r="AO22"/>
      <c r="AP22" s="229">
        <f t="shared" si="15"/>
        <v>182</v>
      </c>
      <c r="AQ22" s="230" t="str">
        <f t="shared" si="8"/>
        <v>WK 30 jaar vast</v>
      </c>
      <c r="AR22" s="372">
        <f t="shared" si="16"/>
        <v>5.17</v>
      </c>
      <c r="AS22" s="377">
        <f t="shared" si="17"/>
        <v>5.17</v>
      </c>
      <c r="AT22" s="378">
        <f t="shared" si="18"/>
        <v>5.0510000000000002</v>
      </c>
      <c r="AU22" s="379">
        <f t="shared" si="19"/>
        <v>2.6137787450194803</v>
      </c>
      <c r="AV22" s="382">
        <v>3.2089199999999998E-2</v>
      </c>
      <c r="AW22" s="382">
        <v>2.5284000000000001E-2</v>
      </c>
      <c r="AX22" s="380">
        <f t="shared" si="20"/>
        <v>-1.74</v>
      </c>
      <c r="AY22" s="210">
        <f t="shared" si="68"/>
        <v>0.69041605498051983</v>
      </c>
      <c r="AZ22" s="378">
        <f t="shared" si="21"/>
        <v>-1.0171346443173579</v>
      </c>
      <c r="BA22" s="210">
        <f t="shared" si="69"/>
        <v>-0.32671858933683806</v>
      </c>
      <c r="BB22" s="212">
        <f t="shared" si="23"/>
        <v>-2.1077600000000002E-2</v>
      </c>
      <c r="BC22" s="212">
        <f t="shared" si="24"/>
        <v>0</v>
      </c>
      <c r="BD22" s="212">
        <f t="shared" si="25"/>
        <v>-0.31887499999999996</v>
      </c>
      <c r="BE22" s="212">
        <f t="shared" si="26"/>
        <v>1.6500000000000001E-2</v>
      </c>
      <c r="BF22" s="211">
        <f t="shared" si="70"/>
        <v>-0.32345259999999992</v>
      </c>
      <c r="BG22" s="208">
        <f t="shared" si="71"/>
        <v>-0.65017118933683804</v>
      </c>
      <c r="BH22" s="212">
        <f t="shared" si="28"/>
        <v>1.66E-2</v>
      </c>
      <c r="BI22" s="212">
        <f t="shared" si="29"/>
        <v>-4.1800000000000004E-2</v>
      </c>
      <c r="BJ22" s="212">
        <f t="shared" si="30"/>
        <v>-1.7000000000000001E-2</v>
      </c>
      <c r="BK22" s="212" t="str">
        <f t="shared" si="31"/>
        <v>-</v>
      </c>
      <c r="BL22" s="212" t="str">
        <f t="shared" si="32"/>
        <v>-</v>
      </c>
      <c r="BM22" s="212">
        <f t="shared" si="72"/>
        <v>-5.8800000000000005E-2</v>
      </c>
      <c r="BN22" s="212">
        <f t="shared" si="33"/>
        <v>-0.01</v>
      </c>
      <c r="BO22" s="208">
        <f t="shared" si="73"/>
        <v>-0.70237118933683806</v>
      </c>
      <c r="BP22" s="211">
        <f t="shared" si="74"/>
        <v>-6.4999999999999997E-3</v>
      </c>
      <c r="BQ22" s="211">
        <f t="shared" si="75"/>
        <v>-5.21E-2</v>
      </c>
      <c r="BR22" s="125">
        <f t="shared" si="76"/>
        <v>-0.76097118933683805</v>
      </c>
      <c r="BS22" s="211">
        <f t="shared" si="77"/>
        <v>-0.14380000000000001</v>
      </c>
      <c r="BT22" s="125">
        <f t="shared" si="78"/>
        <v>-0.90477118933683809</v>
      </c>
      <c r="BU22" s="381">
        <f t="shared" si="35"/>
        <v>-0.4</v>
      </c>
      <c r="BV22" s="23"/>
      <c r="BW22" s="83">
        <v>2.3883897867284159E-2</v>
      </c>
      <c r="BX22" s="23"/>
      <c r="BY22" s="200">
        <v>0.23832279944504392</v>
      </c>
      <c r="CA22" s="137">
        <f t="shared" si="36"/>
        <v>182</v>
      </c>
      <c r="CB22" s="79" t="str">
        <f t="shared" si="9"/>
        <v>WK 30 jaar vast</v>
      </c>
      <c r="CC22" s="372">
        <f t="shared" si="37"/>
        <v>5.17</v>
      </c>
      <c r="CD22" s="377">
        <f t="shared" si="38"/>
        <v>5.17</v>
      </c>
      <c r="CE22" s="378">
        <f t="shared" si="39"/>
        <v>5.0510000000000002</v>
      </c>
      <c r="CF22" s="379">
        <f t="shared" si="40"/>
        <v>2.6137787450194803</v>
      </c>
      <c r="CG22" s="373">
        <f t="shared" si="41"/>
        <v>7.6475879759519026E-3</v>
      </c>
      <c r="CH22" s="373">
        <f t="shared" si="42"/>
        <v>6.0257536611684906E-3</v>
      </c>
      <c r="CI22" s="380">
        <f t="shared" si="43"/>
        <v>-1.74</v>
      </c>
      <c r="CJ22" s="126">
        <f t="shared" si="79"/>
        <v>0.69559942066573632</v>
      </c>
      <c r="CK22" s="378">
        <f t="shared" si="44"/>
        <v>-1.0171346443173579</v>
      </c>
      <c r="CL22" s="126">
        <f t="shared" si="114"/>
        <v>-0.32153522365162157</v>
      </c>
      <c r="CM22" s="212">
        <f t="shared" si="46"/>
        <v>-2.1077600000000002E-2</v>
      </c>
      <c r="CN22" s="212">
        <f t="shared" si="47"/>
        <v>0</v>
      </c>
      <c r="CO22" s="212">
        <f t="shared" si="48"/>
        <v>-0.31887499999999996</v>
      </c>
      <c r="CP22" s="212">
        <f t="shared" si="49"/>
        <v>1.6500000000000001E-2</v>
      </c>
      <c r="CQ22" s="82">
        <f t="shared" si="115"/>
        <v>-0.32345259999999992</v>
      </c>
      <c r="CR22" s="125">
        <f t="shared" si="50"/>
        <v>-0.64498782365162155</v>
      </c>
      <c r="CS22" s="212">
        <f t="shared" si="51"/>
        <v>1.66E-2</v>
      </c>
      <c r="CT22" s="212">
        <f t="shared" si="52"/>
        <v>-4.1800000000000004E-2</v>
      </c>
      <c r="CU22" s="212">
        <f t="shared" si="53"/>
        <v>-1.7000000000000001E-2</v>
      </c>
      <c r="CV22" s="212" t="str">
        <f t="shared" si="54"/>
        <v>-</v>
      </c>
      <c r="CW22" s="212" t="str">
        <f t="shared" si="55"/>
        <v>-</v>
      </c>
      <c r="CX22" s="212">
        <f t="shared" si="116"/>
        <v>-5.8800000000000005E-2</v>
      </c>
      <c r="CY22" s="212">
        <f t="shared" si="56"/>
        <v>-0.01</v>
      </c>
      <c r="CZ22" s="125">
        <f t="shared" si="57"/>
        <v>-0.69718782365162157</v>
      </c>
      <c r="DA22" s="211">
        <f t="shared" si="83"/>
        <v>-6.4999999999999997E-3</v>
      </c>
      <c r="DB22" s="211">
        <f t="shared" si="84"/>
        <v>-5.21E-2</v>
      </c>
      <c r="DC22" s="125">
        <f t="shared" si="85"/>
        <v>-0.75578782365162156</v>
      </c>
      <c r="DD22" s="211">
        <f t="shared" si="86"/>
        <v>-0.14380000000000001</v>
      </c>
      <c r="DE22" s="125">
        <f t="shared" si="87"/>
        <v>-0.8995878236516216</v>
      </c>
      <c r="DF22" s="381">
        <f t="shared" si="58"/>
        <v>-0.4</v>
      </c>
      <c r="DG22" s="23"/>
      <c r="DH22" s="83">
        <v>2.5358726406460939E-2</v>
      </c>
    </row>
    <row r="23" spans="1:112" s="1" customFormat="1" ht="13">
      <c r="A23" s="3"/>
      <c r="B23" s="138"/>
      <c r="C23" s="89" t="str">
        <f>INDEX(ActT,5,ActLangID)&amp;INDEX(ActT,57,ActLangID)</f>
        <v>WK brutomarges gewogen met %aandeel</v>
      </c>
      <c r="D23" s="180"/>
      <c r="E23" s="169"/>
      <c r="F23" s="48"/>
      <c r="G23" s="49"/>
      <c r="H23" s="49"/>
      <c r="I23" s="49"/>
      <c r="J23" s="30">
        <f>SUMPRODUCT(J7:J22,$AI7:$AI22)</f>
        <v>-1.847097862834141</v>
      </c>
      <c r="K23" s="127">
        <f>SUMPRODUCT(K7:K22,$AI7:$AI22)</f>
        <v>0.45983181290587127</v>
      </c>
      <c r="L23" s="30">
        <f>SUMPRODUCT(L7:L22,$AI7:$AI22)</f>
        <v>-0.95152101010734558</v>
      </c>
      <c r="M23" s="127">
        <f t="shared" si="12"/>
        <v>-0.4916891972014743</v>
      </c>
      <c r="N23" s="30">
        <f>SUMPRODUCT(N7:N22,$AI7:$AI22)</f>
        <v>-2.1034944765698789E-2</v>
      </c>
      <c r="O23" s="30">
        <f>SUMPRODUCT(O7:O22,$AI7:$AI22)</f>
        <v>-3.4039718129784017E-4</v>
      </c>
      <c r="P23" s="30">
        <f>SUMPRODUCT(P7:P22,$AI7:$AI22)</f>
        <v>-0.23729588713704411</v>
      </c>
      <c r="Q23" s="30">
        <f>SUMPRODUCT(Q7:Q22,$AI7:$AI22)</f>
        <v>1.5479446129424652E-2</v>
      </c>
      <c r="R23" s="30">
        <f t="shared" si="88"/>
        <v>-0.24319178295461608</v>
      </c>
      <c r="S23" s="127">
        <f>M23+R23</f>
        <v>-0.73488098015609038</v>
      </c>
      <c r="T23" s="30">
        <f>SUMPRODUCT(T7:T22,$AI7:$AI22)</f>
        <v>3.3689167966787587E-2</v>
      </c>
      <c r="U23" s="30">
        <f>SUMPRODUCT(U7:U22,$AI7:$AI22)</f>
        <v>-5.803833974927762E-2</v>
      </c>
      <c r="V23" s="30">
        <f>SUMPRODUCT(V7:V22,$AI7:$AI22)</f>
        <v>-2.3624328121756827E-2</v>
      </c>
      <c r="W23" s="30" t="s">
        <v>393</v>
      </c>
      <c r="X23" s="30" t="s">
        <v>393</v>
      </c>
      <c r="Y23" s="30">
        <f t="shared" si="89"/>
        <v>-8.1662667871034447E-2</v>
      </c>
      <c r="Z23" s="30">
        <f>SUMPRODUCT(Z7:Z22,$AI7:$AI22)</f>
        <v>-1.0000000000000002E-2</v>
      </c>
      <c r="AA23" s="127">
        <f t="shared" si="14"/>
        <v>-0.79285448006033732</v>
      </c>
      <c r="AB23" s="30">
        <f t="shared" ref="AB23:AE23" si="121">SUMPRODUCT(AB7:AB22,$AI7:$AI22)</f>
        <v>-1.3173324248276448E-2</v>
      </c>
      <c r="AC23" s="30">
        <f t="shared" si="121"/>
        <v>-6.0779675557694132E-2</v>
      </c>
      <c r="AD23" s="127">
        <f t="shared" si="66"/>
        <v>-0.86680747986630791</v>
      </c>
      <c r="AE23" s="30">
        <f t="shared" si="121"/>
        <v>-0.16779394662960748</v>
      </c>
      <c r="AF23" s="127">
        <f t="shared" si="67"/>
        <v>-1.0346014264959154</v>
      </c>
      <c r="AG23" s="326">
        <f>SUMPRODUCT(AG7:AG22,$AI7:$AI22)</f>
        <v>-0.34570883625000037</v>
      </c>
      <c r="AH23" s="2"/>
      <c r="AI23" s="143">
        <f>SUM(AI7:AI22)</f>
        <v>1.0000000000000002</v>
      </c>
      <c r="AJ23" s="2"/>
      <c r="AK23" s="90"/>
      <c r="AL23" s="91"/>
      <c r="AN23" s="313" t="s">
        <v>336</v>
      </c>
      <c r="AO23"/>
      <c r="AP23" s="138"/>
      <c r="AQ23" s="89" t="str">
        <f t="shared" si="8"/>
        <v>WK brutomarges gewogen met %aandeel</v>
      </c>
      <c r="AR23" s="180"/>
      <c r="AS23" s="169"/>
      <c r="AT23" s="48"/>
      <c r="AU23" s="49"/>
      <c r="AV23" s="49"/>
      <c r="AW23" s="49"/>
      <c r="AX23" s="30">
        <f>SUMPRODUCT(AX7:AX22,$BW7:$BW22)</f>
        <v>-1.8500362672447157</v>
      </c>
      <c r="AY23" s="127">
        <f>SUMPRODUCT(AY7:AY22,$BW7:$BW22)</f>
        <v>0.43931962866669855</v>
      </c>
      <c r="AZ23" s="30">
        <f>SUMPRODUCT(AZ7:AZ22,$BW7:$BW22)</f>
        <v>-0.95590799100667068</v>
      </c>
      <c r="BA23" s="127">
        <f t="shared" si="69"/>
        <v>-0.51658836233997207</v>
      </c>
      <c r="BB23" s="30">
        <f>SUMPRODUCT(BB7:BB22,$BW7:$BW22)</f>
        <v>-2.1072353483170044E-2</v>
      </c>
      <c r="BC23" s="30">
        <f>SUMPRODUCT(BC7:BC22,$BW7:$BW22)</f>
        <v>-3.5984784408467393E-5</v>
      </c>
      <c r="BD23" s="30">
        <f>SUMPRODUCT(BD7:BD22,$BW7:$BW22)</f>
        <v>-0.24080378049624637</v>
      </c>
      <c r="BE23" s="30">
        <f>SUMPRODUCT(BE7:BE22,$BW7:$BW22)</f>
        <v>1.5470339231207832E-2</v>
      </c>
      <c r="BF23" s="30">
        <f t="shared" ref="BF23" si="122">SUM(BB23:BE23)</f>
        <v>-0.24644177953261703</v>
      </c>
      <c r="BG23" s="127">
        <f t="shared" ref="BG23" si="123">BA23+BF23</f>
        <v>-0.76303014187258911</v>
      </c>
      <c r="BH23" s="30">
        <f>SUMPRODUCT(BH7:BH22,$BW7:$BW22)</f>
        <v>3.1528474129058542E-2</v>
      </c>
      <c r="BI23" s="30">
        <f>SUMPRODUCT(BI7:BI22,$BW7:$BW22)</f>
        <v>-5.6779201033265496E-2</v>
      </c>
      <c r="BJ23" s="30">
        <f>SUMPRODUCT(BJ7:BJ22,$BW7:$BW22)</f>
        <v>-2.3110525258074461E-2</v>
      </c>
      <c r="BK23" s="30" t="str">
        <f>W23</f>
        <v>-</v>
      </c>
      <c r="BL23" s="30" t="str">
        <f>X23</f>
        <v>-</v>
      </c>
      <c r="BM23" s="30">
        <f t="shared" ref="BM23" si="124">SUM(BI23:BL23)</f>
        <v>-7.988972629133996E-2</v>
      </c>
      <c r="BN23" s="30">
        <f>SUMPRODUCT(BN7:BN22,$BW7:$BW22)</f>
        <v>-1.0000000000000002E-2</v>
      </c>
      <c r="BO23" s="127">
        <f t="shared" si="34"/>
        <v>-0.82139139403487049</v>
      </c>
      <c r="BP23" s="30">
        <f>SUMPRODUCT(BP7:BP22,$BW7:$BW22)</f>
        <v>-1.2326431580399359E-2</v>
      </c>
      <c r="BQ23" s="30">
        <f>SUMPRODUCT(BQ7:BQ22,$BW7:$BW22)</f>
        <v>-5.9485558320665509E-2</v>
      </c>
      <c r="BR23" s="127">
        <f t="shared" si="76"/>
        <v>-0.89320338393593535</v>
      </c>
      <c r="BS23" s="30">
        <f>SUMPRODUCT(BS7:BS22,$BW7:$BW22)</f>
        <v>-0.16421837005613843</v>
      </c>
      <c r="BT23" s="127">
        <f t="shared" si="78"/>
        <v>-1.0574217539920738</v>
      </c>
      <c r="BU23" s="326">
        <f t="shared" ref="BU23" si="125">SUMPRODUCT(BU7:BU22,$BW7:$BW22)</f>
        <v>-0.3513548118200942</v>
      </c>
      <c r="BV23" s="2"/>
      <c r="BW23" s="143">
        <f>SUM(BW7:BW22)</f>
        <v>1</v>
      </c>
      <c r="BX23" s="2"/>
      <c r="BY23"/>
      <c r="BZ23" s="3"/>
      <c r="CA23" s="138"/>
      <c r="CB23" s="89" t="str">
        <f t="shared" si="9"/>
        <v>WK brutomarges gewogen met %aandeel</v>
      </c>
      <c r="CC23" s="402"/>
      <c r="CD23" s="403"/>
      <c r="CE23" s="404"/>
      <c r="CF23" s="405"/>
      <c r="CG23" s="49"/>
      <c r="CH23" s="49"/>
      <c r="CI23" s="30">
        <f>SUMPRODUCT(CI7:CI22,$DH7:$DH22)</f>
        <v>-1.8478413943672509</v>
      </c>
      <c r="CJ23" s="127">
        <f>SUMPRODUCT(CJ7:CJ22,$AI7:$AI22)</f>
        <v>0.45533122538152582</v>
      </c>
      <c r="CK23" s="30">
        <f>SUMPRODUCT(CK7:CK22,$DH7:$DH22)</f>
        <v>-0.95263108829197585</v>
      </c>
      <c r="CL23" s="127">
        <f t="shared" si="114"/>
        <v>-0.49729986291045003</v>
      </c>
      <c r="CM23" s="30">
        <f>SUMPRODUCT(CM7:CM22,$DH7:$DH22)</f>
        <v>-2.1044410638045349E-2</v>
      </c>
      <c r="CN23" s="30">
        <f>SUMPRODUCT(CN7:CN22,$DH7:$DH22)</f>
        <v>-2.6336890862633096E-4</v>
      </c>
      <c r="CO23" s="30">
        <f>SUMPRODUCT(CO7:CO22,$DH7:$DH22)</f>
        <v>-0.23818352170428347</v>
      </c>
      <c r="CP23" s="30">
        <f>SUMPRODUCT(CP7:CP22,$DH7:$DH22)</f>
        <v>1.5477141727086882E-2</v>
      </c>
      <c r="CQ23" s="30">
        <f t="shared" si="115"/>
        <v>-0.24401415952386826</v>
      </c>
      <c r="CR23" s="127">
        <f>CL23+CQ23</f>
        <v>-0.74131402243431832</v>
      </c>
      <c r="CS23" s="30">
        <f>SUMPRODUCT(CS7:CS22,$DH7:$DH22)</f>
        <v>3.3142427703273518E-2</v>
      </c>
      <c r="CT23" s="30">
        <f>SUMPRODUCT(CT7:CT22,$DH7:$DH22)</f>
        <v>-5.7719728282269976E-2</v>
      </c>
      <c r="CU23" s="30">
        <f>SUMPRODUCT(CU7:CU22,$DH7:$DH22)</f>
        <v>-2.3494315850615611E-2</v>
      </c>
      <c r="CV23" s="30" t="str">
        <f>W23</f>
        <v>-</v>
      </c>
      <c r="CW23" s="30" t="str">
        <f>X23</f>
        <v>-</v>
      </c>
      <c r="CX23" s="30">
        <f t="shared" si="116"/>
        <v>-8.1214044132885591E-2</v>
      </c>
      <c r="CY23" s="30">
        <f>SUMPRODUCT(CY7:CY22,$DH7:$DH22)</f>
        <v>-1.0000000000000002E-2</v>
      </c>
      <c r="CZ23" s="127">
        <f t="shared" si="57"/>
        <v>-0.79938563886393044</v>
      </c>
      <c r="DA23" s="30">
        <f>SUMPRODUCT(DA7:DA22,$DH7:$DH22)</f>
        <v>-1.2959027195950931E-2</v>
      </c>
      <c r="DB23" s="30">
        <f>SUMPRODUCT(DB7:DB22,$DH7:$DH22)</f>
        <v>-6.0452213153332955E-2</v>
      </c>
      <c r="DC23" s="127">
        <f t="shared" si="85"/>
        <v>-0.87279687921321425</v>
      </c>
      <c r="DD23" s="30">
        <f>SUMPRODUCT(DD7:DD22,$DH7:$DH22)</f>
        <v>-0.16688918555524448</v>
      </c>
      <c r="DE23" s="127">
        <f t="shared" si="87"/>
        <v>-1.0396860647684587</v>
      </c>
      <c r="DF23" s="326">
        <f>SUMPRODUCT(DF7:DF22,$DH7:$DH22)</f>
        <v>-0.34713748945254363</v>
      </c>
      <c r="DG23" s="2"/>
      <c r="DH23" s="143">
        <f>SUM(DH7:DH22)</f>
        <v>1</v>
      </c>
    </row>
    <row r="24" spans="1:112" s="1" customFormat="1" ht="13">
      <c r="A24" s="3"/>
      <c r="B24" s="138"/>
      <c r="C24" s="349"/>
      <c r="D24" s="345"/>
      <c r="E24" s="346"/>
      <c r="F24" s="47"/>
      <c r="G24" s="81"/>
      <c r="H24" s="81"/>
      <c r="I24" s="81"/>
      <c r="J24" s="82"/>
      <c r="K24" s="125"/>
      <c r="L24" s="82"/>
      <c r="M24" s="125"/>
      <c r="N24" s="82"/>
      <c r="O24" s="82"/>
      <c r="P24" s="82"/>
      <c r="Q24" s="82"/>
      <c r="R24" s="82"/>
      <c r="S24" s="125"/>
      <c r="T24" s="82"/>
      <c r="U24" s="82"/>
      <c r="V24" s="82"/>
      <c r="W24" s="82"/>
      <c r="X24" s="82"/>
      <c r="Y24" s="82"/>
      <c r="Z24" s="82"/>
      <c r="AA24" s="125"/>
      <c r="AB24" s="82"/>
      <c r="AC24" s="82"/>
      <c r="AD24" s="125"/>
      <c r="AE24" s="82"/>
      <c r="AF24" s="125"/>
      <c r="AG24" s="321"/>
      <c r="AH24" s="2"/>
      <c r="AI24" s="299"/>
      <c r="AJ24" s="2"/>
      <c r="AK24" s="280"/>
      <c r="AL24" s="347"/>
      <c r="AN24" s="313" t="s">
        <v>336</v>
      </c>
      <c r="AO24"/>
      <c r="AP24" s="138"/>
      <c r="AQ24" s="349"/>
      <c r="AR24" s="345"/>
      <c r="AS24" s="346"/>
      <c r="AT24" s="47"/>
      <c r="AU24" s="81"/>
      <c r="AV24" s="81"/>
      <c r="AW24" s="81"/>
      <c r="AX24" s="82"/>
      <c r="AY24" s="125"/>
      <c r="AZ24" s="82"/>
      <c r="BA24" s="125"/>
      <c r="BB24" s="82"/>
      <c r="BC24" s="82"/>
      <c r="BD24" s="82"/>
      <c r="BE24" s="82"/>
      <c r="BF24" s="82"/>
      <c r="BG24" s="125"/>
      <c r="BH24" s="82"/>
      <c r="BI24" s="82"/>
      <c r="BJ24" s="82"/>
      <c r="BK24" s="82"/>
      <c r="BL24" s="82"/>
      <c r="BM24" s="82"/>
      <c r="BN24" s="82"/>
      <c r="BO24" s="125"/>
      <c r="BP24" s="82"/>
      <c r="BQ24" s="82"/>
      <c r="BR24" s="125"/>
      <c r="BS24" s="82"/>
      <c r="BT24" s="125"/>
      <c r="BU24" s="321"/>
      <c r="BV24" s="2"/>
      <c r="BW24" s="299"/>
      <c r="BX24" s="2"/>
      <c r="BY24"/>
      <c r="BZ24" s="3"/>
      <c r="CA24" s="138"/>
      <c r="CB24" s="349"/>
      <c r="CC24" s="406"/>
      <c r="CD24" s="407"/>
      <c r="CE24" s="234"/>
      <c r="CF24" s="373"/>
      <c r="CG24" s="81"/>
      <c r="CH24" s="81"/>
      <c r="CI24" s="82"/>
      <c r="CJ24" s="125"/>
      <c r="CK24" s="82"/>
      <c r="CL24" s="125"/>
      <c r="CM24" s="82"/>
      <c r="CN24" s="82"/>
      <c r="CO24" s="82"/>
      <c r="CP24" s="82"/>
      <c r="CQ24" s="82"/>
      <c r="CR24" s="125"/>
      <c r="CS24" s="82"/>
      <c r="CT24" s="82"/>
      <c r="CU24" s="82"/>
      <c r="CV24" s="82"/>
      <c r="CW24" s="82"/>
      <c r="CX24" s="82"/>
      <c r="CY24" s="82"/>
      <c r="CZ24" s="125"/>
      <c r="DA24" s="82"/>
      <c r="DB24" s="82"/>
      <c r="DC24" s="125"/>
      <c r="DD24" s="82"/>
      <c r="DE24" s="125"/>
      <c r="DF24" s="321"/>
      <c r="DG24" s="2"/>
      <c r="DH24" s="299"/>
    </row>
    <row r="25" spans="1:112" s="1" customFormat="1" ht="12.5">
      <c r="A25" s="3"/>
      <c r="B25" s="138">
        <v>192</v>
      </c>
      <c r="C25" s="348" t="str">
        <f>INDEX(ActT,56,ActLangID)</f>
        <v>Overbruggingskrediet</v>
      </c>
      <c r="D25" s="426">
        <v>5.86</v>
      </c>
      <c r="E25" s="166">
        <f t="shared" ref="E25" si="126">D25</f>
        <v>5.86</v>
      </c>
      <c r="F25" s="47">
        <f t="shared" ref="F25" si="127">ROUND((POWER(1+D25/100,1/12)-1)*12*100,3)</f>
        <v>5.7080000000000002</v>
      </c>
      <c r="G25" s="81">
        <v>3.3845422272777137</v>
      </c>
      <c r="H25" s="81">
        <v>0</v>
      </c>
      <c r="I25" s="81">
        <v>0</v>
      </c>
      <c r="J25" s="287">
        <v>-0.2</v>
      </c>
      <c r="K25" s="125">
        <f>F25-G25-H25+I25+J25</f>
        <v>2.1234577727222863</v>
      </c>
      <c r="L25" s="193">
        <v>-0.11885745537469949</v>
      </c>
      <c r="M25" s="125">
        <f t="shared" si="12"/>
        <v>2.0046003173475868</v>
      </c>
      <c r="N25" s="342">
        <v>4.9195000000000003E-3</v>
      </c>
      <c r="O25" s="342">
        <v>0</v>
      </c>
      <c r="P25" s="342">
        <v>0</v>
      </c>
      <c r="Q25" s="342">
        <v>0</v>
      </c>
      <c r="R25" s="82">
        <f t="shared" ref="R25" si="128">SUM(N25:Q25)</f>
        <v>4.9195000000000003E-3</v>
      </c>
      <c r="S25" s="125">
        <f t="shared" ref="S25:S26" si="129">M25+R25</f>
        <v>2.009519817347587</v>
      </c>
      <c r="T25" s="342">
        <v>0</v>
      </c>
      <c r="U25" s="342">
        <v>0</v>
      </c>
      <c r="V25" s="342">
        <v>0</v>
      </c>
      <c r="W25" s="342" t="s">
        <v>393</v>
      </c>
      <c r="X25" s="358" t="s">
        <v>393</v>
      </c>
      <c r="Y25" s="211">
        <f t="shared" si="89"/>
        <v>0</v>
      </c>
      <c r="Z25" s="342">
        <v>-0.01</v>
      </c>
      <c r="AA25" s="125">
        <f>SUM(S25:T25,Y25:Z25)</f>
        <v>1.999519817347587</v>
      </c>
      <c r="AB25" s="442">
        <v>-8.3500000000000005E-2</v>
      </c>
      <c r="AC25" s="442">
        <v>-1.5899999999999997E-2</v>
      </c>
      <c r="AD25" s="125">
        <f t="shared" si="66"/>
        <v>1.9001198173475871</v>
      </c>
      <c r="AE25" s="442">
        <v>-4.3900000000000002E-2</v>
      </c>
      <c r="AF25" s="125">
        <f t="shared" si="67"/>
        <v>1.856219817347587</v>
      </c>
      <c r="AG25" s="320">
        <v>-0.22</v>
      </c>
      <c r="AH25" s="23"/>
      <c r="AI25" s="83">
        <v>1</v>
      </c>
      <c r="AJ25" s="23"/>
      <c r="AK25" s="351">
        <v>12</v>
      </c>
      <c r="AL25" s="85">
        <v>236300</v>
      </c>
      <c r="AN25" s="83">
        <v>8.4740743626507048E-2</v>
      </c>
      <c r="AO25"/>
      <c r="AP25" s="138"/>
      <c r="AQ25" s="348"/>
      <c r="AR25" s="356"/>
      <c r="AS25" s="346"/>
      <c r="AT25" s="47"/>
      <c r="AU25" s="81"/>
      <c r="AV25" s="81"/>
      <c r="AW25" s="81"/>
      <c r="AX25" s="287"/>
      <c r="AY25" s="125"/>
      <c r="AZ25" s="193"/>
      <c r="BA25" s="125"/>
      <c r="BB25" s="358"/>
      <c r="BC25" s="358"/>
      <c r="BD25" s="358"/>
      <c r="BE25" s="358"/>
      <c r="BF25" s="82"/>
      <c r="BG25" s="125"/>
      <c r="BH25" s="358"/>
      <c r="BI25" s="358"/>
      <c r="BJ25" s="358"/>
      <c r="BK25" s="358"/>
      <c r="BL25" s="358"/>
      <c r="BM25" s="211"/>
      <c r="BN25" s="358"/>
      <c r="BO25" s="125"/>
      <c r="BP25" s="442"/>
      <c r="BQ25" s="442"/>
      <c r="BR25" s="125"/>
      <c r="BS25" s="442"/>
      <c r="BT25" s="125"/>
      <c r="BU25" s="320"/>
      <c r="BV25" s="23"/>
      <c r="BW25" s="83"/>
      <c r="BX25" s="23"/>
      <c r="BY25"/>
      <c r="BZ25" s="3"/>
      <c r="CA25" s="138">
        <f t="shared" ref="CA25:CF25" si="130">B25</f>
        <v>192</v>
      </c>
      <c r="CB25" s="348" t="str">
        <f t="shared" si="130"/>
        <v>Overbruggingskrediet</v>
      </c>
      <c r="CC25" s="372">
        <f t="shared" si="130"/>
        <v>5.86</v>
      </c>
      <c r="CD25" s="231">
        <f t="shared" si="130"/>
        <v>5.86</v>
      </c>
      <c r="CE25" s="234">
        <f t="shared" si="130"/>
        <v>5.7080000000000002</v>
      </c>
      <c r="CF25" s="373">
        <f t="shared" si="130"/>
        <v>3.3845422272777137</v>
      </c>
      <c r="CG25" s="81">
        <v>0</v>
      </c>
      <c r="CH25" s="81">
        <v>0</v>
      </c>
      <c r="CI25" s="374">
        <f>J25</f>
        <v>-0.2</v>
      </c>
      <c r="CJ25" s="125">
        <f>CE25-CF25-CG25+CH25+CI25</f>
        <v>2.1234577727222863</v>
      </c>
      <c r="CK25" s="234">
        <f>L25</f>
        <v>-0.11885745537469949</v>
      </c>
      <c r="CL25" s="125">
        <f t="shared" ref="CL25" si="131">SUM(CJ25:CK25)</f>
        <v>2.0046003173475868</v>
      </c>
      <c r="CM25" s="211">
        <f>N25</f>
        <v>4.9195000000000003E-3</v>
      </c>
      <c r="CN25" s="211">
        <f>O25</f>
        <v>0</v>
      </c>
      <c r="CO25" s="211">
        <f>P25</f>
        <v>0</v>
      </c>
      <c r="CP25" s="211">
        <f>Q25</f>
        <v>0</v>
      </c>
      <c r="CQ25" s="82">
        <f t="shared" ref="CQ25" si="132">SUM(CM25:CP25)</f>
        <v>4.9195000000000003E-3</v>
      </c>
      <c r="CR25" s="125">
        <f t="shared" ref="CR25:CR26" si="133">CL25+CQ25</f>
        <v>2.009519817347587</v>
      </c>
      <c r="CS25" s="211">
        <f>T25</f>
        <v>0</v>
      </c>
      <c r="CT25" s="211">
        <f>U25</f>
        <v>0</v>
      </c>
      <c r="CU25" s="211">
        <f>V25</f>
        <v>0</v>
      </c>
      <c r="CV25" s="211" t="str">
        <f>W25</f>
        <v>-</v>
      </c>
      <c r="CW25" s="211" t="str">
        <f>X25</f>
        <v>-</v>
      </c>
      <c r="CX25" s="211">
        <f t="shared" ref="CX25" si="134">SUM(CT25:CW25)</f>
        <v>0</v>
      </c>
      <c r="CY25" s="211">
        <f>Z25</f>
        <v>-0.01</v>
      </c>
      <c r="CZ25" s="125">
        <f>SUM(CR25:CS25,CX25:CY25)</f>
        <v>1.999519817347587</v>
      </c>
      <c r="DA25" s="211">
        <f t="shared" ref="DA25" si="135">AB25</f>
        <v>-8.3500000000000005E-2</v>
      </c>
      <c r="DB25" s="211">
        <f t="shared" ref="DB25" si="136">AC25</f>
        <v>-1.5899999999999997E-2</v>
      </c>
      <c r="DC25" s="125">
        <f t="shared" si="85"/>
        <v>1.9001198173475871</v>
      </c>
      <c r="DD25" s="211">
        <f t="shared" ref="DD25" si="137">AE25</f>
        <v>-4.3900000000000002E-2</v>
      </c>
      <c r="DE25" s="125">
        <f t="shared" si="87"/>
        <v>1.856219817347587</v>
      </c>
      <c r="DF25" s="375">
        <f>AG25</f>
        <v>-0.22</v>
      </c>
      <c r="DG25" s="23"/>
      <c r="DH25" s="83">
        <v>1</v>
      </c>
    </row>
    <row r="26" spans="1:112" s="1" customFormat="1" ht="12.5">
      <c r="A26" s="3"/>
      <c r="B26" s="138"/>
      <c r="C26" s="89" t="str">
        <f>INDEX(ActT,5,ActLangID)&amp;INDEX(ActT,29,ActLangID)</f>
        <v>WK Totaal: brutomarges gewogen met %aandeel</v>
      </c>
      <c r="D26" s="133"/>
      <c r="E26" s="169"/>
      <c r="F26" s="48"/>
      <c r="G26" s="49"/>
      <c r="H26" s="49"/>
      <c r="I26" s="49"/>
      <c r="J26" s="30">
        <f>SUM(SUMPRODUCT(J7:J22,$AN$7:$AN$22),SUMPRODUCT(J25,$AN$25))</f>
        <v>-1.7082020892300298</v>
      </c>
      <c r="K26" s="127">
        <f>SUM(SUMPRODUCT(K7:K22,$AN$7:$AN$22),SUMPRODUCT(K25,$AN$25))</f>
        <v>0.60020033785914295</v>
      </c>
      <c r="L26" s="30">
        <f>SUM(SUMPRODUCT(L7:L22,$AN$7:$AN$22),SUMPRODUCT(L25,$AN$25))</f>
        <v>-0.88197649062239158</v>
      </c>
      <c r="M26" s="127">
        <f t="shared" ref="M26" si="138">SUM(K26:L26)</f>
        <v>-0.28177615276324863</v>
      </c>
      <c r="N26" s="30">
        <f>SUM(SUMPRODUCT(N7:N22,$AN$7:$AN$22),SUMPRODUCT(N25,$AN$25))</f>
        <v>-1.8844209543125212E-2</v>
      </c>
      <c r="O26" s="30">
        <f>SUM(SUMPRODUCT(O7:O22,$AN$7:$AN$22),SUMPRODUCT(O25,$AN$25))</f>
        <v>-2.4105083146123412E-4</v>
      </c>
      <c r="P26" s="30">
        <f>SUM(SUMPRODUCT(P7:P22,$AN$7:$AN$22),SUMPRODUCT(P25,$AN$25))</f>
        <v>-0.21799967295548223</v>
      </c>
      <c r="Q26" s="30">
        <f>SUM(SUMPRODUCT(Q7:Q22,$AN$7:$AN$22),SUMPRODUCT(Q25,$AN$25))</f>
        <v>1.41655972279207E-2</v>
      </c>
      <c r="R26" s="30">
        <f t="shared" ref="R26" si="139">SUM(N26:Q26)</f>
        <v>-0.22291933610214795</v>
      </c>
      <c r="S26" s="127">
        <f t="shared" si="129"/>
        <v>-0.50469548886539661</v>
      </c>
      <c r="T26" s="30">
        <f>SUM(SUMPRODUCT(T7:T22,$AN$7:$AN$22),SUMPRODUCT(T25,$AN$25))</f>
        <v>3.0333913734110377E-2</v>
      </c>
      <c r="U26" s="30">
        <f>SUM(SUMPRODUCT(U7:U22,$AN$7:$AN$22),SUMPRODUCT(U25,$AN$25))</f>
        <v>-5.2828515585710493E-2</v>
      </c>
      <c r="V26" s="30">
        <f>SUM(SUMPRODUCT(V7:V22,$AN$7:$AN$22),SUMPRODUCT(V25,$AN$25))</f>
        <v>-2.1503390054438409E-2</v>
      </c>
      <c r="W26" s="30" t="s">
        <v>393</v>
      </c>
      <c r="X26" s="30" t="s">
        <v>393</v>
      </c>
      <c r="Y26" s="30">
        <f>SUM(U26:X26)</f>
        <v>-7.433190564014891E-2</v>
      </c>
      <c r="Z26" s="30">
        <f>SUM(SUMPRODUCT(Z7:Z22,$AN$7:$AN$22),SUMPRODUCT(Z25,$AN$25))</f>
        <v>-0.01</v>
      </c>
      <c r="AA26" s="127">
        <f>SUM(S26:T26,Y26:Z26)</f>
        <v>-0.55869348077143521</v>
      </c>
      <c r="AB26" s="30">
        <f t="shared" ref="AB26:AC26" si="140">SUM(SUMPRODUCT(AB7:AB22,$AN$7:$AN$22),SUMPRODUCT(AB25,$AN$25))</f>
        <v>-1.8936721687503259E-2</v>
      </c>
      <c r="AC26" s="30">
        <f t="shared" si="140"/>
        <v>-5.6676825480512873E-2</v>
      </c>
      <c r="AD26" s="127">
        <f t="shared" ref="AD26" si="141">SUM(AA26:AC26)</f>
        <v>-0.63430702793945137</v>
      </c>
      <c r="AE26" s="30">
        <f>SUM(SUMPRODUCT(AE7:AE22,$AN$7:$AN$22),SUMPRODUCT(AE25,$AN$25))</f>
        <v>-0.15646699051327462</v>
      </c>
      <c r="AF26" s="127">
        <f t="shared" ref="AF26" si="142">SUM(AD26:AE26)</f>
        <v>-0.79077401845272599</v>
      </c>
      <c r="AG26" s="326">
        <f t="shared" ref="AG26" si="143">SUM(SUMPRODUCT(AG7:AG22,$AN$7:$AN$22),SUMPRODUCT(AG25,$AN$25))</f>
        <v>-0.33636376405352786</v>
      </c>
      <c r="AH26" s="2"/>
      <c r="AI26" s="245" t="s">
        <v>107</v>
      </c>
      <c r="AJ26" s="2"/>
      <c r="AK26" s="90"/>
      <c r="AL26" s="91"/>
      <c r="AN26" s="142">
        <f>SUM(AN7:AN25)</f>
        <v>1</v>
      </c>
      <c r="AO26"/>
      <c r="AP26" s="138"/>
      <c r="AQ26" s="349"/>
      <c r="AR26" s="390"/>
      <c r="AS26" s="346"/>
      <c r="AT26" s="47"/>
      <c r="AU26" s="81"/>
      <c r="AV26" s="81"/>
      <c r="AW26" s="81"/>
      <c r="AX26" s="82"/>
      <c r="AY26" s="125"/>
      <c r="AZ26" s="82"/>
      <c r="BA26" s="125"/>
      <c r="BB26" s="82"/>
      <c r="BC26" s="82"/>
      <c r="BD26" s="82"/>
      <c r="BE26" s="82"/>
      <c r="BF26" s="82"/>
      <c r="BG26" s="125"/>
      <c r="BH26" s="82"/>
      <c r="BI26" s="82"/>
      <c r="BJ26" s="82"/>
      <c r="BK26" s="82"/>
      <c r="BL26" s="82"/>
      <c r="BM26" s="82"/>
      <c r="BN26" s="82"/>
      <c r="BO26" s="125"/>
      <c r="BP26" s="82"/>
      <c r="BQ26" s="82"/>
      <c r="BR26" s="125"/>
      <c r="BS26" s="82"/>
      <c r="BT26" s="125"/>
      <c r="BU26" s="321"/>
      <c r="BV26" s="2"/>
      <c r="BW26" s="391"/>
      <c r="BX26" s="2"/>
      <c r="BZ26" s="3"/>
      <c r="CA26" s="138"/>
      <c r="CB26" s="89" t="str">
        <f t="shared" ref="CB26:CB44" si="144">C26</f>
        <v>WK Totaal: brutomarges gewogen met %aandeel</v>
      </c>
      <c r="CC26" s="408"/>
      <c r="CD26" s="403"/>
      <c r="CE26" s="404"/>
      <c r="CF26" s="405"/>
      <c r="CG26" s="49"/>
      <c r="CH26" s="49"/>
      <c r="CI26" s="30">
        <f>SUM(SUMPRODUCT(CI7:CI22,$AN$7:$AN$22),SUMPRODUCT(CI25,$AN$25))</f>
        <v>-1.7082020892300298</v>
      </c>
      <c r="CJ26" s="127">
        <f>SUM(SUMPRODUCT(CJ7:CJ22,$AN$7:$AN$22),SUMPRODUCT(CJ25,$AN$25))</f>
        <v>0.59605816419171365</v>
      </c>
      <c r="CK26" s="30">
        <f>SUM(SUMPRODUCT(CK7:CK22,$AN$7:$AN$22),SUMPRODUCT(CK25,$AN$25))</f>
        <v>-0.88197649062239158</v>
      </c>
      <c r="CL26" s="127">
        <f t="shared" ref="CL26" si="145">SUM(CJ26:CK26)</f>
        <v>-0.28591832643067794</v>
      </c>
      <c r="CM26" s="30">
        <f>SUM(SUMPRODUCT(CM7:CM22,$AN$7:$AN$22),SUMPRODUCT(CM25,$AN$25))</f>
        <v>-1.8844209543125212E-2</v>
      </c>
      <c r="CN26" s="30">
        <f>SUM(SUMPRODUCT(CN7:CN22,$AN$7:$AN$22),SUMPRODUCT(CN25,$AN$25))</f>
        <v>-2.4105083146123412E-4</v>
      </c>
      <c r="CO26" s="30">
        <f>SUM(SUMPRODUCT(CO7:CO22,$AN$7:$AN$22),SUMPRODUCT(CO25,$AN$25))</f>
        <v>-0.21799967295548223</v>
      </c>
      <c r="CP26" s="30">
        <f>SUM(SUMPRODUCT(CP7:CP22,$AN$7:$AN$22),SUMPRODUCT(CP25,$AN$25))</f>
        <v>1.41655972279207E-2</v>
      </c>
      <c r="CQ26" s="30">
        <f t="shared" ref="CQ26" si="146">SUM(CM26:CP26)</f>
        <v>-0.22291933610214795</v>
      </c>
      <c r="CR26" s="127">
        <f t="shared" si="133"/>
        <v>-0.50883766253282592</v>
      </c>
      <c r="CS26" s="30">
        <f>SUM(SUMPRODUCT(CS7:CS22,$AN$7:$AN$22),SUMPRODUCT(CS25,$AN$25))</f>
        <v>3.0333913734110377E-2</v>
      </c>
      <c r="CT26" s="30">
        <f t="shared" ref="CT26:CU26" si="147">SUM(SUMPRODUCT(CT7:CT22,$AN$7:$AN$22),SUMPRODUCT(CT25,$AN$25))</f>
        <v>-5.2828515585710493E-2</v>
      </c>
      <c r="CU26" s="30">
        <f t="shared" si="147"/>
        <v>-2.1503390054438409E-2</v>
      </c>
      <c r="CV26" s="30" t="str">
        <f>W26</f>
        <v>-</v>
      </c>
      <c r="CW26" s="30" t="str">
        <f>X26</f>
        <v>-</v>
      </c>
      <c r="CX26" s="30">
        <f>SUM(CT26:CW26)</f>
        <v>-7.433190564014891E-2</v>
      </c>
      <c r="CY26" s="30">
        <f>SUM(SUMPRODUCT(CY7:CY22,$AN$7:$AN$22),SUMPRODUCT(CY25,$AN$25))</f>
        <v>-0.01</v>
      </c>
      <c r="CZ26" s="127">
        <f>SUM(CR26:CS26,CX26:CY26)</f>
        <v>-0.56283565443886441</v>
      </c>
      <c r="DA26" s="30">
        <f t="shared" ref="DA26" si="148">SUM(SUMPRODUCT(DA7:DA22,$AN$7:$AN$22),SUMPRODUCT(DA25,$AN$25))</f>
        <v>-1.8936721687503259E-2</v>
      </c>
      <c r="DB26" s="30">
        <f t="shared" ref="DB26" si="149">SUM(SUMPRODUCT(DB7:DB22,$AN$7:$AN$22),SUMPRODUCT(DB25,$AN$25))</f>
        <v>-5.6676825480512873E-2</v>
      </c>
      <c r="DC26" s="127">
        <f t="shared" ref="DC26" si="150">SUM(CZ26:DB26)</f>
        <v>-0.63844920160688057</v>
      </c>
      <c r="DD26" s="30">
        <f>SUM(SUMPRODUCT(DD7:DD22,$AN$7:$AN$22),SUMPRODUCT(DD25,$AN$25))</f>
        <v>-0.15646699051327462</v>
      </c>
      <c r="DE26" s="127">
        <f t="shared" ref="DE26" si="151">SUM(DC26:DD26)</f>
        <v>-0.79491619212015519</v>
      </c>
      <c r="DF26" s="326">
        <f>SUM(SUMPRODUCT(DF7:DF22,$AN$7:$AN$22),SUMPRODUCT(DF25,$AN$25))</f>
        <v>-0.33636376405352786</v>
      </c>
      <c r="DG26" s="2"/>
      <c r="DH26" s="245" t="s">
        <v>107</v>
      </c>
    </row>
    <row r="27" spans="1:112" s="1" customFormat="1" ht="12.5">
      <c r="A27" s="3"/>
      <c r="B27" s="138"/>
      <c r="C27" s="92"/>
      <c r="D27" s="181"/>
      <c r="E27" s="170"/>
      <c r="F27" s="50"/>
      <c r="G27" s="51"/>
      <c r="H27" s="370"/>
      <c r="I27" s="370"/>
      <c r="J27" s="105"/>
      <c r="K27" s="294"/>
      <c r="L27" s="104"/>
      <c r="M27" s="294"/>
      <c r="N27" s="486"/>
      <c r="O27" s="487"/>
      <c r="P27" s="487"/>
      <c r="Q27" s="293"/>
      <c r="R27" s="293"/>
      <c r="S27" s="429"/>
      <c r="T27" s="29"/>
      <c r="U27" s="29"/>
      <c r="V27" s="29"/>
      <c r="W27" s="29"/>
      <c r="X27" s="29"/>
      <c r="Y27" s="29"/>
      <c r="Z27" s="29"/>
      <c r="AA27" s="126"/>
      <c r="AB27" s="443"/>
      <c r="AC27" s="443"/>
      <c r="AD27" s="401"/>
      <c r="AE27" s="443"/>
      <c r="AF27" s="401"/>
      <c r="AG27" s="325"/>
      <c r="AH27" s="2"/>
      <c r="AI27" s="93"/>
      <c r="AJ27" s="2"/>
      <c r="AK27" s="94"/>
      <c r="AL27" s="95"/>
      <c r="AN27" s="283" t="str">
        <f>INDEX(ActT,7,ActLangID)&amp;" Tot"</f>
        <v>Immo/Equi4Pro Tot</v>
      </c>
      <c r="AO27"/>
      <c r="AP27" s="138"/>
      <c r="AQ27" s="92"/>
      <c r="AR27" s="181"/>
      <c r="AS27" s="170"/>
      <c r="AT27" s="50"/>
      <c r="AU27" s="51"/>
      <c r="AV27" s="370"/>
      <c r="AW27" s="370"/>
      <c r="AX27" s="105"/>
      <c r="AY27" s="294"/>
      <c r="AZ27" s="104"/>
      <c r="BA27" s="294"/>
      <c r="BB27" s="462">
        <v>-0.13500000000000001</v>
      </c>
      <c r="BC27" s="463"/>
      <c r="BD27" s="463"/>
      <c r="BE27" s="428">
        <v>0.01</v>
      </c>
      <c r="BF27" s="371"/>
      <c r="BG27" s="295"/>
      <c r="BH27" s="371"/>
      <c r="BI27" s="371"/>
      <c r="BJ27" s="371"/>
      <c r="BK27" s="371"/>
      <c r="BL27" s="371"/>
      <c r="BM27" s="371"/>
      <c r="BN27" s="371"/>
      <c r="BO27" s="126"/>
      <c r="BP27" s="443"/>
      <c r="BQ27" s="443"/>
      <c r="BR27" s="401"/>
      <c r="BS27" s="443"/>
      <c r="BT27" s="401"/>
      <c r="BU27" s="325"/>
      <c r="BV27" s="2"/>
      <c r="BW27" s="93"/>
      <c r="BX27" s="2"/>
      <c r="BY27" s="283" t="str">
        <f>INDEX(ActT,7,ActLangID)&amp;" Tot"</f>
        <v>Immo/Equi4Pro Tot</v>
      </c>
      <c r="BZ27" s="3"/>
      <c r="CA27" s="138"/>
      <c r="CB27" s="92"/>
      <c r="CC27" s="409"/>
      <c r="CD27" s="410"/>
      <c r="CE27" s="378"/>
      <c r="CF27" s="379"/>
      <c r="CG27" s="370"/>
      <c r="CH27" s="370"/>
      <c r="CI27" s="105"/>
      <c r="CJ27" s="294"/>
      <c r="CK27" s="104"/>
      <c r="CL27" s="294"/>
      <c r="CM27" s="462"/>
      <c r="CN27" s="463"/>
      <c r="CO27" s="463"/>
      <c r="CP27" s="392"/>
      <c r="CQ27" s="392"/>
      <c r="CR27" s="295"/>
      <c r="CS27" s="392"/>
      <c r="CT27" s="392"/>
      <c r="CU27" s="392"/>
      <c r="CV27" s="392"/>
      <c r="CW27" s="392"/>
      <c r="CX27" s="392"/>
      <c r="CY27" s="392"/>
      <c r="CZ27" s="126"/>
      <c r="DA27" s="443"/>
      <c r="DB27" s="443"/>
      <c r="DC27" s="401"/>
      <c r="DD27" s="443"/>
      <c r="DE27" s="401"/>
      <c r="DF27" s="325"/>
      <c r="DG27" s="2"/>
      <c r="DH27" s="93"/>
    </row>
    <row r="28" spans="1:112" s="1" customFormat="1" ht="13">
      <c r="B28" s="136"/>
      <c r="C28" s="156" t="s">
        <v>327</v>
      </c>
      <c r="D28" s="179"/>
      <c r="E28" s="171"/>
      <c r="F28" s="52"/>
      <c r="G28" s="49"/>
      <c r="H28" s="81"/>
      <c r="I28" s="81"/>
      <c r="J28" s="288"/>
      <c r="K28" s="123"/>
      <c r="L28" s="52"/>
      <c r="M28" s="127"/>
      <c r="N28" s="36"/>
      <c r="O28" s="36"/>
      <c r="P28" s="36"/>
      <c r="Q28" s="76"/>
      <c r="R28" s="75"/>
      <c r="S28" s="125"/>
      <c r="T28" s="37"/>
      <c r="U28" s="74"/>
      <c r="V28" s="74"/>
      <c r="W28" s="74"/>
      <c r="X28" s="74"/>
      <c r="Y28" s="74"/>
      <c r="Z28" s="75"/>
      <c r="AA28" s="125"/>
      <c r="AB28" s="74"/>
      <c r="AC28" s="74"/>
      <c r="AD28" s="125"/>
      <c r="AE28" s="74"/>
      <c r="AF28" s="125"/>
      <c r="AG28" s="319"/>
      <c r="AH28" s="23"/>
      <c r="AI28" s="353">
        <v>202311</v>
      </c>
      <c r="AJ28" s="23"/>
      <c r="AK28" s="488"/>
      <c r="AL28" s="489"/>
      <c r="AN28" s="63">
        <f>AI28</f>
        <v>202311</v>
      </c>
      <c r="AO28"/>
      <c r="AP28" s="136"/>
      <c r="AQ28" s="156" t="str">
        <f t="shared" ref="AQ28:AQ44" si="152">C28</f>
        <v>Immo4Pro Private</v>
      </c>
      <c r="AR28" s="179"/>
      <c r="AS28" s="171"/>
      <c r="AT28" s="52"/>
      <c r="AU28" s="49"/>
      <c r="AV28" s="81"/>
      <c r="AW28" s="81"/>
      <c r="AX28" s="288"/>
      <c r="AY28" s="123"/>
      <c r="AZ28" s="52"/>
      <c r="BA28" s="127"/>
      <c r="BB28" s="36"/>
      <c r="BC28" s="36"/>
      <c r="BD28" s="36"/>
      <c r="BE28" s="76"/>
      <c r="BF28" s="75"/>
      <c r="BG28" s="125"/>
      <c r="BH28" s="37"/>
      <c r="BI28" s="74"/>
      <c r="BJ28" s="74"/>
      <c r="BK28" s="74"/>
      <c r="BL28" s="74"/>
      <c r="BM28" s="74"/>
      <c r="BN28" s="75"/>
      <c r="BO28" s="125"/>
      <c r="BP28" s="74"/>
      <c r="BQ28" s="74"/>
      <c r="BR28" s="125"/>
      <c r="BS28" s="74"/>
      <c r="BT28" s="125"/>
      <c r="BU28" s="319"/>
      <c r="BV28" s="23"/>
      <c r="BW28" s="350">
        <f>AI28</f>
        <v>202311</v>
      </c>
      <c r="BX28" s="23"/>
      <c r="BY28" s="63">
        <f>AI28</f>
        <v>202311</v>
      </c>
      <c r="CA28" s="136"/>
      <c r="CB28" s="156" t="str">
        <f t="shared" si="144"/>
        <v>Immo4Pro Private</v>
      </c>
      <c r="CC28" s="224"/>
      <c r="CD28" s="411"/>
      <c r="CE28" s="412"/>
      <c r="CF28" s="405"/>
      <c r="CG28" s="81"/>
      <c r="CH28" s="81"/>
      <c r="CI28" s="288"/>
      <c r="CJ28" s="123"/>
      <c r="CK28" s="52"/>
      <c r="CL28" s="127"/>
      <c r="CM28" s="36"/>
      <c r="CN28" s="36"/>
      <c r="CO28" s="36"/>
      <c r="CP28" s="76"/>
      <c r="CQ28" s="75"/>
      <c r="CR28" s="125"/>
      <c r="CS28" s="37"/>
      <c r="CT28" s="74"/>
      <c r="CU28" s="74"/>
      <c r="CV28" s="74"/>
      <c r="CW28" s="74"/>
      <c r="CX28" s="74"/>
      <c r="CY28" s="75"/>
      <c r="CZ28" s="125"/>
      <c r="DA28" s="74"/>
      <c r="DB28" s="74"/>
      <c r="DC28" s="125"/>
      <c r="DD28" s="74"/>
      <c r="DE28" s="125"/>
      <c r="DF28" s="319"/>
      <c r="DG28" s="23"/>
      <c r="DH28" s="350">
        <f>AI28</f>
        <v>202311</v>
      </c>
    </row>
    <row r="29" spans="1:112" s="1" customFormat="1" ht="13">
      <c r="B29" s="136">
        <v>202</v>
      </c>
      <c r="C29" s="97" t="str">
        <f>" 01/1/1"</f>
        <v xml:space="preserve"> 01/1/1</v>
      </c>
      <c r="D29" s="356">
        <v>5.8</v>
      </c>
      <c r="E29" s="166">
        <f>ROUND((POWER(ROUND(1+D29/1200,5),12)-1)*100,4)</f>
        <v>5.9524999999999997</v>
      </c>
      <c r="F29" s="53">
        <f>D29</f>
        <v>5.8</v>
      </c>
      <c r="G29" s="81">
        <v>3.4945273405483079</v>
      </c>
      <c r="H29" s="81">
        <v>0</v>
      </c>
      <c r="I29" s="81">
        <v>0</v>
      </c>
      <c r="J29" s="287">
        <v>0</v>
      </c>
      <c r="K29" s="125">
        <f t="shared" ref="K29:K35" si="153">F29-G29-H29+I29+J29</f>
        <v>2.3054726594516919</v>
      </c>
      <c r="L29" s="195">
        <v>-2.5773125873427283E-3</v>
      </c>
      <c r="M29" s="125">
        <f t="shared" si="12"/>
        <v>2.3028953468643492</v>
      </c>
      <c r="N29" s="98">
        <v>0</v>
      </c>
      <c r="O29" s="98">
        <v>0</v>
      </c>
      <c r="P29" s="40">
        <v>0</v>
      </c>
      <c r="Q29" s="40">
        <v>6.4899999999999999E-2</v>
      </c>
      <c r="R29" s="82">
        <f t="shared" si="88"/>
        <v>6.4899999999999999E-2</v>
      </c>
      <c r="S29" s="125">
        <f t="shared" si="13"/>
        <v>2.3677953468643493</v>
      </c>
      <c r="T29" s="40">
        <v>0.36899999999999999</v>
      </c>
      <c r="U29" s="40">
        <v>-1.1429</v>
      </c>
      <c r="V29" s="40">
        <v>-0.58910000000000007</v>
      </c>
      <c r="W29" s="358" t="s">
        <v>393</v>
      </c>
      <c r="X29" s="358" t="s">
        <v>393</v>
      </c>
      <c r="Y29" s="211">
        <f t="shared" ref="Y29:Y35" si="154">SUM(U29:X29)</f>
        <v>-1.7320000000000002</v>
      </c>
      <c r="Z29" s="41">
        <v>-0.08</v>
      </c>
      <c r="AA29" s="125">
        <f t="shared" ref="AA29:AA35" si="155">SUM(S29:T29,Y29:Z29)</f>
        <v>0.92479534686434939</v>
      </c>
      <c r="AB29" s="442">
        <v>-0.85629999999999995</v>
      </c>
      <c r="AC29" s="442">
        <v>-4.1800000000000004E-2</v>
      </c>
      <c r="AD29" s="125">
        <f t="shared" ref="AD29:AD74" si="156">SUM(AA29:AC29)</f>
        <v>2.6695346864349434E-2</v>
      </c>
      <c r="AE29" s="442">
        <v>-0.15059999999999998</v>
      </c>
      <c r="AF29" s="125">
        <f t="shared" ref="AF29:AF74" si="157">SUM(AD29:AE29)</f>
        <v>-0.12390465313565055</v>
      </c>
      <c r="AG29" s="320">
        <v>-0.33</v>
      </c>
      <c r="AI29" s="83">
        <v>0</v>
      </c>
      <c r="AK29" s="332">
        <v>12</v>
      </c>
      <c r="AL29" s="427">
        <v>275000</v>
      </c>
      <c r="AN29" s="83">
        <v>0</v>
      </c>
      <c r="AO29"/>
      <c r="AP29" s="213">
        <f t="shared" ref="AP29:AP35" si="158">B29</f>
        <v>202</v>
      </c>
      <c r="AQ29" s="384" t="str">
        <f t="shared" si="152"/>
        <v xml:space="preserve"> 01/1/1</v>
      </c>
      <c r="AR29" s="372">
        <f t="shared" ref="AR29:AU35" si="159">D29</f>
        <v>5.8</v>
      </c>
      <c r="AS29" s="231">
        <f t="shared" si="159"/>
        <v>5.9524999999999997</v>
      </c>
      <c r="AT29" s="385">
        <f t="shared" si="159"/>
        <v>5.8</v>
      </c>
      <c r="AU29" s="373">
        <f t="shared" si="159"/>
        <v>3.4945273405483079</v>
      </c>
      <c r="AV29" s="382">
        <v>-2.5052899999999999E-2</v>
      </c>
      <c r="AW29" s="382">
        <v>6.6929000000000002E-2</v>
      </c>
      <c r="AX29" s="374">
        <f t="shared" ref="AX29:AX35" si="160">J29</f>
        <v>0</v>
      </c>
      <c r="AY29" s="208">
        <f t="shared" ref="AY29:AY35" si="161">AT29-AU29-AV29+AW29+AX29</f>
        <v>2.3974545594516918</v>
      </c>
      <c r="AZ29" s="385">
        <f t="shared" ref="AZ29:AZ35" si="162">L29</f>
        <v>-2.5773125873427283E-3</v>
      </c>
      <c r="BA29" s="208">
        <f t="shared" ref="BA29:BA35" si="163">SUM(AY29:AZ29)</f>
        <v>2.3948772468643491</v>
      </c>
      <c r="BB29" s="386">
        <f t="shared" ref="BB29:BE35" si="164">N29</f>
        <v>0</v>
      </c>
      <c r="BC29" s="386">
        <f t="shared" si="164"/>
        <v>0</v>
      </c>
      <c r="BD29" s="211">
        <f t="shared" si="164"/>
        <v>0</v>
      </c>
      <c r="BE29" s="211">
        <f t="shared" si="164"/>
        <v>6.4899999999999999E-2</v>
      </c>
      <c r="BF29" s="211">
        <f t="shared" ref="BF29:BF35" si="165">SUM(BB29:BE29)</f>
        <v>6.4899999999999999E-2</v>
      </c>
      <c r="BG29" s="208">
        <f t="shared" ref="BG29:BG35" si="166">BA29+BF29</f>
        <v>2.4597772468643493</v>
      </c>
      <c r="BH29" s="211">
        <f t="shared" ref="BH29:BL35" si="167">T29</f>
        <v>0.36899999999999999</v>
      </c>
      <c r="BI29" s="211">
        <f t="shared" si="167"/>
        <v>-1.1429</v>
      </c>
      <c r="BJ29" s="211">
        <f t="shared" si="167"/>
        <v>-0.58910000000000007</v>
      </c>
      <c r="BK29" s="211" t="str">
        <f t="shared" si="167"/>
        <v>-</v>
      </c>
      <c r="BL29" s="211" t="str">
        <f t="shared" si="167"/>
        <v>-</v>
      </c>
      <c r="BM29" s="211">
        <f t="shared" ref="BM29:BM35" si="168">SUM(BI29:BL29)</f>
        <v>-1.7320000000000002</v>
      </c>
      <c r="BN29" s="387">
        <f t="shared" ref="BN29:BN35" si="169">Z29</f>
        <v>-0.08</v>
      </c>
      <c r="BO29" s="208">
        <f t="shared" ref="BO29:BO35" si="170">SUM(BG29:BH29,BM29:BN29)</f>
        <v>1.0167772468643488</v>
      </c>
      <c r="BP29" s="211">
        <f t="shared" ref="BP29:BP43" si="171">AB29</f>
        <v>-0.85629999999999995</v>
      </c>
      <c r="BQ29" s="211">
        <f t="shared" ref="BQ29:BQ43" si="172">AC29</f>
        <v>-4.1800000000000004E-2</v>
      </c>
      <c r="BR29" s="125">
        <f t="shared" ref="BR29:BR35" si="173">SUM(BO29:BQ29)</f>
        <v>0.11867724686434883</v>
      </c>
      <c r="BS29" s="211">
        <f t="shared" ref="BS29:BS43" si="174">AE29</f>
        <v>-0.15059999999999998</v>
      </c>
      <c r="BT29" s="125">
        <f t="shared" ref="BT29:BT35" si="175">SUM(BR29:BS29)</f>
        <v>-3.1922753135651155E-2</v>
      </c>
      <c r="BU29" s="375">
        <f t="shared" ref="BU29:BU35" si="176">AG29</f>
        <v>-0.33</v>
      </c>
      <c r="BW29" s="83">
        <v>0</v>
      </c>
      <c r="BY29" s="83">
        <v>0</v>
      </c>
      <c r="CA29" s="136">
        <f t="shared" ref="CA29:CA35" si="177">B29</f>
        <v>202</v>
      </c>
      <c r="CB29" s="97" t="str">
        <f t="shared" si="144"/>
        <v xml:space="preserve"> 01/1/1</v>
      </c>
      <c r="CC29" s="372">
        <f t="shared" ref="CC29:CF35" si="178">D29</f>
        <v>5.8</v>
      </c>
      <c r="CD29" s="231">
        <f t="shared" si="178"/>
        <v>5.9524999999999997</v>
      </c>
      <c r="CE29" s="385">
        <f t="shared" si="178"/>
        <v>5.8</v>
      </c>
      <c r="CF29" s="373">
        <f t="shared" si="178"/>
        <v>3.4945273405483079</v>
      </c>
      <c r="CG29" s="373">
        <f t="shared" ref="CG29:CH35" si="179">AV29*$BY29</f>
        <v>0</v>
      </c>
      <c r="CH29" s="373">
        <f t="shared" si="179"/>
        <v>0</v>
      </c>
      <c r="CI29" s="374">
        <f t="shared" ref="CI29:CI35" si="180">J29</f>
        <v>0</v>
      </c>
      <c r="CJ29" s="125">
        <f t="shared" ref="CJ29:CJ35" si="181">CE29-CF29-CG29+CH29+CI29</f>
        <v>2.3054726594516919</v>
      </c>
      <c r="CK29" s="385">
        <f t="shared" ref="CK29:CK35" si="182">L29</f>
        <v>-2.5773125873427283E-3</v>
      </c>
      <c r="CL29" s="125">
        <f t="shared" ref="CL29:CL31" si="183">SUM(CJ29:CK29)</f>
        <v>2.3028953468643492</v>
      </c>
      <c r="CM29" s="386">
        <f t="shared" ref="CM29:CP35" si="184">N29</f>
        <v>0</v>
      </c>
      <c r="CN29" s="386">
        <f t="shared" si="184"/>
        <v>0</v>
      </c>
      <c r="CO29" s="211">
        <f t="shared" si="184"/>
        <v>0</v>
      </c>
      <c r="CP29" s="211">
        <f t="shared" si="184"/>
        <v>6.4899999999999999E-2</v>
      </c>
      <c r="CQ29" s="82">
        <f t="shared" ref="CQ29:CQ31" si="185">SUM(CM29:CP29)</f>
        <v>6.4899999999999999E-2</v>
      </c>
      <c r="CR29" s="125">
        <f t="shared" ref="CR29:CR35" si="186">CL29+CQ29</f>
        <v>2.3677953468643493</v>
      </c>
      <c r="CS29" s="211">
        <f t="shared" ref="CS29:CW35" si="187">T29</f>
        <v>0.36899999999999999</v>
      </c>
      <c r="CT29" s="211">
        <f t="shared" si="187"/>
        <v>-1.1429</v>
      </c>
      <c r="CU29" s="211">
        <f t="shared" si="187"/>
        <v>-0.58910000000000007</v>
      </c>
      <c r="CV29" s="211" t="str">
        <f t="shared" si="187"/>
        <v>-</v>
      </c>
      <c r="CW29" s="211" t="str">
        <f t="shared" si="187"/>
        <v>-</v>
      </c>
      <c r="CX29" s="211">
        <f t="shared" ref="CX29:CX35" si="188">SUM(CT29:CW29)</f>
        <v>-1.7320000000000002</v>
      </c>
      <c r="CY29" s="387">
        <f t="shared" ref="CY29:CY35" si="189">Z29</f>
        <v>-0.08</v>
      </c>
      <c r="CZ29" s="125">
        <f t="shared" ref="CZ29:CZ35" si="190">SUM(CR29:CS29,CX29:CY29)</f>
        <v>0.92479534686434939</v>
      </c>
      <c r="DA29" s="211">
        <f t="shared" ref="DA29" si="191">AB29</f>
        <v>-0.85629999999999995</v>
      </c>
      <c r="DB29" s="211">
        <f t="shared" ref="DB29" si="192">AC29</f>
        <v>-4.1800000000000004E-2</v>
      </c>
      <c r="DC29" s="125">
        <f t="shared" ref="DC29:DC35" si="193">SUM(CZ29:DB29)</f>
        <v>2.6695346864349434E-2</v>
      </c>
      <c r="DD29" s="211">
        <f t="shared" ref="DD29:DD43" si="194">AE29</f>
        <v>-0.15059999999999998</v>
      </c>
      <c r="DE29" s="125">
        <f t="shared" ref="DE29:DE35" si="195">SUM(DC29:DD29)</f>
        <v>-0.12390465313565055</v>
      </c>
      <c r="DF29" s="375">
        <f t="shared" ref="DF29:DF35" si="196">AG29</f>
        <v>-0.33</v>
      </c>
      <c r="DH29" s="83">
        <v>0</v>
      </c>
    </row>
    <row r="30" spans="1:112" s="1" customFormat="1" ht="12.5">
      <c r="B30" s="136">
        <v>212</v>
      </c>
      <c r="C30" s="100" t="str">
        <f>" 05/5/5"</f>
        <v xml:space="preserve"> 05/5/5</v>
      </c>
      <c r="D30" s="356">
        <v>5.5</v>
      </c>
      <c r="E30" s="166">
        <f t="shared" ref="E30:E35" si="197">ROUND((POWER(ROUND(1+D30/1200,5),12)-1)*100,4)</f>
        <v>5.6365999999999996</v>
      </c>
      <c r="F30" s="53">
        <f t="shared" ref="F30:F35" si="198">D30</f>
        <v>5.5</v>
      </c>
      <c r="G30" s="81">
        <v>2.8598326899080679</v>
      </c>
      <c r="H30" s="81">
        <v>0</v>
      </c>
      <c r="I30" s="81">
        <v>0</v>
      </c>
      <c r="J30" s="287">
        <v>0</v>
      </c>
      <c r="K30" s="125">
        <f t="shared" si="153"/>
        <v>2.6401673100919321</v>
      </c>
      <c r="L30" s="195">
        <v>-0.89135222033003592</v>
      </c>
      <c r="M30" s="125">
        <f t="shared" si="12"/>
        <v>1.7488150897618961</v>
      </c>
      <c r="N30" s="98">
        <v>0</v>
      </c>
      <c r="O30" s="98">
        <v>0</v>
      </c>
      <c r="P30" s="40">
        <v>-5.3414960000000004E-2</v>
      </c>
      <c r="Q30" s="40">
        <v>7.0300000000000001E-2</v>
      </c>
      <c r="R30" s="82">
        <f t="shared" si="88"/>
        <v>1.6885039999999997E-2</v>
      </c>
      <c r="S30" s="125">
        <f t="shared" si="13"/>
        <v>1.7657001297618962</v>
      </c>
      <c r="T30" s="40">
        <v>0.65570000000000006</v>
      </c>
      <c r="U30" s="40">
        <v>-0.2437</v>
      </c>
      <c r="V30" s="40">
        <v>-0.12559999999999999</v>
      </c>
      <c r="W30" s="358" t="s">
        <v>393</v>
      </c>
      <c r="X30" s="358" t="s">
        <v>393</v>
      </c>
      <c r="Y30" s="211">
        <f t="shared" si="154"/>
        <v>-0.36929999999999996</v>
      </c>
      <c r="Z30" s="41">
        <v>-0.08</v>
      </c>
      <c r="AA30" s="125">
        <f t="shared" si="155"/>
        <v>1.9721001297618961</v>
      </c>
      <c r="AB30" s="442">
        <v>-3.3477999999999999</v>
      </c>
      <c r="AC30" s="442">
        <v>-0.84489999999999998</v>
      </c>
      <c r="AD30" s="125">
        <f t="shared" si="156"/>
        <v>-2.2205998702381038</v>
      </c>
      <c r="AE30" s="442">
        <v>-3.0450999999999997</v>
      </c>
      <c r="AF30" s="125">
        <f t="shared" si="157"/>
        <v>-5.2656998702381035</v>
      </c>
      <c r="AG30" s="320">
        <v>-0.33</v>
      </c>
      <c r="AI30" s="83">
        <v>0</v>
      </c>
      <c r="AK30" s="84">
        <v>60</v>
      </c>
      <c r="AL30" s="99">
        <v>15000</v>
      </c>
      <c r="AM30" s="3"/>
      <c r="AN30" s="83">
        <v>0</v>
      </c>
      <c r="AO30"/>
      <c r="AP30" s="213">
        <f t="shared" si="158"/>
        <v>212</v>
      </c>
      <c r="AQ30" s="388" t="str">
        <f t="shared" si="152"/>
        <v xml:space="preserve"> 05/5/5</v>
      </c>
      <c r="AR30" s="372">
        <f t="shared" si="159"/>
        <v>5.5</v>
      </c>
      <c r="AS30" s="231">
        <f t="shared" si="159"/>
        <v>5.6365999999999996</v>
      </c>
      <c r="AT30" s="385">
        <f t="shared" si="159"/>
        <v>5.5</v>
      </c>
      <c r="AU30" s="373">
        <f t="shared" si="159"/>
        <v>2.8598326899080679</v>
      </c>
      <c r="AV30" s="382">
        <v>-2.5536500000000004E-2</v>
      </c>
      <c r="AW30" s="382">
        <v>6.6929000000000002E-2</v>
      </c>
      <c r="AX30" s="374">
        <f t="shared" si="160"/>
        <v>0</v>
      </c>
      <c r="AY30" s="208">
        <f t="shared" si="161"/>
        <v>2.7326328100919319</v>
      </c>
      <c r="AZ30" s="385">
        <f t="shared" si="162"/>
        <v>-0.89135222033003592</v>
      </c>
      <c r="BA30" s="208">
        <f t="shared" si="163"/>
        <v>1.841280589761896</v>
      </c>
      <c r="BB30" s="386">
        <f t="shared" si="164"/>
        <v>0</v>
      </c>
      <c r="BC30" s="386">
        <f t="shared" si="164"/>
        <v>0</v>
      </c>
      <c r="BD30" s="211">
        <f t="shared" si="164"/>
        <v>-5.3414960000000004E-2</v>
      </c>
      <c r="BE30" s="211">
        <f t="shared" si="164"/>
        <v>7.0300000000000001E-2</v>
      </c>
      <c r="BF30" s="211">
        <f t="shared" si="165"/>
        <v>1.6885039999999997E-2</v>
      </c>
      <c r="BG30" s="208">
        <f t="shared" si="166"/>
        <v>1.858165629761896</v>
      </c>
      <c r="BH30" s="211">
        <f t="shared" si="167"/>
        <v>0.65570000000000006</v>
      </c>
      <c r="BI30" s="211">
        <f t="shared" si="167"/>
        <v>-0.2437</v>
      </c>
      <c r="BJ30" s="211">
        <f t="shared" si="167"/>
        <v>-0.12559999999999999</v>
      </c>
      <c r="BK30" s="211" t="str">
        <f t="shared" si="167"/>
        <v>-</v>
      </c>
      <c r="BL30" s="211" t="str">
        <f t="shared" si="167"/>
        <v>-</v>
      </c>
      <c r="BM30" s="211">
        <f t="shared" si="168"/>
        <v>-0.36929999999999996</v>
      </c>
      <c r="BN30" s="387">
        <f t="shared" si="169"/>
        <v>-0.08</v>
      </c>
      <c r="BO30" s="208">
        <f t="shared" si="170"/>
        <v>2.0645656297618959</v>
      </c>
      <c r="BP30" s="211">
        <f t="shared" si="171"/>
        <v>-3.3477999999999999</v>
      </c>
      <c r="BQ30" s="211">
        <f t="shared" si="172"/>
        <v>-0.84489999999999998</v>
      </c>
      <c r="BR30" s="125">
        <f t="shared" si="173"/>
        <v>-2.1281343702381039</v>
      </c>
      <c r="BS30" s="211">
        <f t="shared" si="174"/>
        <v>-3.0450999999999997</v>
      </c>
      <c r="BT30" s="125">
        <f t="shared" si="175"/>
        <v>-5.1732343702381041</v>
      </c>
      <c r="BU30" s="375">
        <f t="shared" si="176"/>
        <v>-0.33</v>
      </c>
      <c r="BW30" s="83">
        <v>0</v>
      </c>
      <c r="BY30" s="83">
        <v>0</v>
      </c>
      <c r="CA30" s="136">
        <f t="shared" si="177"/>
        <v>212</v>
      </c>
      <c r="CB30" s="100" t="str">
        <f t="shared" si="144"/>
        <v xml:space="preserve"> 05/5/5</v>
      </c>
      <c r="CC30" s="372">
        <f t="shared" si="178"/>
        <v>5.5</v>
      </c>
      <c r="CD30" s="231">
        <f t="shared" si="178"/>
        <v>5.6365999999999996</v>
      </c>
      <c r="CE30" s="385">
        <f t="shared" si="178"/>
        <v>5.5</v>
      </c>
      <c r="CF30" s="373">
        <f t="shared" si="178"/>
        <v>2.8598326899080679</v>
      </c>
      <c r="CG30" s="373">
        <f t="shared" si="179"/>
        <v>0</v>
      </c>
      <c r="CH30" s="373">
        <f t="shared" si="179"/>
        <v>0</v>
      </c>
      <c r="CI30" s="374">
        <f t="shared" si="180"/>
        <v>0</v>
      </c>
      <c r="CJ30" s="125">
        <f t="shared" si="181"/>
        <v>2.6401673100919321</v>
      </c>
      <c r="CK30" s="385">
        <f t="shared" si="182"/>
        <v>-0.89135222033003592</v>
      </c>
      <c r="CL30" s="125">
        <f t="shared" si="183"/>
        <v>1.7488150897618961</v>
      </c>
      <c r="CM30" s="386">
        <f t="shared" si="184"/>
        <v>0</v>
      </c>
      <c r="CN30" s="386">
        <f t="shared" si="184"/>
        <v>0</v>
      </c>
      <c r="CO30" s="211">
        <f t="shared" si="184"/>
        <v>-5.3414960000000004E-2</v>
      </c>
      <c r="CP30" s="211">
        <f t="shared" si="184"/>
        <v>7.0300000000000001E-2</v>
      </c>
      <c r="CQ30" s="82">
        <f t="shared" si="185"/>
        <v>1.6885039999999997E-2</v>
      </c>
      <c r="CR30" s="125">
        <f t="shared" si="186"/>
        <v>1.7657001297618962</v>
      </c>
      <c r="CS30" s="211">
        <f t="shared" si="187"/>
        <v>0.65570000000000006</v>
      </c>
      <c r="CT30" s="211">
        <f t="shared" si="187"/>
        <v>-0.2437</v>
      </c>
      <c r="CU30" s="211">
        <f t="shared" si="187"/>
        <v>-0.12559999999999999</v>
      </c>
      <c r="CV30" s="211" t="str">
        <f t="shared" si="187"/>
        <v>-</v>
      </c>
      <c r="CW30" s="211" t="str">
        <f t="shared" si="187"/>
        <v>-</v>
      </c>
      <c r="CX30" s="211">
        <f t="shared" si="188"/>
        <v>-0.36929999999999996</v>
      </c>
      <c r="CY30" s="387">
        <f t="shared" si="189"/>
        <v>-0.08</v>
      </c>
      <c r="CZ30" s="125">
        <f t="shared" si="190"/>
        <v>1.9721001297618961</v>
      </c>
      <c r="DA30" s="211">
        <f t="shared" ref="DA30:DA43" si="199">AB30</f>
        <v>-3.3477999999999999</v>
      </c>
      <c r="DB30" s="211">
        <f t="shared" ref="DB30:DB43" si="200">AC30</f>
        <v>-0.84489999999999998</v>
      </c>
      <c r="DC30" s="125">
        <f t="shared" si="193"/>
        <v>-2.2205998702381038</v>
      </c>
      <c r="DD30" s="211">
        <f t="shared" si="194"/>
        <v>-3.0450999999999997</v>
      </c>
      <c r="DE30" s="125">
        <f t="shared" si="195"/>
        <v>-5.2656998702381035</v>
      </c>
      <c r="DF30" s="375">
        <f t="shared" si="196"/>
        <v>-0.33</v>
      </c>
      <c r="DH30" s="83">
        <v>0</v>
      </c>
    </row>
    <row r="31" spans="1:112" s="3" customFormat="1" ht="12.5">
      <c r="A31" s="1"/>
      <c r="B31" s="136">
        <v>222</v>
      </c>
      <c r="C31" s="100" t="str">
        <f>" 10/5/5"</f>
        <v xml:space="preserve"> 10/5/5</v>
      </c>
      <c r="D31" s="356">
        <v>5.3</v>
      </c>
      <c r="E31" s="166">
        <f t="shared" si="197"/>
        <v>5.4348999999999998</v>
      </c>
      <c r="F31" s="53">
        <f t="shared" si="198"/>
        <v>5.3</v>
      </c>
      <c r="G31" s="81">
        <v>2.6652421746407802</v>
      </c>
      <c r="H31" s="81">
        <v>0</v>
      </c>
      <c r="I31" s="81">
        <v>0</v>
      </c>
      <c r="J31" s="287">
        <v>0</v>
      </c>
      <c r="K31" s="125">
        <f t="shared" si="153"/>
        <v>2.6347578253592197</v>
      </c>
      <c r="L31" s="195">
        <v>-1.101894409823809</v>
      </c>
      <c r="M31" s="125">
        <f t="shared" si="12"/>
        <v>1.5328634155354106</v>
      </c>
      <c r="N31" s="98">
        <v>0</v>
      </c>
      <c r="O31" s="98">
        <v>0</v>
      </c>
      <c r="P31" s="40">
        <v>-0.12964408000000002</v>
      </c>
      <c r="Q31" s="40">
        <v>6.8999999999999992E-2</v>
      </c>
      <c r="R31" s="82">
        <f t="shared" si="88"/>
        <v>-6.0644080000000031E-2</v>
      </c>
      <c r="S31" s="125">
        <f t="shared" si="13"/>
        <v>1.4722193355354105</v>
      </c>
      <c r="T31" s="40">
        <v>6.8400000000000002E-2</v>
      </c>
      <c r="U31" s="40">
        <v>-0.12359999999999999</v>
      </c>
      <c r="V31" s="40">
        <v>-6.3699999999999993E-2</v>
      </c>
      <c r="W31" s="358" t="s">
        <v>393</v>
      </c>
      <c r="X31" s="358" t="s">
        <v>393</v>
      </c>
      <c r="Y31" s="211">
        <f t="shared" si="154"/>
        <v>-0.18729999999999997</v>
      </c>
      <c r="Z31" s="41">
        <v>-0.08</v>
      </c>
      <c r="AA31" s="125">
        <f t="shared" si="155"/>
        <v>1.2733193355354104</v>
      </c>
      <c r="AB31" s="442">
        <v>-0.3493</v>
      </c>
      <c r="AC31" s="442">
        <v>-0.18409999999999999</v>
      </c>
      <c r="AD31" s="125">
        <f t="shared" si="156"/>
        <v>0.73991933553541056</v>
      </c>
      <c r="AE31" s="442">
        <v>-0.66339999999999999</v>
      </c>
      <c r="AF31" s="125">
        <f t="shared" si="157"/>
        <v>7.6519335535410571E-2</v>
      </c>
      <c r="AG31" s="320">
        <v>-0.33</v>
      </c>
      <c r="AH31" s="1"/>
      <c r="AI31" s="83">
        <v>0</v>
      </c>
      <c r="AJ31" s="1"/>
      <c r="AK31" s="84">
        <v>120</v>
      </c>
      <c r="AL31" s="99">
        <v>72900</v>
      </c>
      <c r="AN31" s="83">
        <v>0</v>
      </c>
      <c r="AO31"/>
      <c r="AP31" s="213">
        <f t="shared" si="158"/>
        <v>222</v>
      </c>
      <c r="AQ31" s="388" t="str">
        <f t="shared" si="152"/>
        <v xml:space="preserve"> 10/5/5</v>
      </c>
      <c r="AR31" s="372">
        <f t="shared" si="159"/>
        <v>5.3</v>
      </c>
      <c r="AS31" s="231">
        <f t="shared" si="159"/>
        <v>5.4348999999999998</v>
      </c>
      <c r="AT31" s="385">
        <f t="shared" si="159"/>
        <v>5.3</v>
      </c>
      <c r="AU31" s="373">
        <f t="shared" si="159"/>
        <v>2.6652421746407802</v>
      </c>
      <c r="AV31" s="382">
        <v>-5.8689999999999992E-3</v>
      </c>
      <c r="AW31" s="382">
        <v>5.7342999999999998E-2</v>
      </c>
      <c r="AX31" s="374">
        <f t="shared" si="160"/>
        <v>0</v>
      </c>
      <c r="AY31" s="208">
        <f t="shared" si="161"/>
        <v>2.6979698253592197</v>
      </c>
      <c r="AZ31" s="385">
        <f t="shared" si="162"/>
        <v>-1.101894409823809</v>
      </c>
      <c r="BA31" s="208">
        <f t="shared" si="163"/>
        <v>1.5960754155354107</v>
      </c>
      <c r="BB31" s="386">
        <f t="shared" si="164"/>
        <v>0</v>
      </c>
      <c r="BC31" s="386">
        <f t="shared" si="164"/>
        <v>0</v>
      </c>
      <c r="BD31" s="211">
        <f t="shared" si="164"/>
        <v>-0.12964408000000002</v>
      </c>
      <c r="BE31" s="211">
        <f t="shared" si="164"/>
        <v>6.8999999999999992E-2</v>
      </c>
      <c r="BF31" s="211">
        <f t="shared" si="165"/>
        <v>-6.0644080000000031E-2</v>
      </c>
      <c r="BG31" s="208">
        <f t="shared" si="166"/>
        <v>1.5354313355354106</v>
      </c>
      <c r="BH31" s="211">
        <f t="shared" si="167"/>
        <v>6.8400000000000002E-2</v>
      </c>
      <c r="BI31" s="211">
        <f t="shared" si="167"/>
        <v>-0.12359999999999999</v>
      </c>
      <c r="BJ31" s="211">
        <f t="shared" si="167"/>
        <v>-6.3699999999999993E-2</v>
      </c>
      <c r="BK31" s="211" t="str">
        <f t="shared" si="167"/>
        <v>-</v>
      </c>
      <c r="BL31" s="211" t="str">
        <f t="shared" si="167"/>
        <v>-</v>
      </c>
      <c r="BM31" s="211">
        <f t="shared" si="168"/>
        <v>-0.18729999999999997</v>
      </c>
      <c r="BN31" s="387">
        <f t="shared" si="169"/>
        <v>-0.08</v>
      </c>
      <c r="BO31" s="208">
        <f t="shared" si="170"/>
        <v>1.3365313355354105</v>
      </c>
      <c r="BP31" s="211">
        <f t="shared" si="171"/>
        <v>-0.3493</v>
      </c>
      <c r="BQ31" s="211">
        <f t="shared" si="172"/>
        <v>-0.18409999999999999</v>
      </c>
      <c r="BR31" s="125">
        <f t="shared" si="173"/>
        <v>0.80313133553541061</v>
      </c>
      <c r="BS31" s="211">
        <f t="shared" si="174"/>
        <v>-0.66339999999999999</v>
      </c>
      <c r="BT31" s="125">
        <f t="shared" si="175"/>
        <v>0.13973133553541062</v>
      </c>
      <c r="BU31" s="375">
        <f t="shared" si="176"/>
        <v>-0.33</v>
      </c>
      <c r="BV31" s="1"/>
      <c r="BW31" s="83">
        <v>0</v>
      </c>
      <c r="BX31" s="1"/>
      <c r="BY31" s="83">
        <v>0</v>
      </c>
      <c r="BZ31" s="1"/>
      <c r="CA31" s="136">
        <f t="shared" si="177"/>
        <v>222</v>
      </c>
      <c r="CB31" s="100" t="str">
        <f t="shared" si="144"/>
        <v xml:space="preserve"> 10/5/5</v>
      </c>
      <c r="CC31" s="372">
        <f t="shared" si="178"/>
        <v>5.3</v>
      </c>
      <c r="CD31" s="231">
        <f t="shared" si="178"/>
        <v>5.4348999999999998</v>
      </c>
      <c r="CE31" s="385">
        <f t="shared" si="178"/>
        <v>5.3</v>
      </c>
      <c r="CF31" s="373">
        <f t="shared" si="178"/>
        <v>2.6652421746407802</v>
      </c>
      <c r="CG31" s="373">
        <f t="shared" si="179"/>
        <v>0</v>
      </c>
      <c r="CH31" s="373">
        <f t="shared" si="179"/>
        <v>0</v>
      </c>
      <c r="CI31" s="374">
        <f t="shared" si="180"/>
        <v>0</v>
      </c>
      <c r="CJ31" s="125">
        <f t="shared" si="181"/>
        <v>2.6347578253592197</v>
      </c>
      <c r="CK31" s="385">
        <f t="shared" si="182"/>
        <v>-1.101894409823809</v>
      </c>
      <c r="CL31" s="125">
        <f t="shared" si="183"/>
        <v>1.5328634155354106</v>
      </c>
      <c r="CM31" s="386">
        <f t="shared" si="184"/>
        <v>0</v>
      </c>
      <c r="CN31" s="386">
        <f t="shared" si="184"/>
        <v>0</v>
      </c>
      <c r="CO31" s="211">
        <f t="shared" si="184"/>
        <v>-0.12964408000000002</v>
      </c>
      <c r="CP31" s="211">
        <f t="shared" si="184"/>
        <v>6.8999999999999992E-2</v>
      </c>
      <c r="CQ31" s="82">
        <f t="shared" si="185"/>
        <v>-6.0644080000000031E-2</v>
      </c>
      <c r="CR31" s="125">
        <f t="shared" si="186"/>
        <v>1.4722193355354105</v>
      </c>
      <c r="CS31" s="211">
        <f t="shared" si="187"/>
        <v>6.8400000000000002E-2</v>
      </c>
      <c r="CT31" s="211">
        <f t="shared" si="187"/>
        <v>-0.12359999999999999</v>
      </c>
      <c r="CU31" s="211">
        <f t="shared" si="187"/>
        <v>-6.3699999999999993E-2</v>
      </c>
      <c r="CV31" s="211" t="str">
        <f t="shared" si="187"/>
        <v>-</v>
      </c>
      <c r="CW31" s="211" t="str">
        <f t="shared" si="187"/>
        <v>-</v>
      </c>
      <c r="CX31" s="211">
        <f t="shared" si="188"/>
        <v>-0.18729999999999997</v>
      </c>
      <c r="CY31" s="387">
        <f t="shared" si="189"/>
        <v>-0.08</v>
      </c>
      <c r="CZ31" s="125">
        <f t="shared" si="190"/>
        <v>1.2733193355354104</v>
      </c>
      <c r="DA31" s="211">
        <f t="shared" si="199"/>
        <v>-0.3493</v>
      </c>
      <c r="DB31" s="211">
        <f t="shared" si="200"/>
        <v>-0.18409999999999999</v>
      </c>
      <c r="DC31" s="125">
        <f t="shared" si="193"/>
        <v>0.73991933553541056</v>
      </c>
      <c r="DD31" s="211">
        <f t="shared" si="194"/>
        <v>-0.66339999999999999</v>
      </c>
      <c r="DE31" s="125">
        <f t="shared" si="195"/>
        <v>7.6519335535410571E-2</v>
      </c>
      <c r="DF31" s="375">
        <f t="shared" si="196"/>
        <v>-0.33</v>
      </c>
      <c r="DG31" s="1"/>
      <c r="DH31" s="83">
        <v>0</v>
      </c>
    </row>
    <row r="32" spans="1:112" s="3" customFormat="1" ht="12.5">
      <c r="A32" s="1"/>
      <c r="B32" s="136">
        <v>232</v>
      </c>
      <c r="C32" s="86" t="str">
        <f>" 05 "&amp;INDEX(ActT,10,ActLangID)</f>
        <v xml:space="preserve"> 05 jaar vast</v>
      </c>
      <c r="D32" s="356">
        <v>5.45</v>
      </c>
      <c r="E32" s="166">
        <f t="shared" ref="E32" si="201">ROUND((POWER(ROUND(1+D32/1200,5),12)-1)*100,4)</f>
        <v>5.5861000000000001</v>
      </c>
      <c r="F32" s="53">
        <f t="shared" ref="F32" si="202">D32</f>
        <v>5.45</v>
      </c>
      <c r="G32" s="81">
        <v>2.9120324685319026</v>
      </c>
      <c r="H32" s="81">
        <v>0</v>
      </c>
      <c r="I32" s="81">
        <v>0</v>
      </c>
      <c r="J32" s="287">
        <v>-1.03</v>
      </c>
      <c r="K32" s="125">
        <f t="shared" si="153"/>
        <v>1.5079675314680976</v>
      </c>
      <c r="L32" s="195">
        <v>-0.84557435012047311</v>
      </c>
      <c r="M32" s="125">
        <f t="shared" ref="M32" si="203">SUM(K32:L32)</f>
        <v>0.66239318134762448</v>
      </c>
      <c r="N32" s="98">
        <v>0</v>
      </c>
      <c r="O32" s="98">
        <v>0</v>
      </c>
      <c r="P32" s="286">
        <v>-4.5441599999999999E-2</v>
      </c>
      <c r="Q32" s="286">
        <v>5.5800000000000002E-2</v>
      </c>
      <c r="R32" s="82">
        <f t="shared" ref="R32" si="204">SUM(N32:Q32)</f>
        <v>1.0358400000000004E-2</v>
      </c>
      <c r="S32" s="125">
        <f t="shared" ref="S32" si="205">M32+R32</f>
        <v>0.67275158134762447</v>
      </c>
      <c r="T32" s="286">
        <v>0.23170000000000002</v>
      </c>
      <c r="U32" s="286">
        <v>-0.27729999999999999</v>
      </c>
      <c r="V32" s="286">
        <v>-0.1429</v>
      </c>
      <c r="W32" s="358" t="s">
        <v>393</v>
      </c>
      <c r="X32" s="358" t="s">
        <v>393</v>
      </c>
      <c r="Y32" s="211">
        <f t="shared" si="154"/>
        <v>-0.42020000000000002</v>
      </c>
      <c r="Z32" s="41">
        <v>-0.08</v>
      </c>
      <c r="AA32" s="125">
        <f t="shared" si="155"/>
        <v>0.40425158134762446</v>
      </c>
      <c r="AB32" s="442">
        <v>-1.1828999999999998</v>
      </c>
      <c r="AC32" s="442">
        <v>-0.26250000000000001</v>
      </c>
      <c r="AD32" s="125">
        <f t="shared" si="156"/>
        <v>-1.0411484186523754</v>
      </c>
      <c r="AE32" s="442">
        <v>-0.94610000000000005</v>
      </c>
      <c r="AF32" s="125">
        <f t="shared" si="157"/>
        <v>-1.9872484186523756</v>
      </c>
      <c r="AG32" s="320">
        <v>-0.33</v>
      </c>
      <c r="AH32" s="1"/>
      <c r="AI32" s="83">
        <v>6.7754346921846287E-4</v>
      </c>
      <c r="AJ32" s="1"/>
      <c r="AK32" s="280">
        <v>53</v>
      </c>
      <c r="AL32" s="99">
        <v>48300</v>
      </c>
      <c r="AN32" s="83">
        <v>6.3461894663798815E-4</v>
      </c>
      <c r="AO32"/>
      <c r="AP32" s="213">
        <f t="shared" si="158"/>
        <v>232</v>
      </c>
      <c r="AQ32" s="376" t="str">
        <f t="shared" si="152"/>
        <v xml:space="preserve"> 05 jaar vast</v>
      </c>
      <c r="AR32" s="372">
        <f t="shared" si="159"/>
        <v>5.45</v>
      </c>
      <c r="AS32" s="231">
        <f t="shared" si="159"/>
        <v>5.5861000000000001</v>
      </c>
      <c r="AT32" s="385">
        <f t="shared" si="159"/>
        <v>5.45</v>
      </c>
      <c r="AU32" s="373">
        <f t="shared" si="159"/>
        <v>2.9120324685319026</v>
      </c>
      <c r="AV32" s="382">
        <v>3.7371300000000003E-2</v>
      </c>
      <c r="AW32" s="382">
        <v>0.18606300000000001</v>
      </c>
      <c r="AX32" s="374">
        <f t="shared" si="160"/>
        <v>-1.03</v>
      </c>
      <c r="AY32" s="208">
        <f t="shared" si="161"/>
        <v>1.6566592314680972</v>
      </c>
      <c r="AZ32" s="385">
        <f t="shared" si="162"/>
        <v>-0.84557435012047311</v>
      </c>
      <c r="BA32" s="208">
        <f t="shared" si="163"/>
        <v>0.81108488134762413</v>
      </c>
      <c r="BB32" s="386">
        <f t="shared" si="164"/>
        <v>0</v>
      </c>
      <c r="BC32" s="386">
        <f t="shared" si="164"/>
        <v>0</v>
      </c>
      <c r="BD32" s="211">
        <f t="shared" si="164"/>
        <v>-4.5441599999999999E-2</v>
      </c>
      <c r="BE32" s="211">
        <f t="shared" si="164"/>
        <v>5.5800000000000002E-2</v>
      </c>
      <c r="BF32" s="211">
        <f t="shared" si="165"/>
        <v>1.0358400000000004E-2</v>
      </c>
      <c r="BG32" s="208">
        <f t="shared" si="166"/>
        <v>0.82144328134762412</v>
      </c>
      <c r="BH32" s="211">
        <f t="shared" si="167"/>
        <v>0.23170000000000002</v>
      </c>
      <c r="BI32" s="211">
        <f t="shared" si="167"/>
        <v>-0.27729999999999999</v>
      </c>
      <c r="BJ32" s="211">
        <f t="shared" si="167"/>
        <v>-0.1429</v>
      </c>
      <c r="BK32" s="211" t="str">
        <f t="shared" si="167"/>
        <v>-</v>
      </c>
      <c r="BL32" s="211" t="str">
        <f t="shared" si="167"/>
        <v>-</v>
      </c>
      <c r="BM32" s="211">
        <f t="shared" si="168"/>
        <v>-0.42020000000000002</v>
      </c>
      <c r="BN32" s="387">
        <f t="shared" si="169"/>
        <v>-0.08</v>
      </c>
      <c r="BO32" s="208">
        <f t="shared" si="170"/>
        <v>0.55294328134762427</v>
      </c>
      <c r="BP32" s="211">
        <f>AB32</f>
        <v>-1.1828999999999998</v>
      </c>
      <c r="BQ32" s="211">
        <f t="shared" si="172"/>
        <v>-0.26250000000000001</v>
      </c>
      <c r="BR32" s="125">
        <f t="shared" si="173"/>
        <v>-0.89245671865237552</v>
      </c>
      <c r="BS32" s="211">
        <f t="shared" si="174"/>
        <v>-0.94610000000000005</v>
      </c>
      <c r="BT32" s="125">
        <f t="shared" si="175"/>
        <v>-1.8385567186523755</v>
      </c>
      <c r="BU32" s="375">
        <f t="shared" si="176"/>
        <v>-0.33</v>
      </c>
      <c r="BV32" s="1"/>
      <c r="BW32" s="83">
        <v>1.7641080922280769E-3</v>
      </c>
      <c r="BX32" s="1"/>
      <c r="BY32" s="83">
        <v>0.73802204020575746</v>
      </c>
      <c r="BZ32" s="1"/>
      <c r="CA32" s="136">
        <f t="shared" si="177"/>
        <v>232</v>
      </c>
      <c r="CB32" s="86" t="str">
        <f t="shared" si="144"/>
        <v xml:space="preserve"> 05 jaar vast</v>
      </c>
      <c r="CC32" s="372">
        <f t="shared" si="178"/>
        <v>5.45</v>
      </c>
      <c r="CD32" s="231">
        <f t="shared" si="178"/>
        <v>5.5861000000000001</v>
      </c>
      <c r="CE32" s="385">
        <f t="shared" si="178"/>
        <v>5.45</v>
      </c>
      <c r="CF32" s="373">
        <f t="shared" si="178"/>
        <v>2.9120324685319026</v>
      </c>
      <c r="CG32" s="373">
        <f t="shared" si="179"/>
        <v>2.7580843071141427E-2</v>
      </c>
      <c r="CH32" s="373">
        <f t="shared" si="179"/>
        <v>0.13731859486680387</v>
      </c>
      <c r="CI32" s="374">
        <f t="shared" si="180"/>
        <v>-1.03</v>
      </c>
      <c r="CJ32" s="125">
        <f t="shared" si="181"/>
        <v>1.6177052832637602</v>
      </c>
      <c r="CK32" s="385">
        <f t="shared" si="182"/>
        <v>-0.84557435012047311</v>
      </c>
      <c r="CL32" s="125">
        <f t="shared" ref="CL32" si="206">SUM(CJ32:CK32)</f>
        <v>0.77213093314328707</v>
      </c>
      <c r="CM32" s="386">
        <f t="shared" si="184"/>
        <v>0</v>
      </c>
      <c r="CN32" s="386">
        <f t="shared" si="184"/>
        <v>0</v>
      </c>
      <c r="CO32" s="211">
        <f t="shared" si="184"/>
        <v>-4.5441599999999999E-2</v>
      </c>
      <c r="CP32" s="211">
        <f t="shared" si="184"/>
        <v>5.5800000000000002E-2</v>
      </c>
      <c r="CQ32" s="82">
        <f t="shared" ref="CQ32" si="207">SUM(CM32:CP32)</f>
        <v>1.0358400000000004E-2</v>
      </c>
      <c r="CR32" s="125">
        <f t="shared" si="186"/>
        <v>0.78248933314328706</v>
      </c>
      <c r="CS32" s="211">
        <f t="shared" si="187"/>
        <v>0.23170000000000002</v>
      </c>
      <c r="CT32" s="211">
        <f t="shared" si="187"/>
        <v>-0.27729999999999999</v>
      </c>
      <c r="CU32" s="211">
        <f t="shared" si="187"/>
        <v>-0.1429</v>
      </c>
      <c r="CV32" s="211" t="str">
        <f t="shared" si="187"/>
        <v>-</v>
      </c>
      <c r="CW32" s="211" t="str">
        <f t="shared" si="187"/>
        <v>-</v>
      </c>
      <c r="CX32" s="211">
        <f t="shared" si="188"/>
        <v>-0.42020000000000002</v>
      </c>
      <c r="CY32" s="387">
        <f t="shared" si="189"/>
        <v>-0.08</v>
      </c>
      <c r="CZ32" s="125">
        <f t="shared" si="190"/>
        <v>0.51398933314328721</v>
      </c>
      <c r="DA32" s="211">
        <f t="shared" si="199"/>
        <v>-1.1828999999999998</v>
      </c>
      <c r="DB32" s="211">
        <f t="shared" si="200"/>
        <v>-0.26250000000000001</v>
      </c>
      <c r="DC32" s="125">
        <f t="shared" si="193"/>
        <v>-0.93141066685671259</v>
      </c>
      <c r="DD32" s="211">
        <f t="shared" si="194"/>
        <v>-0.94610000000000005</v>
      </c>
      <c r="DE32" s="125">
        <f t="shared" si="195"/>
        <v>-1.8775106668567125</v>
      </c>
      <c r="DF32" s="375">
        <f t="shared" si="196"/>
        <v>-0.33</v>
      </c>
      <c r="DG32" s="1"/>
      <c r="DH32" s="83">
        <v>1.2422163762189635E-3</v>
      </c>
    </row>
    <row r="33" spans="1:112" s="3" customFormat="1" ht="12.5">
      <c r="A33" s="1"/>
      <c r="B33" s="136">
        <v>242</v>
      </c>
      <c r="C33" s="86" t="str">
        <f>" 10 "&amp;INDEX(ActT,10,ActLangID)</f>
        <v xml:space="preserve"> 10 jaar vast</v>
      </c>
      <c r="D33" s="356">
        <v>5.3</v>
      </c>
      <c r="E33" s="166">
        <f t="shared" si="197"/>
        <v>5.4348999999999998</v>
      </c>
      <c r="F33" s="53">
        <f t="shared" si="198"/>
        <v>5.3</v>
      </c>
      <c r="G33" s="81">
        <v>2.67828571979098</v>
      </c>
      <c r="H33" s="81">
        <v>0</v>
      </c>
      <c r="I33" s="81">
        <v>0</v>
      </c>
      <c r="J33" s="287">
        <v>-1.37</v>
      </c>
      <c r="K33" s="125">
        <f t="shared" si="153"/>
        <v>1.2517142802090198</v>
      </c>
      <c r="L33" s="195">
        <v>-1.0789575361906327</v>
      </c>
      <c r="M33" s="125">
        <f t="shared" si="12"/>
        <v>0.17275674401838703</v>
      </c>
      <c r="N33" s="98">
        <v>0</v>
      </c>
      <c r="O33" s="98">
        <v>0</v>
      </c>
      <c r="P33" s="40">
        <v>-8.7871680000000008E-2</v>
      </c>
      <c r="Q33" s="40">
        <v>5.1099999999999993E-2</v>
      </c>
      <c r="R33" s="82">
        <f t="shared" si="88"/>
        <v>-3.6771680000000015E-2</v>
      </c>
      <c r="S33" s="125">
        <f t="shared" si="13"/>
        <v>0.135985064018387</v>
      </c>
      <c r="T33" s="40">
        <v>0.05</v>
      </c>
      <c r="U33" s="40">
        <v>-0.1371</v>
      </c>
      <c r="V33" s="40">
        <v>-7.0599999999999996E-2</v>
      </c>
      <c r="W33" s="358" t="s">
        <v>393</v>
      </c>
      <c r="X33" s="358" t="s">
        <v>393</v>
      </c>
      <c r="Y33" s="211">
        <f t="shared" si="154"/>
        <v>-0.2077</v>
      </c>
      <c r="Z33" s="41">
        <v>-0.08</v>
      </c>
      <c r="AA33" s="125">
        <f t="shared" si="155"/>
        <v>-0.10171493598161301</v>
      </c>
      <c r="AB33" s="442">
        <v>-0.25539999999999996</v>
      </c>
      <c r="AC33" s="442">
        <v>-0.1225</v>
      </c>
      <c r="AD33" s="125">
        <f t="shared" si="156"/>
        <v>-0.47961493598161298</v>
      </c>
      <c r="AE33" s="442">
        <v>-0.44140000000000001</v>
      </c>
      <c r="AF33" s="125">
        <f t="shared" si="157"/>
        <v>-0.92101493598161299</v>
      </c>
      <c r="AG33" s="320">
        <v>-0.33</v>
      </c>
      <c r="AH33" s="1"/>
      <c r="AI33" s="83">
        <v>4.031383641849854E-2</v>
      </c>
      <c r="AJ33" s="1"/>
      <c r="AK33" s="84">
        <v>110</v>
      </c>
      <c r="AL33" s="99">
        <v>110600</v>
      </c>
      <c r="AM33" s="1"/>
      <c r="AN33" s="83">
        <v>2.6656407027547624E-2</v>
      </c>
      <c r="AO33"/>
      <c r="AP33" s="213">
        <f t="shared" si="158"/>
        <v>242</v>
      </c>
      <c r="AQ33" s="376" t="str">
        <f t="shared" si="152"/>
        <v xml:space="preserve"> 10 jaar vast</v>
      </c>
      <c r="AR33" s="372">
        <f t="shared" si="159"/>
        <v>5.3</v>
      </c>
      <c r="AS33" s="231">
        <f t="shared" si="159"/>
        <v>5.4348999999999998</v>
      </c>
      <c r="AT33" s="385">
        <f t="shared" si="159"/>
        <v>5.3</v>
      </c>
      <c r="AU33" s="373">
        <f t="shared" si="159"/>
        <v>2.67828571979098</v>
      </c>
      <c r="AV33" s="382">
        <v>4.7265100000000004E-2</v>
      </c>
      <c r="AW33" s="382">
        <v>0.110184</v>
      </c>
      <c r="AX33" s="374">
        <f t="shared" si="160"/>
        <v>-1.37</v>
      </c>
      <c r="AY33" s="208">
        <f t="shared" si="161"/>
        <v>1.3146331802090194</v>
      </c>
      <c r="AZ33" s="385">
        <f t="shared" si="162"/>
        <v>-1.0789575361906327</v>
      </c>
      <c r="BA33" s="208">
        <f t="shared" si="163"/>
        <v>0.2356756440183867</v>
      </c>
      <c r="BB33" s="386">
        <f t="shared" si="164"/>
        <v>0</v>
      </c>
      <c r="BC33" s="386">
        <f t="shared" si="164"/>
        <v>0</v>
      </c>
      <c r="BD33" s="211">
        <f t="shared" si="164"/>
        <v>-8.7871680000000008E-2</v>
      </c>
      <c r="BE33" s="211">
        <f t="shared" si="164"/>
        <v>5.1099999999999993E-2</v>
      </c>
      <c r="BF33" s="211">
        <f t="shared" si="165"/>
        <v>-3.6771680000000015E-2</v>
      </c>
      <c r="BG33" s="208">
        <f t="shared" si="166"/>
        <v>0.19890396401838667</v>
      </c>
      <c r="BH33" s="211">
        <f t="shared" si="167"/>
        <v>0.05</v>
      </c>
      <c r="BI33" s="211">
        <f t="shared" si="167"/>
        <v>-0.1371</v>
      </c>
      <c r="BJ33" s="211">
        <f t="shared" si="167"/>
        <v>-7.0599999999999996E-2</v>
      </c>
      <c r="BK33" s="211" t="str">
        <f t="shared" si="167"/>
        <v>-</v>
      </c>
      <c r="BL33" s="211" t="str">
        <f t="shared" si="167"/>
        <v>-</v>
      </c>
      <c r="BM33" s="211">
        <f t="shared" si="168"/>
        <v>-0.2077</v>
      </c>
      <c r="BN33" s="387">
        <f t="shared" si="169"/>
        <v>-0.08</v>
      </c>
      <c r="BO33" s="208">
        <f t="shared" si="170"/>
        <v>-3.8796035981613339E-2</v>
      </c>
      <c r="BP33" s="211">
        <f t="shared" si="171"/>
        <v>-0.25539999999999996</v>
      </c>
      <c r="BQ33" s="211">
        <f t="shared" si="172"/>
        <v>-0.1225</v>
      </c>
      <c r="BR33" s="125">
        <f t="shared" si="173"/>
        <v>-0.41669603598161331</v>
      </c>
      <c r="BS33" s="211">
        <f t="shared" si="174"/>
        <v>-0.44140000000000001</v>
      </c>
      <c r="BT33" s="125">
        <f t="shared" si="175"/>
        <v>-0.85809603598161333</v>
      </c>
      <c r="BU33" s="375">
        <f t="shared" si="176"/>
        <v>-0.33</v>
      </c>
      <c r="BV33" s="1"/>
      <c r="BW33" s="83">
        <v>6.3142931438604541E-2</v>
      </c>
      <c r="BX33" s="1"/>
      <c r="BY33" s="83">
        <v>0.62889812889812891</v>
      </c>
      <c r="BZ33" s="1"/>
      <c r="CA33" s="136">
        <f t="shared" si="177"/>
        <v>242</v>
      </c>
      <c r="CB33" s="86" t="str">
        <f t="shared" si="144"/>
        <v xml:space="preserve"> 10 jaar vast</v>
      </c>
      <c r="CC33" s="372">
        <f t="shared" si="178"/>
        <v>5.3</v>
      </c>
      <c r="CD33" s="231">
        <f t="shared" si="178"/>
        <v>5.4348999999999998</v>
      </c>
      <c r="CE33" s="385">
        <f t="shared" si="178"/>
        <v>5.3</v>
      </c>
      <c r="CF33" s="373">
        <f t="shared" si="178"/>
        <v>2.67828571979098</v>
      </c>
      <c r="CG33" s="373">
        <f t="shared" si="179"/>
        <v>2.9724932952182957E-2</v>
      </c>
      <c r="CH33" s="373">
        <f t="shared" si="179"/>
        <v>6.9294511434511444E-2</v>
      </c>
      <c r="CI33" s="374">
        <f t="shared" si="180"/>
        <v>-1.37</v>
      </c>
      <c r="CJ33" s="125">
        <f t="shared" si="181"/>
        <v>1.2912838586913482</v>
      </c>
      <c r="CK33" s="385">
        <f t="shared" si="182"/>
        <v>-1.0789575361906327</v>
      </c>
      <c r="CL33" s="125">
        <f t="shared" ref="CL33:CL35" si="208">SUM(CJ33:CK33)</f>
        <v>0.21232632250071548</v>
      </c>
      <c r="CM33" s="386">
        <f t="shared" si="184"/>
        <v>0</v>
      </c>
      <c r="CN33" s="386">
        <f t="shared" si="184"/>
        <v>0</v>
      </c>
      <c r="CO33" s="211">
        <f t="shared" si="184"/>
        <v>-8.7871680000000008E-2</v>
      </c>
      <c r="CP33" s="211">
        <f t="shared" si="184"/>
        <v>5.1099999999999993E-2</v>
      </c>
      <c r="CQ33" s="82">
        <f t="shared" ref="CQ33:CQ35" si="209">SUM(CM33:CP33)</f>
        <v>-3.6771680000000015E-2</v>
      </c>
      <c r="CR33" s="125">
        <f t="shared" si="186"/>
        <v>0.17555464250071545</v>
      </c>
      <c r="CS33" s="211">
        <f t="shared" si="187"/>
        <v>0.05</v>
      </c>
      <c r="CT33" s="211">
        <f t="shared" si="187"/>
        <v>-0.1371</v>
      </c>
      <c r="CU33" s="211">
        <f t="shared" si="187"/>
        <v>-7.0599999999999996E-2</v>
      </c>
      <c r="CV33" s="211" t="str">
        <f t="shared" si="187"/>
        <v>-</v>
      </c>
      <c r="CW33" s="211" t="str">
        <f t="shared" si="187"/>
        <v>-</v>
      </c>
      <c r="CX33" s="211">
        <f t="shared" si="188"/>
        <v>-0.2077</v>
      </c>
      <c r="CY33" s="387">
        <f t="shared" si="189"/>
        <v>-0.08</v>
      </c>
      <c r="CZ33" s="125">
        <f t="shared" si="190"/>
        <v>-6.2145357499284556E-2</v>
      </c>
      <c r="DA33" s="211">
        <f t="shared" si="199"/>
        <v>-0.25539999999999996</v>
      </c>
      <c r="DB33" s="211">
        <f t="shared" si="200"/>
        <v>-0.1225</v>
      </c>
      <c r="DC33" s="125">
        <f t="shared" si="193"/>
        <v>-0.44004535749928453</v>
      </c>
      <c r="DD33" s="211">
        <f t="shared" si="194"/>
        <v>-0.44140000000000001</v>
      </c>
      <c r="DE33" s="125">
        <f t="shared" si="195"/>
        <v>-0.88144535749928454</v>
      </c>
      <c r="DF33" s="375">
        <f t="shared" si="196"/>
        <v>-0.33</v>
      </c>
      <c r="DG33" s="1"/>
      <c r="DH33" s="83">
        <v>5.2177807668996212E-2</v>
      </c>
    </row>
    <row r="34" spans="1:112" s="1" customFormat="1" ht="12.5">
      <c r="B34" s="136">
        <v>252</v>
      </c>
      <c r="C34" s="79" t="str">
        <f>" 15 "&amp;INDEX(ActT,10,ActLangID)</f>
        <v xml:space="preserve"> 15 jaar vast</v>
      </c>
      <c r="D34" s="356">
        <v>5.34</v>
      </c>
      <c r="E34" s="166">
        <f t="shared" si="197"/>
        <v>5.4726999999999997</v>
      </c>
      <c r="F34" s="53">
        <f t="shared" si="198"/>
        <v>5.34</v>
      </c>
      <c r="G34" s="81">
        <v>2.6543004071720944</v>
      </c>
      <c r="H34" s="81">
        <v>0</v>
      </c>
      <c r="I34" s="81">
        <v>0</v>
      </c>
      <c r="J34" s="287">
        <v>-1.62</v>
      </c>
      <c r="K34" s="125">
        <f t="shared" si="153"/>
        <v>1.0656995928279054</v>
      </c>
      <c r="L34" s="195">
        <v>-1.1979404560208684</v>
      </c>
      <c r="M34" s="125">
        <f t="shared" si="12"/>
        <v>-0.13224086319296302</v>
      </c>
      <c r="N34" s="98">
        <v>0</v>
      </c>
      <c r="O34" s="98">
        <v>0</v>
      </c>
      <c r="P34" s="40">
        <v>-0.12881720000000002</v>
      </c>
      <c r="Q34" s="40">
        <v>4.8599999999999997E-2</v>
      </c>
      <c r="R34" s="82">
        <f t="shared" si="88"/>
        <v>-8.0217200000000016E-2</v>
      </c>
      <c r="S34" s="125">
        <f t="shared" si="13"/>
        <v>-0.21245806319296304</v>
      </c>
      <c r="T34" s="40">
        <v>2.7700000000000002E-2</v>
      </c>
      <c r="U34" s="40">
        <v>-8.589999999999999E-2</v>
      </c>
      <c r="V34" s="40">
        <v>-4.4299999999999999E-2</v>
      </c>
      <c r="W34" s="358" t="s">
        <v>393</v>
      </c>
      <c r="X34" s="358" t="s">
        <v>393</v>
      </c>
      <c r="Y34" s="211">
        <f t="shared" si="154"/>
        <v>-0.13019999999999998</v>
      </c>
      <c r="Z34" s="41">
        <v>-0.08</v>
      </c>
      <c r="AA34" s="125">
        <f t="shared" si="155"/>
        <v>-0.39495806319296306</v>
      </c>
      <c r="AB34" s="442">
        <v>-8.14E-2</v>
      </c>
      <c r="AC34" s="442">
        <v>-6.7199999999999996E-2</v>
      </c>
      <c r="AD34" s="125">
        <f t="shared" si="156"/>
        <v>-0.54355806319296307</v>
      </c>
      <c r="AE34" s="442">
        <v>-0.2422</v>
      </c>
      <c r="AF34" s="125">
        <f t="shared" si="157"/>
        <v>-0.78575806319296304</v>
      </c>
      <c r="AG34" s="320">
        <v>-0.33</v>
      </c>
      <c r="AI34" s="83">
        <v>0.14618000348388335</v>
      </c>
      <c r="AK34" s="84">
        <v>180</v>
      </c>
      <c r="AL34" s="99">
        <v>217600</v>
      </c>
      <c r="AN34" s="83">
        <v>5.8258935317483239E-2</v>
      </c>
      <c r="AO34"/>
      <c r="AP34" s="213">
        <f t="shared" si="158"/>
        <v>252</v>
      </c>
      <c r="AQ34" s="230" t="str">
        <f t="shared" si="152"/>
        <v xml:space="preserve"> 15 jaar vast</v>
      </c>
      <c r="AR34" s="372">
        <f t="shared" si="159"/>
        <v>5.34</v>
      </c>
      <c r="AS34" s="231">
        <f t="shared" si="159"/>
        <v>5.4726999999999997</v>
      </c>
      <c r="AT34" s="385">
        <f t="shared" si="159"/>
        <v>5.34</v>
      </c>
      <c r="AU34" s="373">
        <f t="shared" si="159"/>
        <v>2.6543004071720944</v>
      </c>
      <c r="AV34" s="382">
        <v>4.7257800000000003E-2</v>
      </c>
      <c r="AW34" s="382">
        <v>8.1714000000000009E-2</v>
      </c>
      <c r="AX34" s="374">
        <f t="shared" si="160"/>
        <v>-1.62</v>
      </c>
      <c r="AY34" s="208">
        <f t="shared" si="161"/>
        <v>1.1001557928279051</v>
      </c>
      <c r="AZ34" s="385">
        <f t="shared" si="162"/>
        <v>-1.1979404560208684</v>
      </c>
      <c r="BA34" s="208">
        <f t="shared" si="163"/>
        <v>-9.7784663192963306E-2</v>
      </c>
      <c r="BB34" s="386">
        <f t="shared" si="164"/>
        <v>0</v>
      </c>
      <c r="BC34" s="386">
        <f t="shared" si="164"/>
        <v>0</v>
      </c>
      <c r="BD34" s="211">
        <f t="shared" si="164"/>
        <v>-0.12881720000000002</v>
      </c>
      <c r="BE34" s="211">
        <f t="shared" si="164"/>
        <v>4.8599999999999997E-2</v>
      </c>
      <c r="BF34" s="211">
        <f t="shared" si="165"/>
        <v>-8.0217200000000016E-2</v>
      </c>
      <c r="BG34" s="208">
        <f t="shared" si="166"/>
        <v>-0.17800186319296332</v>
      </c>
      <c r="BH34" s="211">
        <f t="shared" si="167"/>
        <v>2.7700000000000002E-2</v>
      </c>
      <c r="BI34" s="211">
        <f t="shared" si="167"/>
        <v>-8.589999999999999E-2</v>
      </c>
      <c r="BJ34" s="211">
        <f t="shared" si="167"/>
        <v>-4.4299999999999999E-2</v>
      </c>
      <c r="BK34" s="211" t="str">
        <f t="shared" si="167"/>
        <v>-</v>
      </c>
      <c r="BL34" s="211" t="str">
        <f t="shared" si="167"/>
        <v>-</v>
      </c>
      <c r="BM34" s="211">
        <f t="shared" si="168"/>
        <v>-0.13019999999999998</v>
      </c>
      <c r="BN34" s="387">
        <f t="shared" si="169"/>
        <v>-0.08</v>
      </c>
      <c r="BO34" s="208">
        <f t="shared" si="170"/>
        <v>-0.36050186319296335</v>
      </c>
      <c r="BP34" s="211">
        <f t="shared" si="171"/>
        <v>-8.14E-2</v>
      </c>
      <c r="BQ34" s="211">
        <f t="shared" si="172"/>
        <v>-6.7199999999999996E-2</v>
      </c>
      <c r="BR34" s="125">
        <f t="shared" si="173"/>
        <v>-0.50910186319296336</v>
      </c>
      <c r="BS34" s="211">
        <f t="shared" si="174"/>
        <v>-0.2422</v>
      </c>
      <c r="BT34" s="125">
        <f t="shared" si="175"/>
        <v>-0.75130186319296333</v>
      </c>
      <c r="BU34" s="375">
        <f t="shared" si="176"/>
        <v>-0.33</v>
      </c>
      <c r="BW34" s="83">
        <v>8.4329733227094986E-2</v>
      </c>
      <c r="BY34" s="83">
        <v>0.38430439952437573</v>
      </c>
      <c r="CA34" s="136">
        <f t="shared" si="177"/>
        <v>252</v>
      </c>
      <c r="CB34" s="79" t="str">
        <f t="shared" si="144"/>
        <v xml:space="preserve"> 15 jaar vast</v>
      </c>
      <c r="CC34" s="372">
        <f t="shared" si="178"/>
        <v>5.34</v>
      </c>
      <c r="CD34" s="231">
        <f t="shared" si="178"/>
        <v>5.4726999999999997</v>
      </c>
      <c r="CE34" s="385">
        <f t="shared" si="178"/>
        <v>5.34</v>
      </c>
      <c r="CF34" s="373">
        <f t="shared" si="178"/>
        <v>2.6543004071720944</v>
      </c>
      <c r="CG34" s="373">
        <f t="shared" si="179"/>
        <v>1.8161380451843043E-2</v>
      </c>
      <c r="CH34" s="373">
        <f t="shared" si="179"/>
        <v>3.1403049702734845E-2</v>
      </c>
      <c r="CI34" s="374">
        <f t="shared" si="180"/>
        <v>-1.62</v>
      </c>
      <c r="CJ34" s="125">
        <f t="shared" si="181"/>
        <v>1.0789412620787973</v>
      </c>
      <c r="CK34" s="385">
        <f t="shared" si="182"/>
        <v>-1.1979404560208684</v>
      </c>
      <c r="CL34" s="125">
        <f t="shared" si="208"/>
        <v>-0.11899919394207115</v>
      </c>
      <c r="CM34" s="386">
        <f t="shared" si="184"/>
        <v>0</v>
      </c>
      <c r="CN34" s="386">
        <f t="shared" si="184"/>
        <v>0</v>
      </c>
      <c r="CO34" s="211">
        <f t="shared" si="184"/>
        <v>-0.12881720000000002</v>
      </c>
      <c r="CP34" s="211">
        <f t="shared" si="184"/>
        <v>4.8599999999999997E-2</v>
      </c>
      <c r="CQ34" s="82">
        <f t="shared" si="209"/>
        <v>-8.0217200000000016E-2</v>
      </c>
      <c r="CR34" s="125">
        <f t="shared" si="186"/>
        <v>-0.19921639394207116</v>
      </c>
      <c r="CS34" s="211">
        <f t="shared" si="187"/>
        <v>2.7700000000000002E-2</v>
      </c>
      <c r="CT34" s="211">
        <f t="shared" si="187"/>
        <v>-8.589999999999999E-2</v>
      </c>
      <c r="CU34" s="211">
        <f t="shared" si="187"/>
        <v>-4.4299999999999999E-2</v>
      </c>
      <c r="CV34" s="211" t="str">
        <f t="shared" si="187"/>
        <v>-</v>
      </c>
      <c r="CW34" s="211" t="str">
        <f t="shared" si="187"/>
        <v>-</v>
      </c>
      <c r="CX34" s="211">
        <f t="shared" si="188"/>
        <v>-0.13019999999999998</v>
      </c>
      <c r="CY34" s="387">
        <f t="shared" si="189"/>
        <v>-0.08</v>
      </c>
      <c r="CZ34" s="125">
        <f t="shared" si="190"/>
        <v>-0.38171639394207119</v>
      </c>
      <c r="DA34" s="211">
        <f t="shared" si="199"/>
        <v>-8.14E-2</v>
      </c>
      <c r="DB34" s="211">
        <f t="shared" si="200"/>
        <v>-6.7199999999999996E-2</v>
      </c>
      <c r="DC34" s="125">
        <f t="shared" si="193"/>
        <v>-0.5303163939420712</v>
      </c>
      <c r="DD34" s="211">
        <f t="shared" si="194"/>
        <v>-0.2422</v>
      </c>
      <c r="DE34" s="125">
        <f t="shared" si="195"/>
        <v>-0.77251639394207117</v>
      </c>
      <c r="DF34" s="375">
        <f t="shared" si="196"/>
        <v>-0.33</v>
      </c>
      <c r="DH34" s="83">
        <v>0.11403725636597145</v>
      </c>
    </row>
    <row r="35" spans="1:112" s="1" customFormat="1" ht="12.5">
      <c r="B35" s="136">
        <v>262</v>
      </c>
      <c r="C35" s="79" t="str">
        <f>" 20 "&amp;INDEX(ActT,10,ActLangID)</f>
        <v xml:space="preserve"> 20 jaar vast</v>
      </c>
      <c r="D35" s="356">
        <v>5.27</v>
      </c>
      <c r="E35" s="166">
        <f t="shared" si="197"/>
        <v>5.3971</v>
      </c>
      <c r="F35" s="53">
        <f t="shared" si="198"/>
        <v>5.27</v>
      </c>
      <c r="G35" s="81">
        <v>2.6571129584464841</v>
      </c>
      <c r="H35" s="81">
        <v>0</v>
      </c>
      <c r="I35" s="81">
        <v>0</v>
      </c>
      <c r="J35" s="287">
        <v>-1.6</v>
      </c>
      <c r="K35" s="125">
        <f t="shared" si="153"/>
        <v>1.0128870415535154</v>
      </c>
      <c r="L35" s="195">
        <v>-1.2619134082991268</v>
      </c>
      <c r="M35" s="125">
        <f t="shared" si="12"/>
        <v>-0.2490263667456114</v>
      </c>
      <c r="N35" s="98">
        <v>0</v>
      </c>
      <c r="O35" s="98">
        <v>0</v>
      </c>
      <c r="P35" s="40">
        <v>-0.170018</v>
      </c>
      <c r="Q35" s="40">
        <v>4.8099999999999997E-2</v>
      </c>
      <c r="R35" s="82">
        <f t="shared" si="88"/>
        <v>-0.121918</v>
      </c>
      <c r="S35" s="125">
        <f t="shared" si="13"/>
        <v>-0.37094436674561138</v>
      </c>
      <c r="T35" s="40">
        <v>2.1399999999999999E-2</v>
      </c>
      <c r="U35" s="40">
        <v>-6.6299999999999998E-2</v>
      </c>
      <c r="V35" s="40">
        <v>-3.4200000000000001E-2</v>
      </c>
      <c r="W35" s="358" t="s">
        <v>393</v>
      </c>
      <c r="X35" s="358" t="s">
        <v>393</v>
      </c>
      <c r="Y35" s="211">
        <f t="shared" si="154"/>
        <v>-0.10050000000000001</v>
      </c>
      <c r="Z35" s="41">
        <v>-0.08</v>
      </c>
      <c r="AA35" s="125">
        <f t="shared" si="155"/>
        <v>-0.53004436674561139</v>
      </c>
      <c r="AB35" s="442">
        <v>-3.6600000000000001E-2</v>
      </c>
      <c r="AC35" s="442">
        <v>-4.1700000000000001E-2</v>
      </c>
      <c r="AD35" s="125">
        <f t="shared" si="156"/>
        <v>-0.60834436674561132</v>
      </c>
      <c r="AE35" s="442">
        <v>-0.15029999999999999</v>
      </c>
      <c r="AF35" s="125">
        <f t="shared" si="157"/>
        <v>-0.75864436674561131</v>
      </c>
      <c r="AG35" s="320">
        <v>-0.33</v>
      </c>
      <c r="AI35" s="83">
        <v>0.45945758412900861</v>
      </c>
      <c r="AK35" s="84">
        <v>238</v>
      </c>
      <c r="AL35" s="99">
        <v>373400</v>
      </c>
      <c r="AN35" s="83">
        <v>0.17583197848842583</v>
      </c>
      <c r="AO35"/>
      <c r="AP35" s="213">
        <f t="shared" si="158"/>
        <v>262</v>
      </c>
      <c r="AQ35" s="230" t="str">
        <f t="shared" si="152"/>
        <v xml:space="preserve"> 20 jaar vast</v>
      </c>
      <c r="AR35" s="372">
        <f t="shared" si="159"/>
        <v>5.27</v>
      </c>
      <c r="AS35" s="231">
        <f t="shared" si="159"/>
        <v>5.3971</v>
      </c>
      <c r="AT35" s="385">
        <f t="shared" si="159"/>
        <v>5.27</v>
      </c>
      <c r="AU35" s="373">
        <f t="shared" si="159"/>
        <v>2.6571129584464841</v>
      </c>
      <c r="AV35" s="382">
        <v>3.9355000000000001E-2</v>
      </c>
      <c r="AW35" s="382">
        <v>6.6929000000000002E-2</v>
      </c>
      <c r="AX35" s="374">
        <f t="shared" si="160"/>
        <v>-1.6</v>
      </c>
      <c r="AY35" s="208">
        <f t="shared" si="161"/>
        <v>1.0404610415535154</v>
      </c>
      <c r="AZ35" s="385">
        <f t="shared" si="162"/>
        <v>-1.2619134082991268</v>
      </c>
      <c r="BA35" s="208">
        <f t="shared" si="163"/>
        <v>-0.22145236674561142</v>
      </c>
      <c r="BB35" s="386">
        <f t="shared" si="164"/>
        <v>0</v>
      </c>
      <c r="BC35" s="386">
        <f t="shared" si="164"/>
        <v>0</v>
      </c>
      <c r="BD35" s="211">
        <f t="shared" si="164"/>
        <v>-0.170018</v>
      </c>
      <c r="BE35" s="211">
        <f t="shared" si="164"/>
        <v>4.8099999999999997E-2</v>
      </c>
      <c r="BF35" s="211">
        <f t="shared" si="165"/>
        <v>-0.121918</v>
      </c>
      <c r="BG35" s="208">
        <f t="shared" si="166"/>
        <v>-0.34337036674561139</v>
      </c>
      <c r="BH35" s="211">
        <f t="shared" si="167"/>
        <v>2.1399999999999999E-2</v>
      </c>
      <c r="BI35" s="211">
        <f t="shared" si="167"/>
        <v>-6.6299999999999998E-2</v>
      </c>
      <c r="BJ35" s="211">
        <f t="shared" si="167"/>
        <v>-3.4200000000000001E-2</v>
      </c>
      <c r="BK35" s="211" t="str">
        <f t="shared" si="167"/>
        <v>-</v>
      </c>
      <c r="BL35" s="211" t="str">
        <f t="shared" si="167"/>
        <v>-</v>
      </c>
      <c r="BM35" s="211">
        <f t="shared" si="168"/>
        <v>-0.10050000000000001</v>
      </c>
      <c r="BN35" s="387">
        <f t="shared" si="169"/>
        <v>-0.08</v>
      </c>
      <c r="BO35" s="208">
        <f t="shared" si="170"/>
        <v>-0.50247036674561141</v>
      </c>
      <c r="BP35" s="211">
        <f t="shared" si="171"/>
        <v>-3.6600000000000001E-2</v>
      </c>
      <c r="BQ35" s="211">
        <f t="shared" si="172"/>
        <v>-4.1700000000000001E-2</v>
      </c>
      <c r="BR35" s="125">
        <f t="shared" si="173"/>
        <v>-0.58077036674561133</v>
      </c>
      <c r="BS35" s="211">
        <f t="shared" si="174"/>
        <v>-0.15029999999999999</v>
      </c>
      <c r="BT35" s="125">
        <f t="shared" si="175"/>
        <v>-0.73107036674561132</v>
      </c>
      <c r="BU35" s="375">
        <f t="shared" si="176"/>
        <v>-0.33</v>
      </c>
      <c r="BW35" s="83">
        <v>0.23763075138578202</v>
      </c>
      <c r="BY35" s="83">
        <v>0.35880786311101587</v>
      </c>
      <c r="CA35" s="136">
        <f t="shared" si="177"/>
        <v>262</v>
      </c>
      <c r="CB35" s="79" t="str">
        <f t="shared" si="144"/>
        <v xml:space="preserve"> 20 jaar vast</v>
      </c>
      <c r="CC35" s="372">
        <f t="shared" si="178"/>
        <v>5.27</v>
      </c>
      <c r="CD35" s="231">
        <f t="shared" si="178"/>
        <v>5.3971</v>
      </c>
      <c r="CE35" s="385">
        <f t="shared" si="178"/>
        <v>5.27</v>
      </c>
      <c r="CF35" s="373">
        <f t="shared" si="178"/>
        <v>2.6571129584464841</v>
      </c>
      <c r="CG35" s="373">
        <f t="shared" si="179"/>
        <v>1.412088345273403E-2</v>
      </c>
      <c r="CH35" s="373">
        <f t="shared" si="179"/>
        <v>2.4014651470157182E-2</v>
      </c>
      <c r="CI35" s="374">
        <f t="shared" si="180"/>
        <v>-1.6</v>
      </c>
      <c r="CJ35" s="125">
        <f t="shared" si="181"/>
        <v>1.0227808095709383</v>
      </c>
      <c r="CK35" s="385">
        <f t="shared" si="182"/>
        <v>-1.2619134082991268</v>
      </c>
      <c r="CL35" s="125">
        <f t="shared" si="208"/>
        <v>-0.23913259872818848</v>
      </c>
      <c r="CM35" s="386">
        <f t="shared" si="184"/>
        <v>0</v>
      </c>
      <c r="CN35" s="386">
        <f t="shared" si="184"/>
        <v>0</v>
      </c>
      <c r="CO35" s="211">
        <f t="shared" si="184"/>
        <v>-0.170018</v>
      </c>
      <c r="CP35" s="211">
        <f t="shared" si="184"/>
        <v>4.8099999999999997E-2</v>
      </c>
      <c r="CQ35" s="82">
        <f t="shared" si="209"/>
        <v>-0.121918</v>
      </c>
      <c r="CR35" s="125">
        <f t="shared" si="186"/>
        <v>-0.36105059872818845</v>
      </c>
      <c r="CS35" s="211">
        <f t="shared" si="187"/>
        <v>2.1399999999999999E-2</v>
      </c>
      <c r="CT35" s="211">
        <f t="shared" si="187"/>
        <v>-6.6299999999999998E-2</v>
      </c>
      <c r="CU35" s="211">
        <f t="shared" si="187"/>
        <v>-3.4200000000000001E-2</v>
      </c>
      <c r="CV35" s="211" t="str">
        <f t="shared" si="187"/>
        <v>-</v>
      </c>
      <c r="CW35" s="211" t="str">
        <f t="shared" si="187"/>
        <v>-</v>
      </c>
      <c r="CX35" s="211">
        <f t="shared" si="188"/>
        <v>-0.10050000000000001</v>
      </c>
      <c r="CY35" s="387">
        <f t="shared" si="189"/>
        <v>-0.08</v>
      </c>
      <c r="CZ35" s="125">
        <f t="shared" si="190"/>
        <v>-0.52015059872818847</v>
      </c>
      <c r="DA35" s="211">
        <f t="shared" si="199"/>
        <v>-3.6600000000000001E-2</v>
      </c>
      <c r="DB35" s="211">
        <f t="shared" si="200"/>
        <v>-4.1700000000000001E-2</v>
      </c>
      <c r="DC35" s="125">
        <f t="shared" si="193"/>
        <v>-0.5984505987281884</v>
      </c>
      <c r="DD35" s="211">
        <f t="shared" si="194"/>
        <v>-0.15029999999999999</v>
      </c>
      <c r="DE35" s="125">
        <f t="shared" si="195"/>
        <v>-0.74875059872818839</v>
      </c>
      <c r="DF35" s="375">
        <f t="shared" si="196"/>
        <v>-0.33</v>
      </c>
      <c r="DH35" s="83">
        <v>0.3441771858505499</v>
      </c>
    </row>
    <row r="36" spans="1:112" s="1" customFormat="1" ht="13">
      <c r="B36" s="136"/>
      <c r="C36" s="279" t="s">
        <v>328</v>
      </c>
      <c r="D36" s="186"/>
      <c r="E36" s="172"/>
      <c r="F36" s="53"/>
      <c r="G36" s="81"/>
      <c r="H36" s="81"/>
      <c r="I36" s="81"/>
      <c r="J36" s="287"/>
      <c r="K36" s="125"/>
      <c r="L36" s="195"/>
      <c r="M36" s="125"/>
      <c r="N36" s="98"/>
      <c r="O36" s="98"/>
      <c r="P36" s="278"/>
      <c r="Q36" s="278"/>
      <c r="R36" s="82"/>
      <c r="S36" s="125"/>
      <c r="T36" s="278"/>
      <c r="U36" s="278"/>
      <c r="V36" s="278"/>
      <c r="W36" s="278"/>
      <c r="X36" s="358"/>
      <c r="Y36" s="211"/>
      <c r="Z36" s="41"/>
      <c r="AA36" s="125"/>
      <c r="AB36" s="442"/>
      <c r="AC36" s="442"/>
      <c r="AD36" s="125"/>
      <c r="AE36" s="442"/>
      <c r="AF36" s="125"/>
      <c r="AG36" s="320"/>
      <c r="AI36" s="83"/>
      <c r="AK36" s="280"/>
      <c r="AL36" s="55"/>
      <c r="AN36" s="313" t="s">
        <v>336</v>
      </c>
      <c r="AO36"/>
      <c r="AP36" s="136"/>
      <c r="AQ36" s="279" t="str">
        <f t="shared" si="152"/>
        <v>Immo4Pro Professional</v>
      </c>
      <c r="AR36" s="186"/>
      <c r="AS36" s="172"/>
      <c r="AT36" s="53"/>
      <c r="AU36" s="81"/>
      <c r="AV36" s="81"/>
      <c r="AW36" s="81"/>
      <c r="AX36" s="287"/>
      <c r="AY36" s="125"/>
      <c r="AZ36" s="195"/>
      <c r="BA36" s="125"/>
      <c r="BB36" s="98"/>
      <c r="BC36" s="98"/>
      <c r="BD36" s="358"/>
      <c r="BE36" s="358"/>
      <c r="BF36" s="82"/>
      <c r="BG36" s="125"/>
      <c r="BH36" s="358"/>
      <c r="BI36" s="358"/>
      <c r="BJ36" s="358"/>
      <c r="BK36" s="358"/>
      <c r="BL36" s="358"/>
      <c r="BM36" s="211"/>
      <c r="BN36" s="41"/>
      <c r="BO36" s="125"/>
      <c r="BP36" s="211"/>
      <c r="BQ36" s="211"/>
      <c r="BR36" s="125"/>
      <c r="BS36" s="211"/>
      <c r="BT36" s="125"/>
      <c r="BU36" s="320"/>
      <c r="BW36" s="83"/>
      <c r="BY36" s="313" t="s">
        <v>336</v>
      </c>
      <c r="CA36" s="136"/>
      <c r="CB36" s="279" t="str">
        <f t="shared" si="144"/>
        <v>Immo4Pro Professional</v>
      </c>
      <c r="CC36" s="372"/>
      <c r="CD36" s="413"/>
      <c r="CE36" s="385"/>
      <c r="CF36" s="373"/>
      <c r="CG36" s="373"/>
      <c r="CH36" s="373"/>
      <c r="CI36" s="374"/>
      <c r="CJ36" s="125"/>
      <c r="CK36" s="385"/>
      <c r="CL36" s="125"/>
      <c r="CM36" s="386"/>
      <c r="CN36" s="386"/>
      <c r="CO36" s="211"/>
      <c r="CP36" s="211"/>
      <c r="CQ36" s="82"/>
      <c r="CR36" s="125"/>
      <c r="CS36" s="211"/>
      <c r="CT36" s="211"/>
      <c r="CU36" s="211"/>
      <c r="CV36" s="211"/>
      <c r="CW36" s="211"/>
      <c r="CX36" s="211"/>
      <c r="CY36" s="387"/>
      <c r="CZ36" s="125"/>
      <c r="DA36" s="211"/>
      <c r="DB36" s="211"/>
      <c r="DC36" s="125"/>
      <c r="DD36" s="211"/>
      <c r="DE36" s="125"/>
      <c r="DF36" s="375"/>
      <c r="DH36" s="83"/>
    </row>
    <row r="37" spans="1:112" s="1" customFormat="1" ht="12.5">
      <c r="B37" s="136">
        <v>302</v>
      </c>
      <c r="C37" s="97" t="str">
        <f>" 01/1/1"</f>
        <v xml:space="preserve"> 01/1/1</v>
      </c>
      <c r="D37" s="356">
        <v>6.1</v>
      </c>
      <c r="E37" s="166">
        <f>ROUND((POWER(ROUND(1+D37/1200,5),12)-1)*100,4)</f>
        <v>6.2691999999999997</v>
      </c>
      <c r="F37" s="53">
        <f>D37</f>
        <v>6.1</v>
      </c>
      <c r="G37" s="81">
        <v>3.4220535369847322</v>
      </c>
      <c r="H37" s="81">
        <v>0</v>
      </c>
      <c r="I37" s="81">
        <v>0</v>
      </c>
      <c r="J37" s="287">
        <v>0</v>
      </c>
      <c r="K37" s="125">
        <f t="shared" ref="K37:K43" si="210">F37-G37-H37+I37+J37</f>
        <v>2.6779464630152674</v>
      </c>
      <c r="L37" s="195">
        <v>-0.24793717659146708</v>
      </c>
      <c r="M37" s="125">
        <f t="shared" ref="M37:M44" si="211">SUM(K37:L37)</f>
        <v>2.4300092864238003</v>
      </c>
      <c r="N37" s="98">
        <v>0</v>
      </c>
      <c r="O37" s="98">
        <v>0</v>
      </c>
      <c r="P37" s="278">
        <v>0</v>
      </c>
      <c r="Q37" s="278">
        <v>7.2300000000000003E-2</v>
      </c>
      <c r="R37" s="82">
        <f t="shared" ref="R37:R43" si="212">SUM(N37:Q37)</f>
        <v>7.2300000000000003E-2</v>
      </c>
      <c r="S37" s="125">
        <f t="shared" ref="S37:S44" si="213">M37+R37</f>
        <v>2.5023092864238001</v>
      </c>
      <c r="T37" s="278">
        <v>0.15330000000000002</v>
      </c>
      <c r="U37" s="278">
        <v>-0.59350000000000003</v>
      </c>
      <c r="V37" s="278">
        <v>-0.30590000000000001</v>
      </c>
      <c r="W37" s="358" t="s">
        <v>393</v>
      </c>
      <c r="X37" s="358" t="s">
        <v>393</v>
      </c>
      <c r="Y37" s="211">
        <f t="shared" ref="Y37:Y43" si="214">SUM(U37:X37)</f>
        <v>-0.89939999999999998</v>
      </c>
      <c r="Z37" s="41">
        <v>-0.08</v>
      </c>
      <c r="AA37" s="125">
        <f t="shared" ref="AA37:AA44" si="215">SUM(S37:T37,Y37:Z37)</f>
        <v>1.6762092864238003</v>
      </c>
      <c r="AB37" s="442">
        <v>-0.24459999999999998</v>
      </c>
      <c r="AC37" s="442">
        <v>-2.41E-2</v>
      </c>
      <c r="AD37" s="125">
        <f t="shared" si="156"/>
        <v>1.4075092864238004</v>
      </c>
      <c r="AE37" s="442">
        <v>-8.6699999999999999E-2</v>
      </c>
      <c r="AF37" s="125">
        <f t="shared" si="157"/>
        <v>1.3208092864238004</v>
      </c>
      <c r="AG37" s="320">
        <v>-0.33</v>
      </c>
      <c r="AI37" s="83">
        <v>0</v>
      </c>
      <c r="AK37" s="84">
        <v>24</v>
      </c>
      <c r="AL37" s="99">
        <v>500000</v>
      </c>
      <c r="AN37" s="83">
        <v>0</v>
      </c>
      <c r="AO37"/>
      <c r="AP37" s="213">
        <f t="shared" ref="AP37:AP43" si="216">B37</f>
        <v>302</v>
      </c>
      <c r="AQ37" s="384" t="str">
        <f t="shared" si="152"/>
        <v xml:space="preserve"> 01/1/1</v>
      </c>
      <c r="AR37" s="372">
        <f t="shared" ref="AR37:AU43" si="217">D37</f>
        <v>6.1</v>
      </c>
      <c r="AS37" s="231">
        <f t="shared" si="217"/>
        <v>6.2691999999999997</v>
      </c>
      <c r="AT37" s="385">
        <f t="shared" si="217"/>
        <v>6.1</v>
      </c>
      <c r="AU37" s="373">
        <f t="shared" si="217"/>
        <v>3.4220535369847322</v>
      </c>
      <c r="AV37" s="382">
        <v>-2.5052899999999999E-2</v>
      </c>
      <c r="AW37" s="382">
        <v>6.6929000000000002E-2</v>
      </c>
      <c r="AX37" s="374">
        <f t="shared" ref="AX37:AX43" si="218">J37</f>
        <v>0</v>
      </c>
      <c r="AY37" s="208">
        <f t="shared" ref="AY37:AY43" si="219">AT37-AU37-AV37+AW37+AX37</f>
        <v>2.7699283630152673</v>
      </c>
      <c r="AZ37" s="385">
        <f t="shared" ref="AZ37:AZ43" si="220">L37</f>
        <v>-0.24793717659146708</v>
      </c>
      <c r="BA37" s="208">
        <f t="shared" ref="BA37:BA43" si="221">SUM(AY37:AZ37)</f>
        <v>2.5219911864238003</v>
      </c>
      <c r="BB37" s="386">
        <f t="shared" ref="BB37:BE43" si="222">N37</f>
        <v>0</v>
      </c>
      <c r="BC37" s="386">
        <f t="shared" si="222"/>
        <v>0</v>
      </c>
      <c r="BD37" s="211">
        <f t="shared" si="222"/>
        <v>0</v>
      </c>
      <c r="BE37" s="211">
        <f t="shared" si="222"/>
        <v>7.2300000000000003E-2</v>
      </c>
      <c r="BF37" s="211">
        <f t="shared" ref="BF37:BF43" si="223">SUM(BB37:BE37)</f>
        <v>7.2300000000000003E-2</v>
      </c>
      <c r="BG37" s="208">
        <f t="shared" ref="BG37:BG43" si="224">BA37+BF37</f>
        <v>2.5942911864238001</v>
      </c>
      <c r="BH37" s="211">
        <f t="shared" ref="BH37:BL43" si="225">T37</f>
        <v>0.15330000000000002</v>
      </c>
      <c r="BI37" s="211">
        <f t="shared" si="225"/>
        <v>-0.59350000000000003</v>
      </c>
      <c r="BJ37" s="211">
        <f t="shared" si="225"/>
        <v>-0.30590000000000001</v>
      </c>
      <c r="BK37" s="211" t="str">
        <f t="shared" si="225"/>
        <v>-</v>
      </c>
      <c r="BL37" s="211" t="str">
        <f t="shared" si="225"/>
        <v>-</v>
      </c>
      <c r="BM37" s="211">
        <f t="shared" ref="BM37:BM43" si="226">SUM(BI37:BL37)</f>
        <v>-0.89939999999999998</v>
      </c>
      <c r="BN37" s="387">
        <f t="shared" ref="BN37:BN43" si="227">Z37</f>
        <v>-0.08</v>
      </c>
      <c r="BO37" s="208">
        <f t="shared" ref="BO37:BO43" si="228">SUM(BG37:BH37,BM37:BN37)</f>
        <v>1.7681911864238002</v>
      </c>
      <c r="BP37" s="211">
        <f t="shared" si="171"/>
        <v>-0.24459999999999998</v>
      </c>
      <c r="BQ37" s="211">
        <f t="shared" si="172"/>
        <v>-2.41E-2</v>
      </c>
      <c r="BR37" s="125">
        <f t="shared" ref="BR37:BR44" si="229">SUM(BO37:BQ37)</f>
        <v>1.4994911864238003</v>
      </c>
      <c r="BS37" s="211">
        <f t="shared" si="174"/>
        <v>-8.6699999999999999E-2</v>
      </c>
      <c r="BT37" s="125">
        <f t="shared" ref="BT37:BT44" si="230">SUM(BR37:BS37)</f>
        <v>1.4127911864238003</v>
      </c>
      <c r="BU37" s="375">
        <f t="shared" ref="BU37:BU43" si="231">AG37</f>
        <v>-0.33</v>
      </c>
      <c r="BW37" s="83">
        <v>0</v>
      </c>
      <c r="BY37" s="83">
        <v>0</v>
      </c>
      <c r="CA37" s="136">
        <f t="shared" ref="CA37:CA43" si="232">B37</f>
        <v>302</v>
      </c>
      <c r="CB37" s="97" t="str">
        <f t="shared" si="144"/>
        <v xml:space="preserve"> 01/1/1</v>
      </c>
      <c r="CC37" s="372">
        <f t="shared" ref="CC37:CF43" si="233">D37</f>
        <v>6.1</v>
      </c>
      <c r="CD37" s="231">
        <f t="shared" si="233"/>
        <v>6.2691999999999997</v>
      </c>
      <c r="CE37" s="385">
        <f t="shared" si="233"/>
        <v>6.1</v>
      </c>
      <c r="CF37" s="373">
        <f t="shared" si="233"/>
        <v>3.4220535369847322</v>
      </c>
      <c r="CG37" s="373">
        <f t="shared" ref="CG37:CH43" si="234">AV37*$BY37</f>
        <v>0</v>
      </c>
      <c r="CH37" s="373">
        <f t="shared" si="234"/>
        <v>0</v>
      </c>
      <c r="CI37" s="374">
        <f t="shared" ref="CI37:CI43" si="235">J37</f>
        <v>0</v>
      </c>
      <c r="CJ37" s="125">
        <f t="shared" ref="CJ37:CJ43" si="236">CE37-CF37-CG37+CH37+CI37</f>
        <v>2.6779464630152674</v>
      </c>
      <c r="CK37" s="385">
        <f t="shared" ref="CK37:CK43" si="237">L37</f>
        <v>-0.24793717659146708</v>
      </c>
      <c r="CL37" s="125">
        <f t="shared" ref="CL37:CL39" si="238">SUM(CJ37:CK37)</f>
        <v>2.4300092864238003</v>
      </c>
      <c r="CM37" s="386">
        <f t="shared" ref="CM37:CP43" si="239">N37</f>
        <v>0</v>
      </c>
      <c r="CN37" s="386">
        <f t="shared" si="239"/>
        <v>0</v>
      </c>
      <c r="CO37" s="211">
        <f t="shared" si="239"/>
        <v>0</v>
      </c>
      <c r="CP37" s="211">
        <f t="shared" si="239"/>
        <v>7.2300000000000003E-2</v>
      </c>
      <c r="CQ37" s="82">
        <f t="shared" ref="CQ37:CQ43" si="240">SUM(CM37:CP37)</f>
        <v>7.2300000000000003E-2</v>
      </c>
      <c r="CR37" s="125">
        <f t="shared" ref="CR37:CR44" si="241">CL37+CQ37</f>
        <v>2.5023092864238001</v>
      </c>
      <c r="CS37" s="211">
        <f t="shared" ref="CS37:CW43" si="242">T37</f>
        <v>0.15330000000000002</v>
      </c>
      <c r="CT37" s="211">
        <f t="shared" si="242"/>
        <v>-0.59350000000000003</v>
      </c>
      <c r="CU37" s="211">
        <f t="shared" si="242"/>
        <v>-0.30590000000000001</v>
      </c>
      <c r="CV37" s="211" t="str">
        <f t="shared" si="242"/>
        <v>-</v>
      </c>
      <c r="CW37" s="211" t="str">
        <f t="shared" si="242"/>
        <v>-</v>
      </c>
      <c r="CX37" s="211">
        <f t="shared" ref="CX37:CX43" si="243">SUM(CT37:CW37)</f>
        <v>-0.89939999999999998</v>
      </c>
      <c r="CY37" s="387">
        <f t="shared" ref="CY37:CY43" si="244">Z37</f>
        <v>-0.08</v>
      </c>
      <c r="CZ37" s="125">
        <f t="shared" ref="CZ37:CZ44" si="245">SUM(CR37:CS37,CX37:CY37)</f>
        <v>1.6762092864238003</v>
      </c>
      <c r="DA37" s="211">
        <f t="shared" si="199"/>
        <v>-0.24459999999999998</v>
      </c>
      <c r="DB37" s="211">
        <f t="shared" si="200"/>
        <v>-2.41E-2</v>
      </c>
      <c r="DC37" s="125">
        <f t="shared" ref="DC37:DC44" si="246">SUM(CZ37:DB37)</f>
        <v>1.4075092864238004</v>
      </c>
      <c r="DD37" s="211">
        <f t="shared" si="194"/>
        <v>-8.6699999999999999E-2</v>
      </c>
      <c r="DE37" s="125">
        <f t="shared" ref="DE37:DE44" si="247">SUM(DC37:DD37)</f>
        <v>1.3208092864238004</v>
      </c>
      <c r="DF37" s="375">
        <f t="shared" ref="DF37:DF43" si="248">AG37</f>
        <v>-0.33</v>
      </c>
      <c r="DH37" s="83">
        <v>0</v>
      </c>
    </row>
    <row r="38" spans="1:112" s="1" customFormat="1" ht="13">
      <c r="B38" s="136">
        <v>312</v>
      </c>
      <c r="C38" s="100" t="str">
        <f>" 05/5/5"</f>
        <v xml:space="preserve"> 05/5/5</v>
      </c>
      <c r="D38" s="356">
        <v>5.8</v>
      </c>
      <c r="E38" s="166">
        <f t="shared" ref="E38:E43" si="249">ROUND((POWER(ROUND(1+D38/1200,5),12)-1)*100,4)</f>
        <v>5.9524999999999997</v>
      </c>
      <c r="F38" s="53">
        <f t="shared" ref="F38:F43" si="250">D38</f>
        <v>5.8</v>
      </c>
      <c r="G38" s="81">
        <v>2.7683020524423596</v>
      </c>
      <c r="H38" s="81">
        <v>0</v>
      </c>
      <c r="I38" s="81">
        <v>0</v>
      </c>
      <c r="J38" s="287">
        <v>-0.15</v>
      </c>
      <c r="K38" s="125">
        <f t="shared" si="210"/>
        <v>2.8816979475576403</v>
      </c>
      <c r="L38" s="195">
        <v>-0.97492115377649435</v>
      </c>
      <c r="M38" s="125">
        <f t="shared" si="211"/>
        <v>1.906776793781146</v>
      </c>
      <c r="N38" s="98">
        <v>0</v>
      </c>
      <c r="O38" s="98">
        <v>0</v>
      </c>
      <c r="P38" s="278">
        <v>-5.3414960000000004E-2</v>
      </c>
      <c r="Q38" s="278">
        <v>7.2900000000000006E-2</v>
      </c>
      <c r="R38" s="82">
        <f t="shared" si="212"/>
        <v>1.9485040000000002E-2</v>
      </c>
      <c r="S38" s="125">
        <f t="shared" si="213"/>
        <v>1.9262618337811459</v>
      </c>
      <c r="T38" s="278">
        <v>6.409999999999999E-2</v>
      </c>
      <c r="U38" s="278">
        <v>-0.17480000000000001</v>
      </c>
      <c r="V38" s="278">
        <v>-9.01E-2</v>
      </c>
      <c r="W38" s="358" t="s">
        <v>393</v>
      </c>
      <c r="X38" s="358" t="s">
        <v>393</v>
      </c>
      <c r="Y38" s="211">
        <f t="shared" si="214"/>
        <v>-0.26490000000000002</v>
      </c>
      <c r="Z38" s="41">
        <v>-0.08</v>
      </c>
      <c r="AA38" s="125">
        <f t="shared" si="215"/>
        <v>1.645461833781146</v>
      </c>
      <c r="AB38" s="442">
        <v>-0.32740000000000002</v>
      </c>
      <c r="AC38" s="442">
        <v>-0.11770000000000001</v>
      </c>
      <c r="AD38" s="125">
        <f t="shared" si="156"/>
        <v>1.2003618337811461</v>
      </c>
      <c r="AE38" s="442">
        <v>-0.42409999999999998</v>
      </c>
      <c r="AF38" s="125">
        <f t="shared" si="157"/>
        <v>0.77626183378114622</v>
      </c>
      <c r="AG38" s="320">
        <v>-0.33</v>
      </c>
      <c r="AI38" s="83">
        <v>0</v>
      </c>
      <c r="AK38" s="332">
        <v>84</v>
      </c>
      <c r="AL38" s="427">
        <v>110000</v>
      </c>
      <c r="AN38" s="83">
        <v>6.1423344550898978E-4</v>
      </c>
      <c r="AO38"/>
      <c r="AP38" s="213">
        <f t="shared" si="216"/>
        <v>312</v>
      </c>
      <c r="AQ38" s="388" t="str">
        <f t="shared" si="152"/>
        <v xml:space="preserve"> 05/5/5</v>
      </c>
      <c r="AR38" s="372">
        <f t="shared" si="217"/>
        <v>5.8</v>
      </c>
      <c r="AS38" s="231">
        <f t="shared" si="217"/>
        <v>5.9524999999999997</v>
      </c>
      <c r="AT38" s="385">
        <f t="shared" si="217"/>
        <v>5.8</v>
      </c>
      <c r="AU38" s="373">
        <f t="shared" si="217"/>
        <v>2.7683020524423596</v>
      </c>
      <c r="AV38" s="382">
        <v>-2.5536500000000004E-2</v>
      </c>
      <c r="AW38" s="382">
        <v>6.6929000000000002E-2</v>
      </c>
      <c r="AX38" s="374">
        <f t="shared" si="218"/>
        <v>-0.15</v>
      </c>
      <c r="AY38" s="208">
        <f t="shared" si="219"/>
        <v>2.9741634475576402</v>
      </c>
      <c r="AZ38" s="385">
        <f t="shared" si="220"/>
        <v>-0.97492115377649435</v>
      </c>
      <c r="BA38" s="208">
        <f t="shared" si="221"/>
        <v>1.9992422937811458</v>
      </c>
      <c r="BB38" s="386">
        <f t="shared" si="222"/>
        <v>0</v>
      </c>
      <c r="BC38" s="386">
        <f t="shared" si="222"/>
        <v>0</v>
      </c>
      <c r="BD38" s="211">
        <f t="shared" si="222"/>
        <v>-5.3414960000000004E-2</v>
      </c>
      <c r="BE38" s="211">
        <f t="shared" si="222"/>
        <v>7.2900000000000006E-2</v>
      </c>
      <c r="BF38" s="211">
        <f t="shared" si="223"/>
        <v>1.9485040000000002E-2</v>
      </c>
      <c r="BG38" s="208">
        <f t="shared" si="224"/>
        <v>2.018727333781146</v>
      </c>
      <c r="BH38" s="211">
        <f t="shared" si="225"/>
        <v>6.409999999999999E-2</v>
      </c>
      <c r="BI38" s="211">
        <f t="shared" si="225"/>
        <v>-0.17480000000000001</v>
      </c>
      <c r="BJ38" s="211">
        <f t="shared" si="225"/>
        <v>-9.01E-2</v>
      </c>
      <c r="BK38" s="211" t="str">
        <f t="shared" si="225"/>
        <v>-</v>
      </c>
      <c r="BL38" s="211" t="str">
        <f t="shared" si="225"/>
        <v>-</v>
      </c>
      <c r="BM38" s="211">
        <f t="shared" si="226"/>
        <v>-0.26490000000000002</v>
      </c>
      <c r="BN38" s="387">
        <f t="shared" si="227"/>
        <v>-0.08</v>
      </c>
      <c r="BO38" s="208">
        <f t="shared" si="228"/>
        <v>1.7379273337811458</v>
      </c>
      <c r="BP38" s="211">
        <f t="shared" si="171"/>
        <v>-0.32740000000000002</v>
      </c>
      <c r="BQ38" s="211">
        <f t="shared" si="172"/>
        <v>-0.11770000000000001</v>
      </c>
      <c r="BR38" s="125">
        <f t="shared" si="229"/>
        <v>1.292827333781146</v>
      </c>
      <c r="BS38" s="211">
        <f t="shared" si="174"/>
        <v>-0.42409999999999998</v>
      </c>
      <c r="BT38" s="125">
        <f t="shared" si="230"/>
        <v>0.86872733378114608</v>
      </c>
      <c r="BU38" s="375">
        <f t="shared" si="231"/>
        <v>-0.33</v>
      </c>
      <c r="BW38" s="83">
        <v>2.3135361342141269E-3</v>
      </c>
      <c r="BY38" s="83">
        <v>1</v>
      </c>
      <c r="CA38" s="136">
        <f t="shared" si="232"/>
        <v>312</v>
      </c>
      <c r="CB38" s="100" t="str">
        <f t="shared" si="144"/>
        <v xml:space="preserve"> 05/5/5</v>
      </c>
      <c r="CC38" s="372">
        <f t="shared" si="233"/>
        <v>5.8</v>
      </c>
      <c r="CD38" s="231">
        <f t="shared" si="233"/>
        <v>5.9524999999999997</v>
      </c>
      <c r="CE38" s="385">
        <f t="shared" si="233"/>
        <v>5.8</v>
      </c>
      <c r="CF38" s="373">
        <f t="shared" si="233"/>
        <v>2.7683020524423596</v>
      </c>
      <c r="CG38" s="373">
        <f t="shared" si="234"/>
        <v>-2.5536500000000004E-2</v>
      </c>
      <c r="CH38" s="373">
        <f t="shared" si="234"/>
        <v>6.6929000000000002E-2</v>
      </c>
      <c r="CI38" s="374">
        <f t="shared" si="235"/>
        <v>-0.15</v>
      </c>
      <c r="CJ38" s="125">
        <f t="shared" si="236"/>
        <v>2.9741634475576402</v>
      </c>
      <c r="CK38" s="385">
        <f t="shared" si="237"/>
        <v>-0.97492115377649435</v>
      </c>
      <c r="CL38" s="125">
        <f t="shared" si="238"/>
        <v>1.9992422937811458</v>
      </c>
      <c r="CM38" s="386">
        <f t="shared" si="239"/>
        <v>0</v>
      </c>
      <c r="CN38" s="386">
        <f t="shared" si="239"/>
        <v>0</v>
      </c>
      <c r="CO38" s="211">
        <f t="shared" si="239"/>
        <v>-5.3414960000000004E-2</v>
      </c>
      <c r="CP38" s="211">
        <f t="shared" si="239"/>
        <v>7.2900000000000006E-2</v>
      </c>
      <c r="CQ38" s="82">
        <f t="shared" si="240"/>
        <v>1.9485040000000002E-2</v>
      </c>
      <c r="CR38" s="125">
        <f t="shared" si="241"/>
        <v>2.018727333781146</v>
      </c>
      <c r="CS38" s="211">
        <f t="shared" si="242"/>
        <v>6.409999999999999E-2</v>
      </c>
      <c r="CT38" s="211">
        <f t="shared" si="242"/>
        <v>-0.17480000000000001</v>
      </c>
      <c r="CU38" s="211">
        <f t="shared" si="242"/>
        <v>-9.01E-2</v>
      </c>
      <c r="CV38" s="211" t="str">
        <f t="shared" si="242"/>
        <v>-</v>
      </c>
      <c r="CW38" s="211" t="str">
        <f t="shared" si="242"/>
        <v>-</v>
      </c>
      <c r="CX38" s="211">
        <f t="shared" si="243"/>
        <v>-0.26490000000000002</v>
      </c>
      <c r="CY38" s="387">
        <f t="shared" si="244"/>
        <v>-0.08</v>
      </c>
      <c r="CZ38" s="125">
        <f t="shared" si="245"/>
        <v>1.7379273337811458</v>
      </c>
      <c r="DA38" s="211">
        <f t="shared" si="199"/>
        <v>-0.32740000000000002</v>
      </c>
      <c r="DB38" s="211">
        <f t="shared" si="200"/>
        <v>-0.11770000000000001</v>
      </c>
      <c r="DC38" s="125">
        <f t="shared" si="246"/>
        <v>1.292827333781146</v>
      </c>
      <c r="DD38" s="211">
        <f t="shared" si="194"/>
        <v>-0.42409999999999998</v>
      </c>
      <c r="DE38" s="125">
        <f t="shared" si="247"/>
        <v>0.86872733378114608</v>
      </c>
      <c r="DF38" s="375">
        <f t="shared" si="248"/>
        <v>-0.33</v>
      </c>
      <c r="DH38" s="83">
        <v>1.2023133706846559E-3</v>
      </c>
    </row>
    <row r="39" spans="1:112" s="1" customFormat="1" ht="12.5">
      <c r="B39" s="136">
        <v>322</v>
      </c>
      <c r="C39" s="100" t="str">
        <f>" 10/5/5"</f>
        <v xml:space="preserve"> 10/5/5</v>
      </c>
      <c r="D39" s="356">
        <v>5.6</v>
      </c>
      <c r="E39" s="166">
        <f t="shared" si="249"/>
        <v>5.7502000000000004</v>
      </c>
      <c r="F39" s="53">
        <f t="shared" si="250"/>
        <v>5.6</v>
      </c>
      <c r="G39" s="81">
        <v>2.632789212273432</v>
      </c>
      <c r="H39" s="81">
        <v>0</v>
      </c>
      <c r="I39" s="81">
        <v>0</v>
      </c>
      <c r="J39" s="287">
        <v>0</v>
      </c>
      <c r="K39" s="125">
        <f t="shared" si="210"/>
        <v>2.9672107877265677</v>
      </c>
      <c r="L39" s="195">
        <v>-1.2203824497105287</v>
      </c>
      <c r="M39" s="125">
        <f t="shared" si="211"/>
        <v>1.746828338016039</v>
      </c>
      <c r="N39" s="98">
        <v>0</v>
      </c>
      <c r="O39" s="98">
        <v>0</v>
      </c>
      <c r="P39" s="278">
        <v>-0.12964408000000002</v>
      </c>
      <c r="Q39" s="278">
        <v>7.3599999999999999E-2</v>
      </c>
      <c r="R39" s="82">
        <f t="shared" si="212"/>
        <v>-5.6044080000000024E-2</v>
      </c>
      <c r="S39" s="125">
        <f t="shared" si="213"/>
        <v>1.690784258016039</v>
      </c>
      <c r="T39" s="278">
        <v>2.6699999999999998E-2</v>
      </c>
      <c r="U39" s="278">
        <v>-8.270000000000001E-2</v>
      </c>
      <c r="V39" s="278">
        <v>-4.2599999999999999E-2</v>
      </c>
      <c r="W39" s="358" t="s">
        <v>393</v>
      </c>
      <c r="X39" s="358" t="s">
        <v>393</v>
      </c>
      <c r="Y39" s="211">
        <f t="shared" si="214"/>
        <v>-0.12530000000000002</v>
      </c>
      <c r="Z39" s="41">
        <v>-0.08</v>
      </c>
      <c r="AA39" s="125">
        <f t="shared" si="215"/>
        <v>1.512184258016039</v>
      </c>
      <c r="AB39" s="442">
        <v>-0.11670000000000001</v>
      </c>
      <c r="AC39" s="442">
        <v>-9.64E-2</v>
      </c>
      <c r="AD39" s="125">
        <f t="shared" si="156"/>
        <v>1.2990842580160389</v>
      </c>
      <c r="AE39" s="442">
        <v>-0.34739999999999999</v>
      </c>
      <c r="AF39" s="125">
        <f t="shared" si="157"/>
        <v>0.95168425801603895</v>
      </c>
      <c r="AG39" s="320">
        <v>-0.33</v>
      </c>
      <c r="AI39" s="83">
        <v>0</v>
      </c>
      <c r="AK39" s="84">
        <v>180</v>
      </c>
      <c r="AL39" s="99">
        <v>146000</v>
      </c>
      <c r="AN39" s="83">
        <v>0</v>
      </c>
      <c r="AO39"/>
      <c r="AP39" s="213">
        <f t="shared" si="216"/>
        <v>322</v>
      </c>
      <c r="AQ39" s="388" t="str">
        <f t="shared" si="152"/>
        <v xml:space="preserve"> 10/5/5</v>
      </c>
      <c r="AR39" s="372">
        <f t="shared" si="217"/>
        <v>5.6</v>
      </c>
      <c r="AS39" s="231">
        <f t="shared" si="217"/>
        <v>5.7502000000000004</v>
      </c>
      <c r="AT39" s="385">
        <f t="shared" si="217"/>
        <v>5.6</v>
      </c>
      <c r="AU39" s="373">
        <f t="shared" si="217"/>
        <v>2.632789212273432</v>
      </c>
      <c r="AV39" s="382">
        <v>-5.8689999999999992E-3</v>
      </c>
      <c r="AW39" s="382">
        <v>5.7342999999999998E-2</v>
      </c>
      <c r="AX39" s="374">
        <f t="shared" si="218"/>
        <v>0</v>
      </c>
      <c r="AY39" s="208">
        <f t="shared" si="219"/>
        <v>3.0304227877265677</v>
      </c>
      <c r="AZ39" s="385">
        <f t="shared" si="220"/>
        <v>-1.2203824497105287</v>
      </c>
      <c r="BA39" s="208">
        <f t="shared" si="221"/>
        <v>1.810040338016039</v>
      </c>
      <c r="BB39" s="386">
        <f t="shared" si="222"/>
        <v>0</v>
      </c>
      <c r="BC39" s="386">
        <f t="shared" si="222"/>
        <v>0</v>
      </c>
      <c r="BD39" s="211">
        <f t="shared" si="222"/>
        <v>-0.12964408000000002</v>
      </c>
      <c r="BE39" s="211">
        <f t="shared" si="222"/>
        <v>7.3599999999999999E-2</v>
      </c>
      <c r="BF39" s="211">
        <f t="shared" si="223"/>
        <v>-5.6044080000000024E-2</v>
      </c>
      <c r="BG39" s="208">
        <f t="shared" si="224"/>
        <v>1.7539962580160391</v>
      </c>
      <c r="BH39" s="211">
        <f t="shared" si="225"/>
        <v>2.6699999999999998E-2</v>
      </c>
      <c r="BI39" s="211">
        <f t="shared" si="225"/>
        <v>-8.270000000000001E-2</v>
      </c>
      <c r="BJ39" s="211">
        <f t="shared" si="225"/>
        <v>-4.2599999999999999E-2</v>
      </c>
      <c r="BK39" s="211" t="str">
        <f t="shared" si="225"/>
        <v>-</v>
      </c>
      <c r="BL39" s="211" t="str">
        <f t="shared" si="225"/>
        <v>-</v>
      </c>
      <c r="BM39" s="211">
        <f t="shared" si="226"/>
        <v>-0.12530000000000002</v>
      </c>
      <c r="BN39" s="387">
        <f t="shared" si="227"/>
        <v>-0.08</v>
      </c>
      <c r="BO39" s="208">
        <f t="shared" si="228"/>
        <v>1.575396258016039</v>
      </c>
      <c r="BP39" s="211">
        <f t="shared" si="171"/>
        <v>-0.11670000000000001</v>
      </c>
      <c r="BQ39" s="211">
        <f t="shared" si="172"/>
        <v>-9.64E-2</v>
      </c>
      <c r="BR39" s="125">
        <f t="shared" si="229"/>
        <v>1.3622962580160389</v>
      </c>
      <c r="BS39" s="211">
        <f t="shared" si="174"/>
        <v>-0.34739999999999999</v>
      </c>
      <c r="BT39" s="125">
        <f t="shared" si="230"/>
        <v>1.014896258016039</v>
      </c>
      <c r="BU39" s="375">
        <f t="shared" si="231"/>
        <v>-0.33</v>
      </c>
      <c r="BW39" s="83">
        <v>0</v>
      </c>
      <c r="BY39" s="83">
        <v>0</v>
      </c>
      <c r="CA39" s="136">
        <f t="shared" si="232"/>
        <v>322</v>
      </c>
      <c r="CB39" s="100" t="str">
        <f t="shared" si="144"/>
        <v xml:space="preserve"> 10/5/5</v>
      </c>
      <c r="CC39" s="372">
        <f t="shared" si="233"/>
        <v>5.6</v>
      </c>
      <c r="CD39" s="231">
        <f t="shared" si="233"/>
        <v>5.7502000000000004</v>
      </c>
      <c r="CE39" s="385">
        <f t="shared" si="233"/>
        <v>5.6</v>
      </c>
      <c r="CF39" s="373">
        <f t="shared" si="233"/>
        <v>2.632789212273432</v>
      </c>
      <c r="CG39" s="373">
        <f t="shared" si="234"/>
        <v>0</v>
      </c>
      <c r="CH39" s="373">
        <f t="shared" si="234"/>
        <v>0</v>
      </c>
      <c r="CI39" s="374">
        <f t="shared" si="235"/>
        <v>0</v>
      </c>
      <c r="CJ39" s="125">
        <f t="shared" si="236"/>
        <v>2.9672107877265677</v>
      </c>
      <c r="CK39" s="385">
        <f t="shared" si="237"/>
        <v>-1.2203824497105287</v>
      </c>
      <c r="CL39" s="125">
        <f t="shared" si="238"/>
        <v>1.746828338016039</v>
      </c>
      <c r="CM39" s="386">
        <f t="shared" si="239"/>
        <v>0</v>
      </c>
      <c r="CN39" s="386">
        <f t="shared" si="239"/>
        <v>0</v>
      </c>
      <c r="CO39" s="211">
        <f t="shared" si="239"/>
        <v>-0.12964408000000002</v>
      </c>
      <c r="CP39" s="211">
        <f t="shared" si="239"/>
        <v>7.3599999999999999E-2</v>
      </c>
      <c r="CQ39" s="82">
        <f t="shared" si="240"/>
        <v>-5.6044080000000024E-2</v>
      </c>
      <c r="CR39" s="125">
        <f t="shared" si="241"/>
        <v>1.690784258016039</v>
      </c>
      <c r="CS39" s="211">
        <f t="shared" si="242"/>
        <v>2.6699999999999998E-2</v>
      </c>
      <c r="CT39" s="211">
        <f t="shared" si="242"/>
        <v>-8.270000000000001E-2</v>
      </c>
      <c r="CU39" s="211">
        <f t="shared" si="242"/>
        <v>-4.2599999999999999E-2</v>
      </c>
      <c r="CV39" s="211" t="str">
        <f t="shared" si="242"/>
        <v>-</v>
      </c>
      <c r="CW39" s="211" t="str">
        <f t="shared" si="242"/>
        <v>-</v>
      </c>
      <c r="CX39" s="211">
        <f t="shared" si="243"/>
        <v>-0.12530000000000002</v>
      </c>
      <c r="CY39" s="387">
        <f t="shared" si="244"/>
        <v>-0.08</v>
      </c>
      <c r="CZ39" s="125">
        <f t="shared" si="245"/>
        <v>1.512184258016039</v>
      </c>
      <c r="DA39" s="211">
        <f t="shared" si="199"/>
        <v>-0.11670000000000001</v>
      </c>
      <c r="DB39" s="211">
        <f t="shared" si="200"/>
        <v>-9.64E-2</v>
      </c>
      <c r="DC39" s="125">
        <f t="shared" si="246"/>
        <v>1.2990842580160389</v>
      </c>
      <c r="DD39" s="211">
        <f t="shared" si="194"/>
        <v>-0.34739999999999999</v>
      </c>
      <c r="DE39" s="125">
        <f t="shared" si="247"/>
        <v>0.95168425801603895</v>
      </c>
      <c r="DF39" s="375">
        <f t="shared" si="248"/>
        <v>-0.33</v>
      </c>
      <c r="DH39" s="83">
        <v>0</v>
      </c>
    </row>
    <row r="40" spans="1:112" s="1" customFormat="1" ht="12.5">
      <c r="B40" s="136">
        <v>332</v>
      </c>
      <c r="C40" s="86" t="str">
        <f>" 05 "&amp;INDEX(ActT,10,ActLangID)</f>
        <v xml:space="preserve"> 05 jaar vast</v>
      </c>
      <c r="D40" s="356">
        <v>5.75</v>
      </c>
      <c r="E40" s="166">
        <f t="shared" ref="E40" si="251">ROUND((POWER(ROUND(1+D40/1200,5),12)-1)*100,4)</f>
        <v>5.9019000000000004</v>
      </c>
      <c r="F40" s="53">
        <f t="shared" ref="F40" si="252">D40</f>
        <v>5.75</v>
      </c>
      <c r="G40" s="81">
        <v>2.8805601743544411</v>
      </c>
      <c r="H40" s="81">
        <v>0</v>
      </c>
      <c r="I40" s="81">
        <v>0</v>
      </c>
      <c r="J40" s="287">
        <v>-0.95</v>
      </c>
      <c r="K40" s="125">
        <f t="shared" si="210"/>
        <v>1.9194398256455589</v>
      </c>
      <c r="L40" s="195">
        <v>-0.87351013307165903</v>
      </c>
      <c r="M40" s="125">
        <f t="shared" ref="M40" si="253">SUM(K40:L40)</f>
        <v>1.0459296925738999</v>
      </c>
      <c r="N40" s="98">
        <v>0</v>
      </c>
      <c r="O40" s="98">
        <v>0</v>
      </c>
      <c r="P40" s="286">
        <v>-4.5441599999999999E-2</v>
      </c>
      <c r="Q40" s="286">
        <v>5.9900000000000002E-2</v>
      </c>
      <c r="R40" s="82">
        <f t="shared" ref="R40" si="254">SUM(N40:Q40)</f>
        <v>1.4458400000000003E-2</v>
      </c>
      <c r="S40" s="125">
        <f t="shared" ref="S40" si="255">M40+R40</f>
        <v>1.0603880925739</v>
      </c>
      <c r="T40" s="286">
        <v>0.3725</v>
      </c>
      <c r="U40" s="286">
        <v>-0.2576</v>
      </c>
      <c r="V40" s="286">
        <v>-0.1328</v>
      </c>
      <c r="W40" s="358" t="s">
        <v>393</v>
      </c>
      <c r="X40" s="358" t="s">
        <v>393</v>
      </c>
      <c r="Y40" s="211">
        <f t="shared" ref="Y40" si="256">SUM(U40:X40)</f>
        <v>-0.39039999999999997</v>
      </c>
      <c r="Z40" s="41">
        <v>-0.08</v>
      </c>
      <c r="AA40" s="125">
        <f t="shared" si="215"/>
        <v>0.96248809257390022</v>
      </c>
      <c r="AB40" s="442">
        <v>-1.9022000000000001</v>
      </c>
      <c r="AC40" s="442">
        <v>-0.45570000000000005</v>
      </c>
      <c r="AD40" s="125">
        <f t="shared" si="156"/>
        <v>-1.3954119074261</v>
      </c>
      <c r="AE40" s="442">
        <v>-1.6424999999999998</v>
      </c>
      <c r="AF40" s="125">
        <f t="shared" si="157"/>
        <v>-3.0379119074260998</v>
      </c>
      <c r="AG40" s="320">
        <v>-0.33</v>
      </c>
      <c r="AI40" s="83">
        <v>6.7900447878592105E-3</v>
      </c>
      <c r="AK40" s="280">
        <v>57</v>
      </c>
      <c r="AL40" s="99">
        <v>27900</v>
      </c>
      <c r="AN40" s="83">
        <v>8.1071881924610466E-3</v>
      </c>
      <c r="AO40"/>
      <c r="AP40" s="213">
        <f t="shared" si="216"/>
        <v>332</v>
      </c>
      <c r="AQ40" s="376" t="str">
        <f t="shared" si="152"/>
        <v xml:space="preserve"> 05 jaar vast</v>
      </c>
      <c r="AR40" s="372">
        <f t="shared" si="217"/>
        <v>5.75</v>
      </c>
      <c r="AS40" s="231">
        <f t="shared" si="217"/>
        <v>5.9019000000000004</v>
      </c>
      <c r="AT40" s="385">
        <f t="shared" si="217"/>
        <v>5.75</v>
      </c>
      <c r="AU40" s="373">
        <f t="shared" si="217"/>
        <v>2.8805601743544411</v>
      </c>
      <c r="AV40" s="382">
        <v>3.7371300000000003E-2</v>
      </c>
      <c r="AW40" s="382">
        <v>0.18606300000000001</v>
      </c>
      <c r="AX40" s="374">
        <f t="shared" si="218"/>
        <v>-0.95</v>
      </c>
      <c r="AY40" s="208">
        <f t="shared" si="219"/>
        <v>2.0681315256455584</v>
      </c>
      <c r="AZ40" s="385">
        <f t="shared" si="220"/>
        <v>-0.87351013307165903</v>
      </c>
      <c r="BA40" s="208">
        <f t="shared" si="221"/>
        <v>1.1946213925738993</v>
      </c>
      <c r="BB40" s="386">
        <f t="shared" si="222"/>
        <v>0</v>
      </c>
      <c r="BC40" s="386">
        <f t="shared" si="222"/>
        <v>0</v>
      </c>
      <c r="BD40" s="211">
        <f t="shared" si="222"/>
        <v>-4.5441599999999999E-2</v>
      </c>
      <c r="BE40" s="211">
        <f t="shared" si="222"/>
        <v>5.9900000000000002E-2</v>
      </c>
      <c r="BF40" s="211">
        <f t="shared" si="223"/>
        <v>1.4458400000000003E-2</v>
      </c>
      <c r="BG40" s="208">
        <f t="shared" si="224"/>
        <v>1.2090797925738994</v>
      </c>
      <c r="BH40" s="211">
        <f t="shared" si="225"/>
        <v>0.3725</v>
      </c>
      <c r="BI40" s="211">
        <f t="shared" si="225"/>
        <v>-0.2576</v>
      </c>
      <c r="BJ40" s="211">
        <f t="shared" si="225"/>
        <v>-0.1328</v>
      </c>
      <c r="BK40" s="211" t="str">
        <f t="shared" si="225"/>
        <v>-</v>
      </c>
      <c r="BL40" s="211" t="str">
        <f t="shared" si="225"/>
        <v>-</v>
      </c>
      <c r="BM40" s="211">
        <f t="shared" si="226"/>
        <v>-0.39039999999999997</v>
      </c>
      <c r="BN40" s="387">
        <f t="shared" si="227"/>
        <v>-0.08</v>
      </c>
      <c r="BO40" s="208">
        <f t="shared" si="228"/>
        <v>1.1111797925738993</v>
      </c>
      <c r="BP40" s="211">
        <f t="shared" si="171"/>
        <v>-1.9022000000000001</v>
      </c>
      <c r="BQ40" s="211">
        <f t="shared" si="172"/>
        <v>-0.45570000000000005</v>
      </c>
      <c r="BR40" s="125">
        <f t="shared" si="229"/>
        <v>-1.2467202074261008</v>
      </c>
      <c r="BS40" s="211">
        <f t="shared" si="174"/>
        <v>-1.6424999999999998</v>
      </c>
      <c r="BT40" s="125">
        <f t="shared" si="230"/>
        <v>-2.8892202074261006</v>
      </c>
      <c r="BU40" s="375">
        <f t="shared" si="231"/>
        <v>-0.33</v>
      </c>
      <c r="BW40" s="83">
        <v>2.4260453575047317E-2</v>
      </c>
      <c r="BY40" s="83">
        <v>0.79448524362858375</v>
      </c>
      <c r="CA40" s="136">
        <f t="shared" si="232"/>
        <v>332</v>
      </c>
      <c r="CB40" s="86" t="str">
        <f t="shared" si="144"/>
        <v xml:space="preserve"> 05 jaar vast</v>
      </c>
      <c r="CC40" s="372">
        <f t="shared" si="233"/>
        <v>5.75</v>
      </c>
      <c r="CD40" s="231">
        <f t="shared" si="233"/>
        <v>5.9019000000000004</v>
      </c>
      <c r="CE40" s="385">
        <f t="shared" si="233"/>
        <v>5.75</v>
      </c>
      <c r="CF40" s="373">
        <f t="shared" si="233"/>
        <v>2.8805601743544411</v>
      </c>
      <c r="CG40" s="373">
        <f>AV40*$BY40</f>
        <v>2.9690946385216896E-2</v>
      </c>
      <c r="CH40" s="373">
        <f t="shared" si="234"/>
        <v>0.14782430788526518</v>
      </c>
      <c r="CI40" s="374">
        <f t="shared" si="235"/>
        <v>-0.95</v>
      </c>
      <c r="CJ40" s="125">
        <f t="shared" si="236"/>
        <v>2.0375731871456075</v>
      </c>
      <c r="CK40" s="385">
        <f t="shared" si="237"/>
        <v>-0.87351013307165903</v>
      </c>
      <c r="CL40" s="125">
        <f t="shared" ref="CL40" si="257">SUM(CJ40:CK40)</f>
        <v>1.1640630540739485</v>
      </c>
      <c r="CM40" s="386">
        <f t="shared" si="239"/>
        <v>0</v>
      </c>
      <c r="CN40" s="386">
        <f t="shared" si="239"/>
        <v>0</v>
      </c>
      <c r="CO40" s="211">
        <f t="shared" si="239"/>
        <v>-4.5441599999999999E-2</v>
      </c>
      <c r="CP40" s="211">
        <f t="shared" si="239"/>
        <v>5.9900000000000002E-2</v>
      </c>
      <c r="CQ40" s="82">
        <f t="shared" si="240"/>
        <v>1.4458400000000003E-2</v>
      </c>
      <c r="CR40" s="125">
        <f t="shared" si="241"/>
        <v>1.1785214540739486</v>
      </c>
      <c r="CS40" s="211">
        <f t="shared" si="242"/>
        <v>0.3725</v>
      </c>
      <c r="CT40" s="211">
        <f t="shared" si="242"/>
        <v>-0.2576</v>
      </c>
      <c r="CU40" s="211">
        <f t="shared" si="242"/>
        <v>-0.1328</v>
      </c>
      <c r="CV40" s="211" t="str">
        <f t="shared" si="242"/>
        <v>-</v>
      </c>
      <c r="CW40" s="211" t="str">
        <f t="shared" si="242"/>
        <v>-</v>
      </c>
      <c r="CX40" s="211">
        <f t="shared" si="243"/>
        <v>-0.39039999999999997</v>
      </c>
      <c r="CY40" s="387">
        <f t="shared" si="244"/>
        <v>-0.08</v>
      </c>
      <c r="CZ40" s="125">
        <f t="shared" si="245"/>
        <v>1.0806214540739485</v>
      </c>
      <c r="DA40" s="211">
        <f t="shared" si="199"/>
        <v>-1.9022000000000001</v>
      </c>
      <c r="DB40" s="211">
        <f t="shared" si="200"/>
        <v>-0.45570000000000005</v>
      </c>
      <c r="DC40" s="125">
        <f t="shared" si="246"/>
        <v>-1.2772785459260516</v>
      </c>
      <c r="DD40" s="211">
        <f t="shared" si="194"/>
        <v>-1.6424999999999998</v>
      </c>
      <c r="DE40" s="125">
        <f t="shared" si="247"/>
        <v>-2.9197785459260515</v>
      </c>
      <c r="DF40" s="375">
        <f t="shared" si="248"/>
        <v>-0.33</v>
      </c>
      <c r="DH40" s="83">
        <v>1.5869179436126982E-2</v>
      </c>
    </row>
    <row r="41" spans="1:112" s="1" customFormat="1" ht="12.5">
      <c r="B41" s="136">
        <v>342</v>
      </c>
      <c r="C41" s="86" t="str">
        <f>" 10 "&amp;INDEX(ActT,10,ActLangID)</f>
        <v xml:space="preserve"> 10 jaar vast</v>
      </c>
      <c r="D41" s="356">
        <v>5.6</v>
      </c>
      <c r="E41" s="166">
        <f t="shared" si="249"/>
        <v>5.7502000000000004</v>
      </c>
      <c r="F41" s="53">
        <f t="shared" si="250"/>
        <v>5.6</v>
      </c>
      <c r="G41" s="81">
        <v>2.671771956772989</v>
      </c>
      <c r="H41" s="81">
        <v>0</v>
      </c>
      <c r="I41" s="81">
        <v>0</v>
      </c>
      <c r="J41" s="287">
        <v>-1.56</v>
      </c>
      <c r="K41" s="125">
        <f t="shared" si="210"/>
        <v>1.3682280432270106</v>
      </c>
      <c r="L41" s="195">
        <v>-1.0892280613753136</v>
      </c>
      <c r="M41" s="125">
        <f t="shared" si="211"/>
        <v>0.27899998185169705</v>
      </c>
      <c r="N41" s="98">
        <v>0</v>
      </c>
      <c r="O41" s="98">
        <v>0</v>
      </c>
      <c r="P41" s="278">
        <v>-8.7871680000000008E-2</v>
      </c>
      <c r="Q41" s="278">
        <v>5.2400000000000002E-2</v>
      </c>
      <c r="R41" s="82">
        <f t="shared" si="212"/>
        <v>-3.5471680000000005E-2</v>
      </c>
      <c r="S41" s="125">
        <f t="shared" si="213"/>
        <v>0.24352830185169705</v>
      </c>
      <c r="T41" s="278">
        <v>4.2700000000000002E-2</v>
      </c>
      <c r="U41" s="278">
        <v>-0.13220000000000001</v>
      </c>
      <c r="V41" s="278">
        <v>-6.8199999999999997E-2</v>
      </c>
      <c r="W41" s="358" t="s">
        <v>393</v>
      </c>
      <c r="X41" s="358" t="s">
        <v>393</v>
      </c>
      <c r="Y41" s="211">
        <f t="shared" si="214"/>
        <v>-0.20040000000000002</v>
      </c>
      <c r="Z41" s="41">
        <v>-0.08</v>
      </c>
      <c r="AA41" s="125">
        <f t="shared" si="215"/>
        <v>5.8283018516970403E-3</v>
      </c>
      <c r="AB41" s="442">
        <v>-0.2127</v>
      </c>
      <c r="AC41" s="442">
        <v>-0.10610000000000001</v>
      </c>
      <c r="AD41" s="125">
        <f t="shared" si="156"/>
        <v>-0.312971698148303</v>
      </c>
      <c r="AE41" s="442">
        <v>-0.38219999999999998</v>
      </c>
      <c r="AF41" s="125">
        <f t="shared" si="157"/>
        <v>-0.69517169814830293</v>
      </c>
      <c r="AG41" s="320">
        <v>-0.33</v>
      </c>
      <c r="AI41" s="83">
        <v>1.9903404027850031E-2</v>
      </c>
      <c r="AK41" s="84">
        <v>114</v>
      </c>
      <c r="AL41" s="99">
        <v>128100</v>
      </c>
      <c r="AN41" s="83">
        <v>2.9614520054809419E-2</v>
      </c>
      <c r="AO41"/>
      <c r="AP41" s="213">
        <f t="shared" si="216"/>
        <v>342</v>
      </c>
      <c r="AQ41" s="376" t="str">
        <f t="shared" si="152"/>
        <v xml:space="preserve"> 10 jaar vast</v>
      </c>
      <c r="AR41" s="372">
        <f t="shared" si="217"/>
        <v>5.6</v>
      </c>
      <c r="AS41" s="231">
        <f t="shared" si="217"/>
        <v>5.7502000000000004</v>
      </c>
      <c r="AT41" s="385">
        <f t="shared" si="217"/>
        <v>5.6</v>
      </c>
      <c r="AU41" s="373">
        <f t="shared" si="217"/>
        <v>2.671771956772989</v>
      </c>
      <c r="AV41" s="382">
        <v>4.7265100000000004E-2</v>
      </c>
      <c r="AW41" s="382">
        <v>0.110184</v>
      </c>
      <c r="AX41" s="374">
        <f t="shared" si="218"/>
        <v>-1.56</v>
      </c>
      <c r="AY41" s="208">
        <f t="shared" si="219"/>
        <v>1.4311469432270103</v>
      </c>
      <c r="AZ41" s="385">
        <f t="shared" si="220"/>
        <v>-1.0892280613753136</v>
      </c>
      <c r="BA41" s="208">
        <f t="shared" si="221"/>
        <v>0.34191888185169672</v>
      </c>
      <c r="BB41" s="386">
        <f t="shared" si="222"/>
        <v>0</v>
      </c>
      <c r="BC41" s="386">
        <f t="shared" si="222"/>
        <v>0</v>
      </c>
      <c r="BD41" s="211">
        <f t="shared" si="222"/>
        <v>-8.7871680000000008E-2</v>
      </c>
      <c r="BE41" s="211">
        <f t="shared" si="222"/>
        <v>5.2400000000000002E-2</v>
      </c>
      <c r="BF41" s="211">
        <f t="shared" si="223"/>
        <v>-3.5471680000000005E-2</v>
      </c>
      <c r="BG41" s="208">
        <f t="shared" si="224"/>
        <v>0.30644720185169672</v>
      </c>
      <c r="BH41" s="211">
        <f t="shared" si="225"/>
        <v>4.2700000000000002E-2</v>
      </c>
      <c r="BI41" s="211">
        <f t="shared" si="225"/>
        <v>-0.13220000000000001</v>
      </c>
      <c r="BJ41" s="211">
        <f t="shared" si="225"/>
        <v>-6.8199999999999997E-2</v>
      </c>
      <c r="BK41" s="211" t="str">
        <f t="shared" si="225"/>
        <v>-</v>
      </c>
      <c r="BL41" s="211" t="str">
        <f t="shared" si="225"/>
        <v>-</v>
      </c>
      <c r="BM41" s="211">
        <f t="shared" si="226"/>
        <v>-0.20040000000000002</v>
      </c>
      <c r="BN41" s="387">
        <f t="shared" si="227"/>
        <v>-0.08</v>
      </c>
      <c r="BO41" s="208">
        <f t="shared" si="228"/>
        <v>6.8747201851696707E-2</v>
      </c>
      <c r="BP41" s="211">
        <f t="shared" si="171"/>
        <v>-0.2127</v>
      </c>
      <c r="BQ41" s="211">
        <f t="shared" si="172"/>
        <v>-0.10610000000000001</v>
      </c>
      <c r="BR41" s="125">
        <f t="shared" si="229"/>
        <v>-0.25005279814830333</v>
      </c>
      <c r="BS41" s="211">
        <f t="shared" si="174"/>
        <v>-0.38219999999999998</v>
      </c>
      <c r="BT41" s="125">
        <f t="shared" si="230"/>
        <v>-0.63225279814830326</v>
      </c>
      <c r="BU41" s="375">
        <f t="shared" si="231"/>
        <v>-0.33</v>
      </c>
      <c r="BW41" s="83">
        <v>9.3148869932156292E-2</v>
      </c>
      <c r="BY41" s="83">
        <v>0.83508381247339192</v>
      </c>
      <c r="CA41" s="136">
        <f t="shared" si="232"/>
        <v>342</v>
      </c>
      <c r="CB41" s="86" t="str">
        <f t="shared" si="144"/>
        <v xml:space="preserve"> 10 jaar vast</v>
      </c>
      <c r="CC41" s="372">
        <f t="shared" si="233"/>
        <v>5.6</v>
      </c>
      <c r="CD41" s="231">
        <f t="shared" si="233"/>
        <v>5.7502000000000004</v>
      </c>
      <c r="CE41" s="385">
        <f t="shared" si="233"/>
        <v>5.6</v>
      </c>
      <c r="CF41" s="373">
        <f t="shared" si="233"/>
        <v>2.671771956772989</v>
      </c>
      <c r="CG41" s="373">
        <f t="shared" si="234"/>
        <v>3.9470319904936123E-2</v>
      </c>
      <c r="CH41" s="373">
        <f t="shared" si="234"/>
        <v>9.201287479356822E-2</v>
      </c>
      <c r="CI41" s="374">
        <f t="shared" si="235"/>
        <v>-1.56</v>
      </c>
      <c r="CJ41" s="125">
        <f t="shared" si="236"/>
        <v>1.4207705981156429</v>
      </c>
      <c r="CK41" s="385">
        <f t="shared" si="237"/>
        <v>-1.0892280613753136</v>
      </c>
      <c r="CL41" s="125">
        <f t="shared" ref="CL41:CL44" si="258">SUM(CJ41:CK41)</f>
        <v>0.3315425367403293</v>
      </c>
      <c r="CM41" s="386">
        <f t="shared" si="239"/>
        <v>0</v>
      </c>
      <c r="CN41" s="386">
        <f t="shared" si="239"/>
        <v>0</v>
      </c>
      <c r="CO41" s="211">
        <f t="shared" si="239"/>
        <v>-8.7871680000000008E-2</v>
      </c>
      <c r="CP41" s="211">
        <f t="shared" si="239"/>
        <v>5.2400000000000002E-2</v>
      </c>
      <c r="CQ41" s="82">
        <f t="shared" si="240"/>
        <v>-3.5471680000000005E-2</v>
      </c>
      <c r="CR41" s="125">
        <f t="shared" si="241"/>
        <v>0.29607085674032929</v>
      </c>
      <c r="CS41" s="211">
        <f t="shared" si="242"/>
        <v>4.2700000000000002E-2</v>
      </c>
      <c r="CT41" s="211">
        <f t="shared" si="242"/>
        <v>-0.13220000000000001</v>
      </c>
      <c r="CU41" s="211">
        <f t="shared" si="242"/>
        <v>-6.8199999999999997E-2</v>
      </c>
      <c r="CV41" s="211" t="str">
        <f t="shared" si="242"/>
        <v>-</v>
      </c>
      <c r="CW41" s="211" t="str">
        <f t="shared" si="242"/>
        <v>-</v>
      </c>
      <c r="CX41" s="211">
        <f t="shared" si="243"/>
        <v>-0.20040000000000002</v>
      </c>
      <c r="CY41" s="387">
        <f t="shared" si="244"/>
        <v>-0.08</v>
      </c>
      <c r="CZ41" s="125">
        <f t="shared" si="245"/>
        <v>5.8370856740329283E-2</v>
      </c>
      <c r="DA41" s="211">
        <f t="shared" si="199"/>
        <v>-0.2127</v>
      </c>
      <c r="DB41" s="211">
        <f t="shared" si="200"/>
        <v>-0.10610000000000001</v>
      </c>
      <c r="DC41" s="125">
        <f t="shared" si="246"/>
        <v>-0.26042914325967076</v>
      </c>
      <c r="DD41" s="211">
        <f t="shared" si="194"/>
        <v>-0.38219999999999998</v>
      </c>
      <c r="DE41" s="125">
        <f t="shared" si="247"/>
        <v>-0.64262914325967069</v>
      </c>
      <c r="DF41" s="375">
        <f t="shared" si="248"/>
        <v>-0.33</v>
      </c>
      <c r="DH41" s="83">
        <v>5.7968079870351401E-2</v>
      </c>
    </row>
    <row r="42" spans="1:112" s="1" customFormat="1" ht="12.5">
      <c r="B42" s="136">
        <v>352</v>
      </c>
      <c r="C42" s="79" t="str">
        <f>" 15 "&amp;INDEX(ActT,10,ActLangID)</f>
        <v xml:space="preserve"> 15 jaar vast</v>
      </c>
      <c r="D42" s="356">
        <v>5.64</v>
      </c>
      <c r="E42" s="166">
        <f t="shared" si="249"/>
        <v>5.7881</v>
      </c>
      <c r="F42" s="53">
        <f t="shared" si="250"/>
        <v>5.64</v>
      </c>
      <c r="G42" s="81">
        <v>2.6539613214740636</v>
      </c>
      <c r="H42" s="81">
        <v>0</v>
      </c>
      <c r="I42" s="81">
        <v>0</v>
      </c>
      <c r="J42" s="287">
        <v>-1.62</v>
      </c>
      <c r="K42" s="125">
        <f t="shared" si="210"/>
        <v>1.366038678525936</v>
      </c>
      <c r="L42" s="195">
        <v>-1.199055547187345</v>
      </c>
      <c r="M42" s="125">
        <f t="shared" si="211"/>
        <v>0.166983131338591</v>
      </c>
      <c r="N42" s="98">
        <v>0</v>
      </c>
      <c r="O42" s="98">
        <v>0</v>
      </c>
      <c r="P42" s="278">
        <v>-0.12881720000000002</v>
      </c>
      <c r="Q42" s="278">
        <v>5.2600000000000001E-2</v>
      </c>
      <c r="R42" s="82">
        <f t="shared" si="212"/>
        <v>-7.6217200000000013E-2</v>
      </c>
      <c r="S42" s="125">
        <f t="shared" si="213"/>
        <v>9.0765931338590983E-2</v>
      </c>
      <c r="T42" s="278">
        <v>2.76E-2</v>
      </c>
      <c r="U42" s="278">
        <v>-8.5400000000000004E-2</v>
      </c>
      <c r="V42" s="278">
        <v>-4.4000000000000004E-2</v>
      </c>
      <c r="W42" s="358" t="s">
        <v>393</v>
      </c>
      <c r="X42" s="358" t="s">
        <v>393</v>
      </c>
      <c r="Y42" s="211">
        <f t="shared" si="214"/>
        <v>-0.12940000000000002</v>
      </c>
      <c r="Z42" s="41">
        <v>-0.08</v>
      </c>
      <c r="AA42" s="125">
        <f t="shared" si="215"/>
        <v>-9.1034068661409034E-2</v>
      </c>
      <c r="AB42" s="442">
        <v>-6.359999999999999E-2</v>
      </c>
      <c r="AC42" s="442">
        <v>-5.2600000000000001E-2</v>
      </c>
      <c r="AD42" s="125">
        <f t="shared" si="156"/>
        <v>-0.20723406866140903</v>
      </c>
      <c r="AE42" s="442">
        <v>-0.18940000000000001</v>
      </c>
      <c r="AF42" s="125">
        <f t="shared" si="157"/>
        <v>-0.39663406866140904</v>
      </c>
      <c r="AG42" s="320">
        <v>-0.33</v>
      </c>
      <c r="AI42" s="83">
        <v>0.26514534428749181</v>
      </c>
      <c r="AK42" s="84">
        <v>180</v>
      </c>
      <c r="AL42" s="99">
        <v>276500</v>
      </c>
      <c r="AN42" s="83">
        <v>0.12338979261296212</v>
      </c>
      <c r="AO42"/>
      <c r="AP42" s="213">
        <f t="shared" si="216"/>
        <v>352</v>
      </c>
      <c r="AQ42" s="230" t="str">
        <f t="shared" si="152"/>
        <v xml:space="preserve"> 15 jaar vast</v>
      </c>
      <c r="AR42" s="372">
        <f t="shared" si="217"/>
        <v>5.64</v>
      </c>
      <c r="AS42" s="231">
        <f t="shared" si="217"/>
        <v>5.7881</v>
      </c>
      <c r="AT42" s="385">
        <f t="shared" si="217"/>
        <v>5.64</v>
      </c>
      <c r="AU42" s="373">
        <f t="shared" si="217"/>
        <v>2.6539613214740636</v>
      </c>
      <c r="AV42" s="382">
        <v>4.7257800000000003E-2</v>
      </c>
      <c r="AW42" s="382">
        <v>8.1714000000000009E-2</v>
      </c>
      <c r="AX42" s="374">
        <f t="shared" si="218"/>
        <v>-1.62</v>
      </c>
      <c r="AY42" s="208">
        <f t="shared" si="219"/>
        <v>1.4004948785259357</v>
      </c>
      <c r="AZ42" s="385">
        <f t="shared" si="220"/>
        <v>-1.199055547187345</v>
      </c>
      <c r="BA42" s="208">
        <f t="shared" si="221"/>
        <v>0.20143933133859071</v>
      </c>
      <c r="BB42" s="386">
        <f t="shared" si="222"/>
        <v>0</v>
      </c>
      <c r="BC42" s="386">
        <f t="shared" si="222"/>
        <v>0</v>
      </c>
      <c r="BD42" s="211">
        <f t="shared" si="222"/>
        <v>-0.12881720000000002</v>
      </c>
      <c r="BE42" s="211">
        <f t="shared" si="222"/>
        <v>5.2600000000000001E-2</v>
      </c>
      <c r="BF42" s="211">
        <f t="shared" si="223"/>
        <v>-7.6217200000000013E-2</v>
      </c>
      <c r="BG42" s="208">
        <f t="shared" si="224"/>
        <v>0.1252221313385907</v>
      </c>
      <c r="BH42" s="211">
        <f t="shared" si="225"/>
        <v>2.76E-2</v>
      </c>
      <c r="BI42" s="211">
        <f t="shared" si="225"/>
        <v>-8.5400000000000004E-2</v>
      </c>
      <c r="BJ42" s="211">
        <f t="shared" si="225"/>
        <v>-4.4000000000000004E-2</v>
      </c>
      <c r="BK42" s="211" t="str">
        <f t="shared" si="225"/>
        <v>-</v>
      </c>
      <c r="BL42" s="211" t="str">
        <f t="shared" si="225"/>
        <v>-</v>
      </c>
      <c r="BM42" s="211">
        <f t="shared" si="226"/>
        <v>-0.12940000000000002</v>
      </c>
      <c r="BN42" s="387">
        <f t="shared" si="227"/>
        <v>-0.08</v>
      </c>
      <c r="BO42" s="208">
        <f t="shared" si="228"/>
        <v>-5.6577868661409333E-2</v>
      </c>
      <c r="BP42" s="211">
        <f t="shared" si="171"/>
        <v>-6.359999999999999E-2</v>
      </c>
      <c r="BQ42" s="211">
        <f t="shared" si="172"/>
        <v>-5.2600000000000001E-2</v>
      </c>
      <c r="BR42" s="125">
        <f t="shared" si="229"/>
        <v>-0.17277786866140932</v>
      </c>
      <c r="BS42" s="211">
        <f t="shared" si="174"/>
        <v>-0.18940000000000001</v>
      </c>
      <c r="BT42" s="125">
        <f t="shared" si="230"/>
        <v>-0.36217786866140933</v>
      </c>
      <c r="BU42" s="375">
        <f t="shared" si="231"/>
        <v>-0.33</v>
      </c>
      <c r="BW42" s="83">
        <v>0.21969565401365712</v>
      </c>
      <c r="BY42" s="83">
        <v>0.47271502357960926</v>
      </c>
      <c r="CA42" s="136">
        <f t="shared" si="232"/>
        <v>352</v>
      </c>
      <c r="CB42" s="79" t="str">
        <f t="shared" si="144"/>
        <v xml:space="preserve"> 15 jaar vast</v>
      </c>
      <c r="CC42" s="372">
        <f t="shared" si="233"/>
        <v>5.64</v>
      </c>
      <c r="CD42" s="231">
        <f t="shared" si="233"/>
        <v>5.7881</v>
      </c>
      <c r="CE42" s="385">
        <f t="shared" si="233"/>
        <v>5.64</v>
      </c>
      <c r="CF42" s="373">
        <f t="shared" si="233"/>
        <v>2.6539613214740636</v>
      </c>
      <c r="CG42" s="373">
        <f t="shared" si="234"/>
        <v>2.233947204132046E-2</v>
      </c>
      <c r="CH42" s="373">
        <f t="shared" si="234"/>
        <v>3.8627435436784194E-2</v>
      </c>
      <c r="CI42" s="374">
        <f t="shared" si="235"/>
        <v>-1.62</v>
      </c>
      <c r="CJ42" s="125">
        <f t="shared" si="236"/>
        <v>1.3823266419214</v>
      </c>
      <c r="CK42" s="385">
        <f t="shared" si="237"/>
        <v>-1.199055547187345</v>
      </c>
      <c r="CL42" s="125">
        <f t="shared" si="258"/>
        <v>0.18327109473405501</v>
      </c>
      <c r="CM42" s="386">
        <f t="shared" si="239"/>
        <v>0</v>
      </c>
      <c r="CN42" s="386">
        <f t="shared" si="239"/>
        <v>0</v>
      </c>
      <c r="CO42" s="211">
        <f t="shared" si="239"/>
        <v>-0.12881720000000002</v>
      </c>
      <c r="CP42" s="211">
        <f t="shared" si="239"/>
        <v>5.2600000000000001E-2</v>
      </c>
      <c r="CQ42" s="82">
        <f t="shared" si="240"/>
        <v>-7.6217200000000013E-2</v>
      </c>
      <c r="CR42" s="125">
        <f t="shared" si="241"/>
        <v>0.10705389473405499</v>
      </c>
      <c r="CS42" s="211">
        <f t="shared" si="242"/>
        <v>2.76E-2</v>
      </c>
      <c r="CT42" s="211">
        <f t="shared" si="242"/>
        <v>-8.5400000000000004E-2</v>
      </c>
      <c r="CU42" s="211">
        <f t="shared" si="242"/>
        <v>-4.4000000000000004E-2</v>
      </c>
      <c r="CV42" s="211" t="str">
        <f t="shared" si="242"/>
        <v>-</v>
      </c>
      <c r="CW42" s="211" t="str">
        <f t="shared" si="242"/>
        <v>-</v>
      </c>
      <c r="CX42" s="211">
        <f t="shared" si="243"/>
        <v>-0.12940000000000002</v>
      </c>
      <c r="CY42" s="387">
        <f t="shared" si="244"/>
        <v>-0.08</v>
      </c>
      <c r="CZ42" s="125">
        <f t="shared" si="245"/>
        <v>-7.4746105265945037E-2</v>
      </c>
      <c r="DA42" s="211">
        <f t="shared" si="199"/>
        <v>-6.359999999999999E-2</v>
      </c>
      <c r="DB42" s="211">
        <f t="shared" si="200"/>
        <v>-5.2600000000000001E-2</v>
      </c>
      <c r="DC42" s="125">
        <f t="shared" si="246"/>
        <v>-0.19094610526594505</v>
      </c>
      <c r="DD42" s="211">
        <f t="shared" si="194"/>
        <v>-0.18940000000000001</v>
      </c>
      <c r="DE42" s="125">
        <f t="shared" si="247"/>
        <v>-0.38034610526594503</v>
      </c>
      <c r="DF42" s="375">
        <f t="shared" si="248"/>
        <v>-0.33</v>
      </c>
      <c r="DH42" s="83">
        <v>0.24152575628902301</v>
      </c>
    </row>
    <row r="43" spans="1:112" s="1" customFormat="1" ht="12.5">
      <c r="B43" s="136">
        <v>362</v>
      </c>
      <c r="C43" s="79" t="str">
        <f>" 20 "&amp;INDEX(ActT,10,ActLangID)</f>
        <v xml:space="preserve"> 20 jaar vast</v>
      </c>
      <c r="D43" s="356">
        <v>5.57</v>
      </c>
      <c r="E43" s="166">
        <f t="shared" si="249"/>
        <v>5.7122999999999999</v>
      </c>
      <c r="F43" s="53">
        <f t="shared" si="250"/>
        <v>5.57</v>
      </c>
      <c r="G43" s="81">
        <v>2.6568921895161592</v>
      </c>
      <c r="H43" s="81">
        <v>0</v>
      </c>
      <c r="I43" s="81">
        <v>0</v>
      </c>
      <c r="J43" s="287">
        <v>-1.7</v>
      </c>
      <c r="K43" s="125">
        <f t="shared" si="210"/>
        <v>1.2131078104838411</v>
      </c>
      <c r="L43" s="195">
        <v>-1.264267902042858</v>
      </c>
      <c r="M43" s="125">
        <f t="shared" si="211"/>
        <v>-5.1160091559016907E-2</v>
      </c>
      <c r="N43" s="98">
        <v>0</v>
      </c>
      <c r="O43" s="98">
        <v>0</v>
      </c>
      <c r="P43" s="278">
        <v>-0.170018</v>
      </c>
      <c r="Q43" s="278">
        <v>5.0699999999999995E-2</v>
      </c>
      <c r="R43" s="82">
        <f t="shared" si="212"/>
        <v>-0.11931800000000001</v>
      </c>
      <c r="S43" s="125">
        <f t="shared" si="213"/>
        <v>-0.17047809155901691</v>
      </c>
      <c r="T43" s="278">
        <v>2.12E-2</v>
      </c>
      <c r="U43" s="278">
        <v>-6.5700000000000008E-2</v>
      </c>
      <c r="V43" s="278">
        <v>-3.3799999999999997E-2</v>
      </c>
      <c r="W43" s="358" t="s">
        <v>393</v>
      </c>
      <c r="X43" s="358" t="s">
        <v>393</v>
      </c>
      <c r="Y43" s="211">
        <f t="shared" si="214"/>
        <v>-9.9500000000000005E-2</v>
      </c>
      <c r="Z43" s="41">
        <v>-0.08</v>
      </c>
      <c r="AA43" s="125">
        <f t="shared" si="215"/>
        <v>-0.32877809155901694</v>
      </c>
      <c r="AB43" s="442">
        <v>-4.7899999999999998E-2</v>
      </c>
      <c r="AC43" s="442">
        <v>-5.5E-2</v>
      </c>
      <c r="AD43" s="125">
        <f t="shared" si="156"/>
        <v>-0.43167809155901693</v>
      </c>
      <c r="AE43" s="442">
        <v>-0.1981</v>
      </c>
      <c r="AF43" s="125">
        <f t="shared" si="157"/>
        <v>-0.62977809155901698</v>
      </c>
      <c r="AG43" s="320">
        <v>-0.33</v>
      </c>
      <c r="AI43" s="83">
        <v>6.1532239396190069E-2</v>
      </c>
      <c r="AK43" s="84">
        <v>239</v>
      </c>
      <c r="AL43" s="99">
        <v>282200</v>
      </c>
      <c r="AN43" s="83">
        <v>8.7768658562128232E-2</v>
      </c>
      <c r="AO43"/>
      <c r="AP43" s="213">
        <f t="shared" si="216"/>
        <v>362</v>
      </c>
      <c r="AQ43" s="230" t="str">
        <f t="shared" si="152"/>
        <v xml:space="preserve"> 20 jaar vast</v>
      </c>
      <c r="AR43" s="372">
        <f t="shared" si="217"/>
        <v>5.57</v>
      </c>
      <c r="AS43" s="231">
        <f t="shared" si="217"/>
        <v>5.7122999999999999</v>
      </c>
      <c r="AT43" s="385">
        <f t="shared" si="217"/>
        <v>5.57</v>
      </c>
      <c r="AU43" s="373">
        <f t="shared" si="217"/>
        <v>2.6568921895161592</v>
      </c>
      <c r="AV43" s="382">
        <v>3.9355000000000001E-2</v>
      </c>
      <c r="AW43" s="382">
        <v>6.6929000000000002E-2</v>
      </c>
      <c r="AX43" s="374">
        <f t="shared" si="218"/>
        <v>-1.7</v>
      </c>
      <c r="AY43" s="208">
        <f t="shared" si="219"/>
        <v>1.2406818104838411</v>
      </c>
      <c r="AZ43" s="385">
        <f t="shared" si="220"/>
        <v>-1.264267902042858</v>
      </c>
      <c r="BA43" s="208">
        <f t="shared" si="221"/>
        <v>-2.358609155901692E-2</v>
      </c>
      <c r="BB43" s="386">
        <f t="shared" si="222"/>
        <v>0</v>
      </c>
      <c r="BC43" s="386">
        <f t="shared" si="222"/>
        <v>0</v>
      </c>
      <c r="BD43" s="211">
        <f t="shared" si="222"/>
        <v>-0.170018</v>
      </c>
      <c r="BE43" s="211">
        <f t="shared" si="222"/>
        <v>5.0699999999999995E-2</v>
      </c>
      <c r="BF43" s="211">
        <f t="shared" si="223"/>
        <v>-0.11931800000000001</v>
      </c>
      <c r="BG43" s="208">
        <f t="shared" si="224"/>
        <v>-0.14290409155901693</v>
      </c>
      <c r="BH43" s="211">
        <f t="shared" si="225"/>
        <v>2.12E-2</v>
      </c>
      <c r="BI43" s="211">
        <f t="shared" si="225"/>
        <v>-6.5700000000000008E-2</v>
      </c>
      <c r="BJ43" s="211">
        <f t="shared" si="225"/>
        <v>-3.3799999999999997E-2</v>
      </c>
      <c r="BK43" s="211" t="str">
        <f t="shared" si="225"/>
        <v>-</v>
      </c>
      <c r="BL43" s="211" t="str">
        <f t="shared" si="225"/>
        <v>-</v>
      </c>
      <c r="BM43" s="211">
        <f t="shared" si="226"/>
        <v>-9.9500000000000005E-2</v>
      </c>
      <c r="BN43" s="387">
        <f t="shared" si="227"/>
        <v>-0.08</v>
      </c>
      <c r="BO43" s="208">
        <f t="shared" si="228"/>
        <v>-0.30120409155901695</v>
      </c>
      <c r="BP43" s="211">
        <f t="shared" si="171"/>
        <v>-4.7899999999999998E-2</v>
      </c>
      <c r="BQ43" s="211">
        <f t="shared" si="172"/>
        <v>-5.5E-2</v>
      </c>
      <c r="BR43" s="125">
        <f t="shared" si="229"/>
        <v>-0.40410409155901694</v>
      </c>
      <c r="BS43" s="211">
        <f t="shared" si="174"/>
        <v>-0.1981</v>
      </c>
      <c r="BT43" s="125">
        <f t="shared" si="230"/>
        <v>-0.602204091559017</v>
      </c>
      <c r="BU43" s="375">
        <f t="shared" si="231"/>
        <v>-0.33</v>
      </c>
      <c r="BW43" s="83">
        <v>0.27371396220121558</v>
      </c>
      <c r="BY43" s="200">
        <v>0.82797012002943671</v>
      </c>
      <c r="CA43" s="136">
        <f t="shared" si="232"/>
        <v>362</v>
      </c>
      <c r="CB43" s="79" t="str">
        <f t="shared" si="144"/>
        <v xml:space="preserve"> 20 jaar vast</v>
      </c>
      <c r="CC43" s="372">
        <f t="shared" si="233"/>
        <v>5.57</v>
      </c>
      <c r="CD43" s="231">
        <f t="shared" si="233"/>
        <v>5.7122999999999999</v>
      </c>
      <c r="CE43" s="385">
        <f t="shared" si="233"/>
        <v>5.57</v>
      </c>
      <c r="CF43" s="373">
        <f t="shared" si="233"/>
        <v>2.6568921895161592</v>
      </c>
      <c r="CG43" s="373">
        <f t="shared" si="234"/>
        <v>3.2584764073758481E-2</v>
      </c>
      <c r="CH43" s="373">
        <f t="shared" si="234"/>
        <v>5.5415212163450168E-2</v>
      </c>
      <c r="CI43" s="374">
        <f t="shared" si="235"/>
        <v>-1.7</v>
      </c>
      <c r="CJ43" s="125">
        <f t="shared" si="236"/>
        <v>1.235938258573533</v>
      </c>
      <c r="CK43" s="385">
        <f t="shared" si="237"/>
        <v>-1.264267902042858</v>
      </c>
      <c r="CL43" s="125">
        <f t="shared" si="258"/>
        <v>-2.8329643469324983E-2</v>
      </c>
      <c r="CM43" s="386">
        <f t="shared" si="239"/>
        <v>0</v>
      </c>
      <c r="CN43" s="386">
        <f t="shared" si="239"/>
        <v>0</v>
      </c>
      <c r="CO43" s="211">
        <f t="shared" si="239"/>
        <v>-0.170018</v>
      </c>
      <c r="CP43" s="211">
        <f t="shared" si="239"/>
        <v>5.0699999999999995E-2</v>
      </c>
      <c r="CQ43" s="82">
        <f t="shared" si="240"/>
        <v>-0.11931800000000001</v>
      </c>
      <c r="CR43" s="125">
        <f t="shared" si="241"/>
        <v>-0.14764764346932499</v>
      </c>
      <c r="CS43" s="211">
        <f t="shared" si="242"/>
        <v>2.12E-2</v>
      </c>
      <c r="CT43" s="211">
        <f t="shared" si="242"/>
        <v>-6.5700000000000008E-2</v>
      </c>
      <c r="CU43" s="211">
        <f t="shared" si="242"/>
        <v>-3.3799999999999997E-2</v>
      </c>
      <c r="CV43" s="211" t="str">
        <f t="shared" si="242"/>
        <v>-</v>
      </c>
      <c r="CW43" s="211" t="str">
        <f t="shared" si="242"/>
        <v>-</v>
      </c>
      <c r="CX43" s="211">
        <f t="shared" si="243"/>
        <v>-9.9500000000000005E-2</v>
      </c>
      <c r="CY43" s="387">
        <f t="shared" si="244"/>
        <v>-0.08</v>
      </c>
      <c r="CZ43" s="125">
        <f t="shared" si="245"/>
        <v>-0.30594764346932501</v>
      </c>
      <c r="DA43" s="211">
        <f t="shared" si="199"/>
        <v>-4.7899999999999998E-2</v>
      </c>
      <c r="DB43" s="211">
        <f t="shared" si="200"/>
        <v>-5.5E-2</v>
      </c>
      <c r="DC43" s="125">
        <f t="shared" si="246"/>
        <v>-0.40884764346932501</v>
      </c>
      <c r="DD43" s="211">
        <f t="shared" si="194"/>
        <v>-0.1981</v>
      </c>
      <c r="DE43" s="125">
        <f t="shared" si="247"/>
        <v>-0.60694764346932506</v>
      </c>
      <c r="DF43" s="375">
        <f t="shared" si="248"/>
        <v>-0.33</v>
      </c>
      <c r="DH43" s="83">
        <v>0.17180020477207739</v>
      </c>
    </row>
    <row r="44" spans="1:112" s="1" customFormat="1" ht="13">
      <c r="B44" s="136"/>
      <c r="C44" s="97" t="str">
        <f>"Immo4Pro "&amp;INDEX(ActT,29,ActLangID)</f>
        <v>Immo4Pro  Totaal: brutomarges gewogen met %aandeel</v>
      </c>
      <c r="D44" s="186"/>
      <c r="E44" s="172"/>
      <c r="F44" s="5"/>
      <c r="G44" s="22"/>
      <c r="H44" s="22"/>
      <c r="I44" s="22"/>
      <c r="J44" s="291">
        <f>SUM(SUMPRODUCT(J29:J35,$AI29:$AI35),SUMPRODUCT(J37:J43,$AI37:$AI43))</f>
        <v>-1.5995116834681151</v>
      </c>
      <c r="K44" s="127">
        <f>SUM(SUMPRODUCT(K29:K35,$AI29:$AI35),SUMPRODUCT(K37:K43,$AI37:$AI43))</f>
        <v>1.1497552354540832</v>
      </c>
      <c r="L44" s="291">
        <f>SUM(SUMPRODUCT(L29:L35,$AI29:$AI35),SUMPRODUCT(L37:L43,$AI37:$AI43))</f>
        <v>-1.2223082071853593</v>
      </c>
      <c r="M44" s="127">
        <f t="shared" si="211"/>
        <v>-7.2552971731276061E-2</v>
      </c>
      <c r="N44" s="30" t="s">
        <v>107</v>
      </c>
      <c r="O44" s="30" t="s">
        <v>107</v>
      </c>
      <c r="P44" s="30">
        <f>SUM(SUMPRODUCT(P29:P35,$AI29:$AI35),SUMPRODUCT(P37:P43,$AI37:$AI43))</f>
        <v>-0.14719415664656946</v>
      </c>
      <c r="Q44" s="30">
        <f>SUM(SUMPRODUCT(Q29:Q35,$AI29:$AI35),SUMPRODUCT(Q37:Q43,$AI37:$AI43))</f>
        <v>4.9818093633250723E-2</v>
      </c>
      <c r="R44" s="30">
        <f t="shared" si="88"/>
        <v>-9.7376063013318734E-2</v>
      </c>
      <c r="S44" s="127">
        <f t="shared" si="213"/>
        <v>-0.16992903474459481</v>
      </c>
      <c r="T44" s="30">
        <f>SUM(SUMPRODUCT(T29:T35,$AI29:$AI35),SUMPRODUCT(T37:T43,$AI37:$AI43))</f>
        <v>2.8055919052607951E-2</v>
      </c>
      <c r="U44" s="30">
        <f>SUM(SUMPRODUCT(U29:U35,$AI29:$AI35),SUMPRODUCT(U37:U43,$AI37:$AI43))</f>
        <v>-7.9800235984325063E-2</v>
      </c>
      <c r="V44" s="30">
        <f>SUM(SUMPRODUCT(V29:V35,$AI29:$AI35),SUMPRODUCT(V37:V43,$AI37:$AI43))</f>
        <v>-4.1137516287213384E-2</v>
      </c>
      <c r="W44" s="30" t="s">
        <v>393</v>
      </c>
      <c r="X44" s="30" t="s">
        <v>393</v>
      </c>
      <c r="Y44" s="30">
        <f>SUM(U44:X44)</f>
        <v>-0.12093775227153844</v>
      </c>
      <c r="Z44" s="30">
        <f>SUM(SUMPRODUCT(Z29:Z35,$AI29:$AI35),SUMPRODUCT(Z37:Z43,$AI37:$AI43))</f>
        <v>-0.08</v>
      </c>
      <c r="AA44" s="127">
        <f t="shared" si="215"/>
        <v>-0.34281086796352528</v>
      </c>
      <c r="AB44" s="30">
        <f t="shared" ref="AB44:AE44" si="259">SUM(SUMPRODUCT(AB29:AB35,$AI29:$AI35),SUMPRODUCT(AB37:AB43,$AI37:$AI43))</f>
        <v>-7.6772935249684343E-2</v>
      </c>
      <c r="AC44" s="30">
        <f t="shared" si="259"/>
        <v>-5.6635870467727389E-2</v>
      </c>
      <c r="AD44" s="127">
        <f t="shared" si="156"/>
        <v>-0.47621967368093704</v>
      </c>
      <c r="AE44" s="30">
        <f t="shared" si="259"/>
        <v>-0.20406461742567861</v>
      </c>
      <c r="AF44" s="127">
        <f t="shared" si="157"/>
        <v>-0.68028429110661559</v>
      </c>
      <c r="AG44" s="326">
        <f>SUM(SUMPRODUCT(AG29:AG35,$AI29:$AI35),SUMPRODUCT(AG37:AG43,$AI37:$AI43))</f>
        <v>-0.33000000000000007</v>
      </c>
      <c r="AI44" s="143">
        <f>SUM(AI29:AI35,AI37:AI43)</f>
        <v>1</v>
      </c>
      <c r="AK44" s="84"/>
      <c r="AL44" s="55"/>
      <c r="AN44" s="313" t="s">
        <v>336</v>
      </c>
      <c r="AO44"/>
      <c r="AP44" s="136"/>
      <c r="AQ44" s="97" t="str">
        <f t="shared" si="152"/>
        <v>Immo4Pro  Totaal: brutomarges gewogen met %aandeel</v>
      </c>
      <c r="AR44" s="186"/>
      <c r="AS44" s="172"/>
      <c r="AT44" s="5"/>
      <c r="AU44" s="22"/>
      <c r="AV44" s="22"/>
      <c r="AW44" s="22"/>
      <c r="AX44" s="291">
        <f>SUM(SUMPRODUCT(AX29:AX35,$BW29:$BW35),SUMPRODUCT(AX37:AX43,$BW37:$BW43))</f>
        <v>-1.5950736111058101</v>
      </c>
      <c r="AY44" s="127">
        <f>SUM(SUMPRODUCT(AY29:AY35,$BW29:$BW35),SUMPRODUCT(AY37:AY43,$BW37:$BW43))</f>
        <v>1.2635926387280634</v>
      </c>
      <c r="AZ44" s="30">
        <f>SUM(SUMPRODUCT(AZ29:AZ35,$BW29:$BW35),SUMPRODUCT(AZ37:AZ43,$BW37:$BW43))</f>
        <v>-1.2048943565160679</v>
      </c>
      <c r="BA44" s="127">
        <f t="shared" ref="BA44" si="260">SUM(AY44:AZ44)</f>
        <v>5.8698282211995467E-2</v>
      </c>
      <c r="BB44" s="30" t="s">
        <v>107</v>
      </c>
      <c r="BC44" s="30" t="s">
        <v>107</v>
      </c>
      <c r="BD44" s="30">
        <f>SUM(SUMPRODUCT(BD29:BD35,$BW29:$BW35),SUMPRODUCT(BD37:BD43,$BW37:$BW43))</f>
        <v>-0.14114130294610588</v>
      </c>
      <c r="BE44" s="30">
        <f>SUM(SUMPRODUCT(BE29:BE35,$BW29:$BW35),SUMPRODUCT(BE37:BE43,$BW37:$BW43))</f>
        <v>5.0789653227046476E-2</v>
      </c>
      <c r="BF44" s="30">
        <f t="shared" ref="BF44" si="261">SUM(BB44:BE44)</f>
        <v>-9.0351649719059401E-2</v>
      </c>
      <c r="BG44" s="127">
        <f t="shared" ref="BG44" si="262">BA44+BF44</f>
        <v>-3.1653367507063934E-2</v>
      </c>
      <c r="BH44" s="30">
        <f>SUM(SUMPRODUCT(BH29:BH35,$BW29:$BW35),SUMPRODUCT(BH37:BH43,$BW37:$BW43))</f>
        <v>3.6016231525399775E-2</v>
      </c>
      <c r="BI44" s="30">
        <f>SUM(SUMPRODUCT(BI29:BI35,$BW29:$BW35),SUMPRODUCT(BI37:BI43,$BW37:$BW43))</f>
        <v>-8.7858121706902409E-2</v>
      </c>
      <c r="BJ44" s="30">
        <f>SUM(SUMPRODUCT(BJ29:BJ35,$BW29:$BW35),SUMPRODUCT(BJ37:BJ43,$BW37:$BW43))</f>
        <v>-4.5273892354132962E-2</v>
      </c>
      <c r="BK44" s="30" t="str">
        <f>W44</f>
        <v>-</v>
      </c>
      <c r="BL44" s="30" t="str">
        <f>X44</f>
        <v>-</v>
      </c>
      <c r="BM44" s="30">
        <f>SUM(BI44:BL44)</f>
        <v>-0.13313201406103536</v>
      </c>
      <c r="BN44" s="30">
        <f>SUM(SUMPRODUCT(BN29:BN35,$BW29:$BW35),SUMPRODUCT(BN37:BN43,$BW37:$BW43))</f>
        <v>-0.08</v>
      </c>
      <c r="BO44" s="127">
        <f t="shared" ref="BO44" si="263">SUM(BG44:BH44,BM44:BN44)</f>
        <v>-0.20876915004269953</v>
      </c>
      <c r="BP44" s="30">
        <f t="shared" ref="BP44:BQ44" si="264">SUM(SUMPRODUCT(BP29:BP35,$BW29:$BW35),SUMPRODUCT(BP37:BP43,$BW37:$BW43))</f>
        <v>-0.12757718747719451</v>
      </c>
      <c r="BQ44" s="30">
        <f t="shared" si="264"/>
        <v>-7.1595394200219889E-2</v>
      </c>
      <c r="BR44" s="127">
        <f t="shared" si="229"/>
        <v>-0.40794173172011394</v>
      </c>
      <c r="BS44" s="30">
        <f>SUM(SUMPRODUCT(BS29:BS35,$BW29:$BW35),SUMPRODUCT(BS37:BS43,$BW37:$BW43))</f>
        <v>-0.25794443246579546</v>
      </c>
      <c r="BT44" s="127">
        <f t="shared" si="230"/>
        <v>-0.6658861641859094</v>
      </c>
      <c r="BU44" s="326">
        <f>SUM(SUMPRODUCT(BU29:BU35,$BW29:$BW35),SUMPRODUCT(BU37:BU43,$BW37:$BW43))</f>
        <v>-0.33000000000000007</v>
      </c>
      <c r="BW44" s="143">
        <f>SUM(BW29:BW35,BW37:BW43)</f>
        <v>1</v>
      </c>
      <c r="BY44"/>
      <c r="CA44" s="136"/>
      <c r="CB44" s="97" t="str">
        <f t="shared" si="144"/>
        <v>Immo4Pro  Totaal: brutomarges gewogen met %aandeel</v>
      </c>
      <c r="CC44" s="372"/>
      <c r="CD44" s="413"/>
      <c r="CE44" s="414"/>
      <c r="CF44" s="415"/>
      <c r="CG44" s="22"/>
      <c r="CH44" s="22"/>
      <c r="CI44" s="291">
        <f>SUM(SUMPRODUCT(CI29:CI35,$DH29:$DH35),SUMPRODUCT(CI37:CI43,$DH37:$DH43))</f>
        <v>-1.5972052774162042</v>
      </c>
      <c r="CJ44" s="127">
        <f>SUM(SUMPRODUCT(CJ29:CJ35,$AI29:$AI35),SUMPRODUCT(CJ37:CJ43,$AI37:$AI43))</f>
        <v>1.1654776158474096</v>
      </c>
      <c r="CK44" s="30">
        <f>SUM(SUMPRODUCT(CK29:CK35,$DH29:$DH35),SUMPRODUCT(CK37:CK43,$DH37:$DH43))</f>
        <v>-1.2132584650243587</v>
      </c>
      <c r="CL44" s="127">
        <f t="shared" si="258"/>
        <v>-4.7780849176949136E-2</v>
      </c>
      <c r="CM44" s="30" t="s">
        <v>107</v>
      </c>
      <c r="CN44" s="30" t="s">
        <v>107</v>
      </c>
      <c r="CO44" s="30">
        <f>SUM(SUMPRODUCT(CO29:CO35,$DH29:$DH35),SUMPRODUCT(CO37:CO43,$DH37:$DH43))</f>
        <v>-0.14404857062038123</v>
      </c>
      <c r="CP44" s="30">
        <f>SUM(SUMPRODUCT(CP29:CP35,$DH29:$DH35),SUMPRODUCT(CP37:CP43,$DH37:$DH43))</f>
        <v>5.0322999985376649E-2</v>
      </c>
      <c r="CQ44" s="30">
        <f t="shared" ref="CQ44" si="265">SUM(CM44:CP44)</f>
        <v>-9.3725570635004585E-2</v>
      </c>
      <c r="CR44" s="127">
        <f t="shared" si="241"/>
        <v>-0.14150641981195372</v>
      </c>
      <c r="CS44" s="30">
        <f>SUM(SUMPRODUCT(CS29:CS35,$DH29:$DH35),SUMPRODUCT(CS37:CS43,$DH37:$DH43))</f>
        <v>3.2192785548586192E-2</v>
      </c>
      <c r="CT44" s="30">
        <f>SUM(SUMPRODUCT(CT29:CT35,$DH29:$DH35),SUMPRODUCT(CT37:CT43,$DH37:$DH43))</f>
        <v>-8.3987809975683794E-2</v>
      </c>
      <c r="CU44" s="30">
        <f>SUM(SUMPRODUCT(CU29:CU35,$DH29:$DH35),SUMPRODUCT(CU37:CU43,$DH37:$DH43))</f>
        <v>-4.3287134863681714E-2</v>
      </c>
      <c r="CV44" s="30" t="str">
        <f>W44</f>
        <v>-</v>
      </c>
      <c r="CW44" s="30" t="str">
        <f>X44</f>
        <v>-</v>
      </c>
      <c r="CX44" s="30">
        <f>SUM(CT44:CW44)</f>
        <v>-0.12727494483936552</v>
      </c>
      <c r="CY44" s="30">
        <f>SUM(SUMPRODUCT(CY29:CY35,$DH29:$DH35),SUMPRODUCT(CY37:CY43,$DH37:$DH43))</f>
        <v>-0.08</v>
      </c>
      <c r="CZ44" s="127">
        <f t="shared" si="245"/>
        <v>-0.31658857910273308</v>
      </c>
      <c r="DA44" s="30">
        <f t="shared" ref="DA44:DB44" si="266">SUM(SUMPRODUCT(DA29:DA35,$DH29:$DH35),SUMPRODUCT(DA37:DA43,$DH37:$DH43))</f>
        <v>-0.10317521651836226</v>
      </c>
      <c r="DB44" s="30">
        <f t="shared" si="266"/>
        <v>-6.4410132186254521E-2</v>
      </c>
      <c r="DC44" s="127">
        <f t="shared" si="246"/>
        <v>-0.48417392780734986</v>
      </c>
      <c r="DD44" s="30">
        <f>SUM(SUMPRODUCT(DD29:DD35,$DH29:$DH35),SUMPRODUCT(DD37:DD43,$DH37:$DH43))</f>
        <v>-0.23206522700109533</v>
      </c>
      <c r="DE44" s="127">
        <f t="shared" si="247"/>
        <v>-0.71623915480844524</v>
      </c>
      <c r="DF44" s="326">
        <f>SUM(SUMPRODUCT(DF29:DF35,$DH29:$DH35),SUMPRODUCT(DF37:DF43,$DH37:$DH43))</f>
        <v>-0.32999999999999996</v>
      </c>
      <c r="DH44" s="143">
        <f>SUM(DH29:DH35,DH37:DH43)</f>
        <v>0.99999999999999989</v>
      </c>
    </row>
    <row r="45" spans="1:112" s="1" customFormat="1" ht="13">
      <c r="B45" s="136"/>
      <c r="C45" s="297"/>
      <c r="D45" s="186"/>
      <c r="E45" s="298"/>
      <c r="F45" s="5"/>
      <c r="G45" s="22"/>
      <c r="H45" s="22"/>
      <c r="I45" s="22"/>
      <c r="J45" s="289"/>
      <c r="K45" s="300"/>
      <c r="L45" s="44"/>
      <c r="M45" s="300"/>
      <c r="N45" s="490"/>
      <c r="O45" s="491"/>
      <c r="P45" s="491"/>
      <c r="Q45" s="211"/>
      <c r="R45" s="358"/>
      <c r="S45" s="430"/>
      <c r="T45" s="82"/>
      <c r="U45" s="82"/>
      <c r="V45" s="82"/>
      <c r="W45" s="82"/>
      <c r="X45" s="82"/>
      <c r="Y45" s="82"/>
      <c r="Z45" s="82"/>
      <c r="AA45" s="125"/>
      <c r="AB45" s="82"/>
      <c r="AC45" s="82"/>
      <c r="AD45" s="125"/>
      <c r="AE45" s="82"/>
      <c r="AF45" s="125"/>
      <c r="AG45" s="321"/>
      <c r="AI45" s="299"/>
      <c r="AK45" s="280"/>
      <c r="AL45" s="55"/>
      <c r="AN45" s="313" t="s">
        <v>336</v>
      </c>
      <c r="AO45"/>
      <c r="AP45" s="136"/>
      <c r="AQ45" s="297"/>
      <c r="AR45" s="186"/>
      <c r="AS45" s="298"/>
      <c r="AT45" s="5"/>
      <c r="AU45" s="22"/>
      <c r="AV45" s="22"/>
      <c r="AW45" s="22"/>
      <c r="AX45" s="289"/>
      <c r="AY45" s="300"/>
      <c r="AZ45" s="44"/>
      <c r="BA45" s="300"/>
      <c r="BB45" s="82"/>
      <c r="BC45" s="82"/>
      <c r="BD45" s="82"/>
      <c r="BE45" s="82"/>
      <c r="BF45" s="82"/>
      <c r="BG45" s="125"/>
      <c r="BH45" s="82"/>
      <c r="BI45" s="82"/>
      <c r="BJ45" s="82"/>
      <c r="BK45" s="82"/>
      <c r="BL45" s="82"/>
      <c r="BM45" s="82"/>
      <c r="BN45" s="82"/>
      <c r="BO45" s="125"/>
      <c r="BP45" s="82"/>
      <c r="BQ45" s="82"/>
      <c r="BR45" s="125"/>
      <c r="BS45" s="82"/>
      <c r="BT45" s="125"/>
      <c r="BU45" s="321"/>
      <c r="BW45" s="299"/>
      <c r="BY45"/>
      <c r="CA45" s="136"/>
      <c r="CB45" s="297"/>
      <c r="CC45" s="372"/>
      <c r="CD45" s="416"/>
      <c r="CE45" s="414"/>
      <c r="CF45" s="415"/>
      <c r="CG45" s="22"/>
      <c r="CH45" s="22"/>
      <c r="CI45" s="289"/>
      <c r="CJ45" s="300"/>
      <c r="CK45" s="44"/>
      <c r="CL45" s="300"/>
      <c r="CM45" s="82"/>
      <c r="CN45" s="82"/>
      <c r="CO45" s="82"/>
      <c r="CP45" s="82"/>
      <c r="CQ45" s="82"/>
      <c r="CR45" s="125"/>
      <c r="CS45" s="82"/>
      <c r="CT45" s="82"/>
      <c r="CU45" s="82"/>
      <c r="CV45" s="82"/>
      <c r="CW45" s="82"/>
      <c r="CX45" s="82"/>
      <c r="CY45" s="82"/>
      <c r="CZ45" s="125"/>
      <c r="DA45" s="82"/>
      <c r="DB45" s="82"/>
      <c r="DC45" s="125"/>
      <c r="DD45" s="82"/>
      <c r="DE45" s="125"/>
      <c r="DF45" s="321"/>
      <c r="DH45" s="299"/>
    </row>
    <row r="46" spans="1:112" s="1" customFormat="1" ht="13">
      <c r="B46" s="136"/>
      <c r="C46" s="297"/>
      <c r="D46" s="186"/>
      <c r="E46" s="298"/>
      <c r="F46" s="5"/>
      <c r="G46" s="22"/>
      <c r="H46" s="22"/>
      <c r="I46" s="22"/>
      <c r="J46" s="289"/>
      <c r="K46" s="125"/>
      <c r="L46" s="82"/>
      <c r="M46" s="125"/>
      <c r="N46" s="82"/>
      <c r="O46" s="82"/>
      <c r="P46" s="82"/>
      <c r="Q46" s="82"/>
      <c r="R46" s="82"/>
      <c r="S46" s="125"/>
      <c r="T46" s="82"/>
      <c r="U46" s="82"/>
      <c r="V46" s="82"/>
      <c r="W46" s="82"/>
      <c r="X46" s="82"/>
      <c r="Y46" s="82"/>
      <c r="Z46" s="82"/>
      <c r="AA46" s="125"/>
      <c r="AB46" s="82"/>
      <c r="AC46" s="82"/>
      <c r="AD46" s="125"/>
      <c r="AE46" s="82"/>
      <c r="AF46" s="125"/>
      <c r="AG46" s="321"/>
      <c r="AI46" s="299"/>
      <c r="AK46" s="280"/>
      <c r="AL46" s="55"/>
      <c r="AN46" s="313" t="s">
        <v>336</v>
      </c>
      <c r="AO46"/>
      <c r="AP46" s="136"/>
      <c r="AQ46" s="92"/>
      <c r="AR46" s="181"/>
      <c r="AS46" s="170"/>
      <c r="AT46" s="50"/>
      <c r="AU46" s="51"/>
      <c r="AV46" s="370"/>
      <c r="AW46" s="370"/>
      <c r="AX46" s="88"/>
      <c r="AY46" s="294"/>
      <c r="AZ46" s="104"/>
      <c r="BA46" s="294"/>
      <c r="BB46" s="88"/>
      <c r="BC46" s="88"/>
      <c r="BD46" s="88"/>
      <c r="BE46" s="254"/>
      <c r="BF46" s="56"/>
      <c r="BG46" s="363"/>
      <c r="BH46" s="105"/>
      <c r="BI46" s="105"/>
      <c r="BJ46" s="105"/>
      <c r="BK46" s="105"/>
      <c r="BL46" s="105"/>
      <c r="BM46" s="106"/>
      <c r="BN46" s="56"/>
      <c r="BO46" s="128"/>
      <c r="BP46" s="106"/>
      <c r="BQ46" s="56"/>
      <c r="BR46" s="128"/>
      <c r="BS46" s="56"/>
      <c r="BT46" s="128"/>
      <c r="BU46" s="331"/>
      <c r="BV46" s="2"/>
      <c r="BW46" s="107"/>
      <c r="BY46"/>
      <c r="CA46" s="136"/>
      <c r="CB46" s="297"/>
      <c r="CC46" s="372"/>
      <c r="CD46" s="416"/>
      <c r="CE46" s="414"/>
      <c r="CF46" s="415"/>
      <c r="CG46" s="22"/>
      <c r="CH46" s="22"/>
      <c r="CI46" s="289"/>
      <c r="CJ46" s="125"/>
      <c r="CK46" s="82"/>
      <c r="CL46" s="125"/>
      <c r="CM46" s="82"/>
      <c r="CN46" s="82"/>
      <c r="CO46" s="82"/>
      <c r="CP46" s="82"/>
      <c r="CQ46" s="82"/>
      <c r="CR46" s="125"/>
      <c r="CS46" s="82"/>
      <c r="CT46" s="82"/>
      <c r="CU46" s="82"/>
      <c r="CV46" s="82"/>
      <c r="CW46" s="82"/>
      <c r="CX46" s="82"/>
      <c r="CY46" s="82"/>
      <c r="CZ46" s="125"/>
      <c r="DA46" s="82"/>
      <c r="DB46" s="82"/>
      <c r="DC46" s="125"/>
      <c r="DD46" s="82"/>
      <c r="DE46" s="125"/>
      <c r="DF46" s="321"/>
      <c r="DH46" s="299"/>
    </row>
    <row r="47" spans="1:112" s="1" customFormat="1" ht="13">
      <c r="B47" s="136"/>
      <c r="C47" s="279" t="s">
        <v>329</v>
      </c>
      <c r="D47" s="281"/>
      <c r="E47" s="172"/>
      <c r="F47" s="132"/>
      <c r="G47"/>
      <c r="H47"/>
      <c r="I47"/>
      <c r="J47" s="290"/>
      <c r="K47" s="125"/>
      <c r="L47" s="5"/>
      <c r="M47" s="125"/>
      <c r="N47" s="42"/>
      <c r="O47" s="42"/>
      <c r="P47" s="42"/>
      <c r="Q47" s="57"/>
      <c r="R47" s="45"/>
      <c r="S47" s="125"/>
      <c r="T47" s="43"/>
      <c r="U47" s="44"/>
      <c r="V47" s="44"/>
      <c r="W47" s="44"/>
      <c r="X47" s="44"/>
      <c r="Y47" s="44"/>
      <c r="Z47" s="45"/>
      <c r="AA47" s="125"/>
      <c r="AB47" s="44"/>
      <c r="AC47" s="44"/>
      <c r="AD47" s="125"/>
      <c r="AE47" s="44"/>
      <c r="AF47" s="125"/>
      <c r="AG47" s="327"/>
      <c r="AH47" s="23"/>
      <c r="AI47" s="282"/>
      <c r="AJ47" s="23"/>
      <c r="AK47" s="101"/>
      <c r="AL47" s="102"/>
      <c r="AN47" s="313" t="s">
        <v>336</v>
      </c>
      <c r="AO47"/>
      <c r="AP47" s="136"/>
      <c r="AQ47" s="24"/>
      <c r="AR47" s="175"/>
      <c r="AS47" s="164"/>
      <c r="AT47" s="14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/>
      <c r="BQ47"/>
      <c r="BR47"/>
      <c r="BS47"/>
      <c r="BT47"/>
      <c r="BU47" s="8"/>
      <c r="BW47" s="3"/>
      <c r="BX47" s="23"/>
      <c r="BY47"/>
      <c r="CA47" s="136"/>
      <c r="CB47" s="279" t="str">
        <f t="shared" ref="CB47:CB51" si="267">C47</f>
        <v>Equipment4Pro</v>
      </c>
      <c r="CC47" s="372"/>
      <c r="CD47" s="413"/>
      <c r="CE47" s="216"/>
      <c r="CF47" s="217"/>
      <c r="CG47"/>
      <c r="CH47"/>
      <c r="CI47" s="290"/>
      <c r="CJ47" s="125"/>
      <c r="CK47" s="5"/>
      <c r="CL47" s="125"/>
      <c r="CM47" s="42"/>
      <c r="CN47" s="42"/>
      <c r="CO47" s="42"/>
      <c r="CP47" s="57"/>
      <c r="CQ47" s="45"/>
      <c r="CR47" s="125"/>
      <c r="CS47" s="43"/>
      <c r="CT47" s="44"/>
      <c r="CU47" s="44"/>
      <c r="CV47" s="44"/>
      <c r="CW47" s="44"/>
      <c r="CX47" s="44"/>
      <c r="CY47" s="45"/>
      <c r="CZ47" s="125"/>
      <c r="DA47" s="44"/>
      <c r="DB47" s="44"/>
      <c r="DC47" s="125"/>
      <c r="DD47" s="44"/>
      <c r="DE47" s="125"/>
      <c r="DF47" s="327"/>
      <c r="DG47" s="23"/>
      <c r="DH47" s="282"/>
    </row>
    <row r="48" spans="1:112" s="1" customFormat="1" ht="12.5">
      <c r="B48" s="136">
        <v>412</v>
      </c>
      <c r="C48" s="100" t="str">
        <f>" 05/5/5"</f>
        <v xml:space="preserve"> 05/5/5</v>
      </c>
      <c r="D48" s="356">
        <v>5.51</v>
      </c>
      <c r="E48" s="166">
        <f>ROUND((POWER(ROUND(1+D48/1200,5),12)-1)*100,4)</f>
        <v>5.6492000000000004</v>
      </c>
      <c r="F48" s="53">
        <f>D48</f>
        <v>5.51</v>
      </c>
      <c r="G48" s="81">
        <v>2.8129515471592015</v>
      </c>
      <c r="H48" s="81">
        <v>0</v>
      </c>
      <c r="I48" s="81">
        <v>0</v>
      </c>
      <c r="J48" s="287">
        <v>-0.9</v>
      </c>
      <c r="K48" s="125">
        <f t="shared" ref="K48:K50" si="268">F48-G48-H48+I48+J48</f>
        <v>1.7970484528407984</v>
      </c>
      <c r="L48" s="195">
        <v>-0.93226532764633685</v>
      </c>
      <c r="M48" s="125">
        <f t="shared" si="12"/>
        <v>0.86478312519446154</v>
      </c>
      <c r="N48" s="98">
        <v>0</v>
      </c>
      <c r="O48" s="98">
        <v>0</v>
      </c>
      <c r="P48" s="40">
        <v>-5.3414960000000004E-2</v>
      </c>
      <c r="Q48" s="40">
        <v>5.8299999999999998E-2</v>
      </c>
      <c r="R48" s="82">
        <f t="shared" si="88"/>
        <v>4.8850399999999933E-3</v>
      </c>
      <c r="S48" s="125">
        <f t="shared" si="13"/>
        <v>0.86966816519446155</v>
      </c>
      <c r="T48" s="40">
        <v>9.3600000000000003E-2</v>
      </c>
      <c r="U48" s="40">
        <v>-0.25969999999999999</v>
      </c>
      <c r="V48" s="40">
        <v>-0.11030000000000001</v>
      </c>
      <c r="W48" s="40" t="s">
        <v>393</v>
      </c>
      <c r="X48" s="358" t="s">
        <v>393</v>
      </c>
      <c r="Y48" s="211">
        <f>SUM(U48:X48)</f>
        <v>-0.37</v>
      </c>
      <c r="Z48" s="41">
        <v>-0.16</v>
      </c>
      <c r="AA48" s="125">
        <f>SUM(S48:T48,Y48:Z48)</f>
        <v>0.43326816519446154</v>
      </c>
      <c r="AB48" s="442">
        <v>-0.47860000000000003</v>
      </c>
      <c r="AC48" s="442">
        <v>-0.46569999999999995</v>
      </c>
      <c r="AD48" s="125">
        <f t="shared" si="156"/>
        <v>-0.51103183480553849</v>
      </c>
      <c r="AE48" s="442">
        <v>-1.6784000000000001</v>
      </c>
      <c r="AF48" s="125">
        <f t="shared" si="157"/>
        <v>-2.1894318348055384</v>
      </c>
      <c r="AG48" s="320">
        <v>-0.33</v>
      </c>
      <c r="AI48" s="83">
        <v>4.0260438838192851E-3</v>
      </c>
      <c r="AK48" s="84">
        <v>69</v>
      </c>
      <c r="AL48" s="99">
        <v>27700</v>
      </c>
      <c r="AN48" s="83">
        <v>1.2469213266524356E-3</v>
      </c>
      <c r="AO48"/>
      <c r="AP48" s="213"/>
      <c r="AQ48"/>
      <c r="AR48" s="182"/>
      <c r="AS48" s="168"/>
      <c r="AT48" s="132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Y48"/>
      <c r="CA48" s="136">
        <f>B48</f>
        <v>412</v>
      </c>
      <c r="CB48" s="100" t="str">
        <f t="shared" si="267"/>
        <v xml:space="preserve"> 05/5/5</v>
      </c>
      <c r="CC48" s="372">
        <f t="shared" ref="CC48:CF50" si="269">D48</f>
        <v>5.51</v>
      </c>
      <c r="CD48" s="231">
        <f t="shared" si="269"/>
        <v>5.6492000000000004</v>
      </c>
      <c r="CE48" s="385">
        <f t="shared" si="269"/>
        <v>5.51</v>
      </c>
      <c r="CF48" s="373">
        <f t="shared" si="269"/>
        <v>2.8129515471592015</v>
      </c>
      <c r="CG48" s="81">
        <v>0</v>
      </c>
      <c r="CH48" s="81">
        <v>0</v>
      </c>
      <c r="CI48" s="374">
        <f>J48</f>
        <v>-0.9</v>
      </c>
      <c r="CJ48" s="125">
        <f t="shared" ref="CJ48:CJ50" si="270">CE48-CF48-CG48+CH48+CI48</f>
        <v>1.7970484528407984</v>
      </c>
      <c r="CK48" s="385">
        <f>L48</f>
        <v>-0.93226532764633685</v>
      </c>
      <c r="CL48" s="125">
        <f t="shared" ref="CL48" si="271">SUM(CJ48:CK48)</f>
        <v>0.86478312519446154</v>
      </c>
      <c r="CM48" s="386">
        <f t="shared" ref="CM48:CP50" si="272">N48</f>
        <v>0</v>
      </c>
      <c r="CN48" s="386">
        <f t="shared" si="272"/>
        <v>0</v>
      </c>
      <c r="CO48" s="211">
        <f t="shared" si="272"/>
        <v>-5.3414960000000004E-2</v>
      </c>
      <c r="CP48" s="211">
        <f t="shared" si="272"/>
        <v>5.8299999999999998E-2</v>
      </c>
      <c r="CQ48" s="82">
        <f t="shared" ref="CQ48" si="273">SUM(CM48:CP48)</f>
        <v>4.8850399999999933E-3</v>
      </c>
      <c r="CR48" s="125">
        <f t="shared" ref="CR48:CR51" si="274">CL48+CQ48</f>
        <v>0.86966816519446155</v>
      </c>
      <c r="CS48" s="211">
        <f t="shared" ref="CS48:CW50" si="275">T48</f>
        <v>9.3600000000000003E-2</v>
      </c>
      <c r="CT48" s="211">
        <f t="shared" si="275"/>
        <v>-0.25969999999999999</v>
      </c>
      <c r="CU48" s="211">
        <f t="shared" si="275"/>
        <v>-0.11030000000000001</v>
      </c>
      <c r="CV48" s="211" t="str">
        <f t="shared" si="275"/>
        <v>-</v>
      </c>
      <c r="CW48" s="211" t="str">
        <f t="shared" si="275"/>
        <v>-</v>
      </c>
      <c r="CX48" s="211">
        <f>SUM(CT48:CW48)</f>
        <v>-0.37</v>
      </c>
      <c r="CY48" s="387">
        <f>Z48</f>
        <v>-0.16</v>
      </c>
      <c r="CZ48" s="125">
        <f>SUM(CR48:CS48,CX48:CY48)</f>
        <v>0.43326816519446154</v>
      </c>
      <c r="DA48" s="211">
        <f t="shared" ref="DA48:DA50" si="276">AB48</f>
        <v>-0.47860000000000003</v>
      </c>
      <c r="DB48" s="211">
        <f t="shared" ref="DB48:DB50" si="277">AC48</f>
        <v>-0.46569999999999995</v>
      </c>
      <c r="DC48" s="125">
        <f t="shared" ref="DC48:DC51" si="278">SUM(CZ48:DB48)</f>
        <v>-0.51103183480553849</v>
      </c>
      <c r="DD48" s="211">
        <f t="shared" ref="DD48:DD50" si="279">AE48</f>
        <v>-1.6784000000000001</v>
      </c>
      <c r="DE48" s="125">
        <f t="shared" ref="DE48:DE51" si="280">SUM(DC48:DD48)</f>
        <v>-2.1894318348055384</v>
      </c>
      <c r="DF48" s="375">
        <f>AG48</f>
        <v>-0.33</v>
      </c>
      <c r="DH48" s="424">
        <f>AI48</f>
        <v>4.0260438838192851E-3</v>
      </c>
    </row>
    <row r="49" spans="1:112" s="1" customFormat="1" ht="12.5">
      <c r="B49" s="136">
        <v>432</v>
      </c>
      <c r="C49" s="86" t="str">
        <f>" 05 "&amp;INDEX(ActT,10,ActLangID)</f>
        <v xml:space="preserve"> 05 jaar vast</v>
      </c>
      <c r="D49" s="356">
        <v>4.8</v>
      </c>
      <c r="E49" s="166">
        <f>ROUND((POWER(ROUND(1+D49/1200,5),12)-1)*100,4)</f>
        <v>4.907</v>
      </c>
      <c r="F49" s="53">
        <f>D49</f>
        <v>4.8</v>
      </c>
      <c r="G49" s="81">
        <v>2.8754669721564805</v>
      </c>
      <c r="H49" s="81">
        <v>0</v>
      </c>
      <c r="I49" s="81">
        <v>0</v>
      </c>
      <c r="J49" s="287">
        <v>-0.89</v>
      </c>
      <c r="K49" s="125">
        <f t="shared" si="268"/>
        <v>1.0345330278435192</v>
      </c>
      <c r="L49" s="195">
        <v>-0.87750361985931691</v>
      </c>
      <c r="M49" s="125">
        <f t="shared" ref="M49" si="281">SUM(K49:L49)</f>
        <v>0.15702940798420228</v>
      </c>
      <c r="N49" s="98">
        <v>0</v>
      </c>
      <c r="O49" s="98">
        <v>0</v>
      </c>
      <c r="P49" s="278">
        <v>-4.5441599999999999E-2</v>
      </c>
      <c r="Q49" s="278">
        <v>4.8599999999999997E-2</v>
      </c>
      <c r="R49" s="82">
        <f t="shared" ref="R49" si="282">SUM(N49:Q49)</f>
        <v>3.1583999999999987E-3</v>
      </c>
      <c r="S49" s="125">
        <f t="shared" ref="S49" si="283">M49+R49</f>
        <v>0.16018780798420229</v>
      </c>
      <c r="T49" s="278">
        <v>8.2299999999999998E-2</v>
      </c>
      <c r="U49" s="278">
        <v>-0.30929999999999996</v>
      </c>
      <c r="V49" s="278">
        <v>-0.13140000000000002</v>
      </c>
      <c r="W49" s="278" t="s">
        <v>393</v>
      </c>
      <c r="X49" s="358" t="s">
        <v>393</v>
      </c>
      <c r="Y49" s="211">
        <f>SUM(U49:X49)</f>
        <v>-0.44069999999999998</v>
      </c>
      <c r="Z49" s="41">
        <v>-0.16</v>
      </c>
      <c r="AA49" s="125">
        <f>SUM(S49:T49,Y49:Z49)</f>
        <v>-0.35821219201579768</v>
      </c>
      <c r="AB49" s="442">
        <v>-0.38319999999999999</v>
      </c>
      <c r="AC49" s="442">
        <v>-0.31109999999999999</v>
      </c>
      <c r="AD49" s="125">
        <f t="shared" si="156"/>
        <v>-1.0525121920157976</v>
      </c>
      <c r="AE49" s="442">
        <v>-1.1212</v>
      </c>
      <c r="AF49" s="125">
        <f t="shared" si="157"/>
        <v>-2.1737121920157976</v>
      </c>
      <c r="AG49" s="320">
        <v>-0.33</v>
      </c>
      <c r="AI49" s="83">
        <v>0.28627899166614373</v>
      </c>
      <c r="AK49" s="84">
        <v>58</v>
      </c>
      <c r="AL49" s="99">
        <v>41200</v>
      </c>
      <c r="AN49" s="83">
        <v>8.8664552692961279E-2</v>
      </c>
      <c r="AO49"/>
      <c r="AP49" s="213"/>
      <c r="AQ49"/>
      <c r="AR49" s="182"/>
      <c r="AS49" s="168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Y49"/>
      <c r="CA49" s="136">
        <f>B49</f>
        <v>432</v>
      </c>
      <c r="CB49" s="86" t="str">
        <f t="shared" si="267"/>
        <v xml:space="preserve"> 05 jaar vast</v>
      </c>
      <c r="CC49" s="372">
        <f t="shared" si="269"/>
        <v>4.8</v>
      </c>
      <c r="CD49" s="231">
        <f t="shared" si="269"/>
        <v>4.907</v>
      </c>
      <c r="CE49" s="385">
        <f t="shared" si="269"/>
        <v>4.8</v>
      </c>
      <c r="CF49" s="373">
        <f t="shared" si="269"/>
        <v>2.8754669721564805</v>
      </c>
      <c r="CG49" s="81">
        <v>0</v>
      </c>
      <c r="CH49" s="81">
        <v>0</v>
      </c>
      <c r="CI49" s="374">
        <f>J49</f>
        <v>-0.89</v>
      </c>
      <c r="CJ49" s="125">
        <f t="shared" si="270"/>
        <v>1.0345330278435192</v>
      </c>
      <c r="CK49" s="385">
        <f>L49</f>
        <v>-0.87750361985931691</v>
      </c>
      <c r="CL49" s="125">
        <f t="shared" ref="CL49" si="284">SUM(CJ49:CK49)</f>
        <v>0.15702940798420228</v>
      </c>
      <c r="CM49" s="386">
        <f t="shared" si="272"/>
        <v>0</v>
      </c>
      <c r="CN49" s="386">
        <f t="shared" si="272"/>
        <v>0</v>
      </c>
      <c r="CO49" s="211">
        <f t="shared" si="272"/>
        <v>-4.5441599999999999E-2</v>
      </c>
      <c r="CP49" s="211">
        <f t="shared" si="272"/>
        <v>4.8599999999999997E-2</v>
      </c>
      <c r="CQ49" s="82">
        <f t="shared" ref="CQ49" si="285">SUM(CM49:CP49)</f>
        <v>3.1583999999999987E-3</v>
      </c>
      <c r="CR49" s="125">
        <f t="shared" si="274"/>
        <v>0.16018780798420229</v>
      </c>
      <c r="CS49" s="211">
        <f t="shared" si="275"/>
        <v>8.2299999999999998E-2</v>
      </c>
      <c r="CT49" s="211">
        <f t="shared" si="275"/>
        <v>-0.30929999999999996</v>
      </c>
      <c r="CU49" s="211">
        <f t="shared" si="275"/>
        <v>-0.13140000000000002</v>
      </c>
      <c r="CV49" s="211" t="str">
        <f t="shared" si="275"/>
        <v>-</v>
      </c>
      <c r="CW49" s="211" t="str">
        <f t="shared" si="275"/>
        <v>-</v>
      </c>
      <c r="CX49" s="211">
        <f>SUM(CT49:CW49)</f>
        <v>-0.44069999999999998</v>
      </c>
      <c r="CY49" s="387">
        <f>Z49</f>
        <v>-0.16</v>
      </c>
      <c r="CZ49" s="125">
        <f>SUM(CR49:CS49,CX49:CY49)</f>
        <v>-0.35821219201579768</v>
      </c>
      <c r="DA49" s="211">
        <f t="shared" si="276"/>
        <v>-0.38319999999999999</v>
      </c>
      <c r="DB49" s="211">
        <f t="shared" si="277"/>
        <v>-0.31109999999999999</v>
      </c>
      <c r="DC49" s="125">
        <f t="shared" si="278"/>
        <v>-1.0525121920157976</v>
      </c>
      <c r="DD49" s="211">
        <f t="shared" si="279"/>
        <v>-1.1212</v>
      </c>
      <c r="DE49" s="125">
        <f t="shared" si="280"/>
        <v>-2.1737121920157976</v>
      </c>
      <c r="DF49" s="375">
        <f>AG49</f>
        <v>-0.33</v>
      </c>
      <c r="DH49" s="424">
        <f>AI49</f>
        <v>0.28627899166614373</v>
      </c>
    </row>
    <row r="50" spans="1:112" s="1" customFormat="1" ht="12.5">
      <c r="B50" s="136">
        <v>442</v>
      </c>
      <c r="C50" s="86" t="str">
        <f>" 10 "&amp;INDEX(ActT,10,ActLangID)</f>
        <v xml:space="preserve"> 10 jaar vast</v>
      </c>
      <c r="D50" s="356">
        <v>5.41</v>
      </c>
      <c r="E50" s="166">
        <f>ROUND((POWER(ROUND(1+D50/1200,5),12)-1)*100,4)</f>
        <v>5.5483000000000002</v>
      </c>
      <c r="F50" s="53">
        <f>D50</f>
        <v>5.41</v>
      </c>
      <c r="G50" s="81">
        <v>2.7078061262434967</v>
      </c>
      <c r="H50" s="81">
        <v>0</v>
      </c>
      <c r="I50" s="81">
        <v>0</v>
      </c>
      <c r="J50" s="287">
        <v>-1.57</v>
      </c>
      <c r="K50" s="125">
        <f t="shared" si="268"/>
        <v>1.1321938737565034</v>
      </c>
      <c r="L50" s="195">
        <v>-1.0392224114492954</v>
      </c>
      <c r="M50" s="125">
        <f t="shared" si="12"/>
        <v>9.2971462307207986E-2</v>
      </c>
      <c r="N50" s="98">
        <v>0</v>
      </c>
      <c r="O50" s="98">
        <v>0</v>
      </c>
      <c r="P50" s="40">
        <v>-8.7871680000000008E-2</v>
      </c>
      <c r="Q50" s="40">
        <v>4.9099999999999998E-2</v>
      </c>
      <c r="R50" s="82">
        <f t="shared" si="88"/>
        <v>-3.877168000000001E-2</v>
      </c>
      <c r="S50" s="125">
        <f t="shared" si="13"/>
        <v>5.4199782307207976E-2</v>
      </c>
      <c r="T50" s="40">
        <v>5.1000000000000004E-2</v>
      </c>
      <c r="U50" s="40">
        <v>-0.1918</v>
      </c>
      <c r="V50" s="40">
        <v>-8.1500000000000003E-2</v>
      </c>
      <c r="W50" s="40" t="s">
        <v>393</v>
      </c>
      <c r="X50" s="358" t="s">
        <v>393</v>
      </c>
      <c r="Y50" s="211">
        <f>SUM(U50:X50)</f>
        <v>-0.27329999999999999</v>
      </c>
      <c r="Z50" s="41">
        <v>-0.16</v>
      </c>
      <c r="AA50" s="125">
        <f>SUM(S50:T50,Y50:Z50)</f>
        <v>-0.32810021769279202</v>
      </c>
      <c r="AB50" s="442">
        <v>-5.6400000000000006E-2</v>
      </c>
      <c r="AC50" s="442">
        <v>-7.6999999999999999E-2</v>
      </c>
      <c r="AD50" s="125">
        <f t="shared" si="156"/>
        <v>-0.46150021769279204</v>
      </c>
      <c r="AE50" s="442">
        <v>-0.27739999999999998</v>
      </c>
      <c r="AF50" s="125">
        <f t="shared" si="157"/>
        <v>-0.73890021769279202</v>
      </c>
      <c r="AG50" s="320">
        <v>-0.33</v>
      </c>
      <c r="AI50" s="83">
        <v>0.70969496445003699</v>
      </c>
      <c r="AK50" s="84">
        <v>95</v>
      </c>
      <c r="AL50" s="99">
        <v>173700</v>
      </c>
      <c r="AN50" s="83">
        <v>0.21980232012550879</v>
      </c>
      <c r="AO50"/>
      <c r="AP50" s="213"/>
      <c r="AQ50"/>
      <c r="AR50" s="182"/>
      <c r="AS50" s="168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Y50"/>
      <c r="CA50" s="136">
        <f>B50</f>
        <v>442</v>
      </c>
      <c r="CB50" s="86" t="str">
        <f t="shared" si="267"/>
        <v xml:space="preserve"> 10 jaar vast</v>
      </c>
      <c r="CC50" s="372">
        <f t="shared" si="269"/>
        <v>5.41</v>
      </c>
      <c r="CD50" s="231">
        <f t="shared" si="269"/>
        <v>5.5483000000000002</v>
      </c>
      <c r="CE50" s="385">
        <f t="shared" si="269"/>
        <v>5.41</v>
      </c>
      <c r="CF50" s="373">
        <f t="shared" si="269"/>
        <v>2.7078061262434967</v>
      </c>
      <c r="CG50" s="81">
        <v>0</v>
      </c>
      <c r="CH50" s="81">
        <v>0</v>
      </c>
      <c r="CI50" s="374">
        <f>J50</f>
        <v>-1.57</v>
      </c>
      <c r="CJ50" s="125">
        <f t="shared" si="270"/>
        <v>1.1321938737565034</v>
      </c>
      <c r="CK50" s="385">
        <f>L50</f>
        <v>-1.0392224114492954</v>
      </c>
      <c r="CL50" s="125">
        <f t="shared" ref="CL50:CL51" si="286">SUM(CJ50:CK50)</f>
        <v>9.2971462307207986E-2</v>
      </c>
      <c r="CM50" s="386">
        <f t="shared" si="272"/>
        <v>0</v>
      </c>
      <c r="CN50" s="386">
        <f t="shared" si="272"/>
        <v>0</v>
      </c>
      <c r="CO50" s="211">
        <f t="shared" si="272"/>
        <v>-8.7871680000000008E-2</v>
      </c>
      <c r="CP50" s="211">
        <f t="shared" si="272"/>
        <v>4.9099999999999998E-2</v>
      </c>
      <c r="CQ50" s="82">
        <f t="shared" ref="CQ50" si="287">SUM(CM50:CP50)</f>
        <v>-3.877168000000001E-2</v>
      </c>
      <c r="CR50" s="125">
        <f t="shared" si="274"/>
        <v>5.4199782307207976E-2</v>
      </c>
      <c r="CS50" s="211">
        <f t="shared" si="275"/>
        <v>5.1000000000000004E-2</v>
      </c>
      <c r="CT50" s="211">
        <f t="shared" si="275"/>
        <v>-0.1918</v>
      </c>
      <c r="CU50" s="211">
        <f t="shared" si="275"/>
        <v>-8.1500000000000003E-2</v>
      </c>
      <c r="CV50" s="211" t="str">
        <f t="shared" si="275"/>
        <v>-</v>
      </c>
      <c r="CW50" s="211" t="str">
        <f t="shared" si="275"/>
        <v>-</v>
      </c>
      <c r="CX50" s="211">
        <f>SUM(CT50:CW50)</f>
        <v>-0.27329999999999999</v>
      </c>
      <c r="CY50" s="387">
        <f>Z50</f>
        <v>-0.16</v>
      </c>
      <c r="CZ50" s="125">
        <f>SUM(CR50:CS50,CX50:CY50)</f>
        <v>-0.32810021769279202</v>
      </c>
      <c r="DA50" s="211">
        <f t="shared" si="276"/>
        <v>-5.6400000000000006E-2</v>
      </c>
      <c r="DB50" s="211">
        <f t="shared" si="277"/>
        <v>-7.6999999999999999E-2</v>
      </c>
      <c r="DC50" s="125">
        <f t="shared" si="278"/>
        <v>-0.46150021769279204</v>
      </c>
      <c r="DD50" s="211">
        <f t="shared" si="279"/>
        <v>-0.27739999999999998</v>
      </c>
      <c r="DE50" s="125">
        <f t="shared" si="280"/>
        <v>-0.73890021769279202</v>
      </c>
      <c r="DF50" s="375">
        <f>AG50</f>
        <v>-0.33</v>
      </c>
      <c r="DH50" s="424">
        <f>AI50</f>
        <v>0.70969496445003699</v>
      </c>
    </row>
    <row r="51" spans="1:112" s="1" customFormat="1" ht="13">
      <c r="B51" s="136"/>
      <c r="C51" s="97" t="str">
        <f>"Equi4Pro "&amp;INDEX(ActT,29,ActLangID)</f>
        <v>Equi4Pro  Totaal: brutomarges gewogen met %aandeel</v>
      </c>
      <c r="D51" s="186"/>
      <c r="E51" s="301"/>
      <c r="F51" s="53"/>
      <c r="G51" s="81"/>
      <c r="H51" s="81"/>
      <c r="I51" s="81"/>
      <c r="J51" s="291">
        <f>SUMPRODUCT(J48:J50,$AI48:$AI50)</f>
        <v>-1.3726328362648634</v>
      </c>
      <c r="K51" s="127">
        <f>SUMPRODUCT(K48:K50,$AI48:$AI50)</f>
        <v>1.1069123589750234</v>
      </c>
      <c r="L51" s="291">
        <f>SUMPRODUCT(L48:L50,$AI48:$AI50)</f>
        <v>-0.99249510494637305</v>
      </c>
      <c r="M51" s="127">
        <f t="shared" si="12"/>
        <v>0.11441725402865033</v>
      </c>
      <c r="N51" s="30" t="s">
        <v>107</v>
      </c>
      <c r="O51" s="30" t="s">
        <v>107</v>
      </c>
      <c r="P51" s="30">
        <f>SUMPRODUCT(P48:P50,$AI48:$AI50)</f>
        <v>-7.5586115214473726E-2</v>
      </c>
      <c r="Q51" s="30">
        <f>SUMPRODUCT(Q48:Q50,$AI48:$AI50)</f>
        <v>4.8993900107898065E-2</v>
      </c>
      <c r="R51" s="30">
        <f t="shared" si="88"/>
        <v>-2.659221510657566E-2</v>
      </c>
      <c r="S51" s="127">
        <f t="shared" si="13"/>
        <v>8.7825038922074661E-2</v>
      </c>
      <c r="T51" s="30">
        <f>SUMPRODUCT(T48:T50,$AI48:$AI50)</f>
        <v>6.0132041908601004E-2</v>
      </c>
      <c r="U51" s="30">
        <f>SUMPRODUCT(U48:U50,$AI48:$AI50)</f>
        <v>-0.22571114990048319</v>
      </c>
      <c r="V51" s="30">
        <f>SUMPRODUCT(V48:V50,$AI48:$AI50)</f>
        <v>-9.5901271747994579E-2</v>
      </c>
      <c r="W51" s="30" t="s">
        <v>393</v>
      </c>
      <c r="X51" s="30" t="s">
        <v>393</v>
      </c>
      <c r="Y51" s="30">
        <f>SUM(U51:X51)</f>
        <v>-0.32161242164847775</v>
      </c>
      <c r="Z51" s="30">
        <f>SUMPRODUCT(Z48:Z50,$AI48:$AI50)</f>
        <v>-0.16</v>
      </c>
      <c r="AA51" s="127">
        <f>SUM(S51:T51,Y51:Z51)</f>
        <v>-0.33365534081780213</v>
      </c>
      <c r="AB51" s="30">
        <f t="shared" ref="AB51:AC51" si="288">SUMPRODUCT(AB48:AB50,$AI48:$AI50)</f>
        <v>-0.15165577020424428</v>
      </c>
      <c r="AC51" s="30">
        <f t="shared" si="288"/>
        <v>-0.1455828352066848</v>
      </c>
      <c r="AD51" s="127">
        <f t="shared" si="156"/>
        <v>-0.63089394622873118</v>
      </c>
      <c r="AE51" s="30">
        <f>SUMPRODUCT(AE48:AE50,$AI48:$AI50)</f>
        <v>-0.52460270064912284</v>
      </c>
      <c r="AF51" s="127">
        <f t="shared" si="157"/>
        <v>-1.155496646877854</v>
      </c>
      <c r="AG51" s="326">
        <f>SUMPRODUCT(AG48:AG50,$AI48:$AI50)</f>
        <v>-0.33</v>
      </c>
      <c r="AH51" s="3"/>
      <c r="AI51" s="143">
        <f>SUM(AI48:AI50)</f>
        <v>1</v>
      </c>
      <c r="AK51" s="280"/>
      <c r="AL51" s="55"/>
      <c r="AN51" s="313" t="s">
        <v>336</v>
      </c>
      <c r="AO51"/>
      <c r="AP51" s="136"/>
      <c r="AQ51"/>
      <c r="AR51" s="182"/>
      <c r="AS51" s="168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Y51"/>
      <c r="CA51" s="136"/>
      <c r="CB51" s="97" t="str">
        <f t="shared" si="267"/>
        <v>Equi4Pro  Totaal: brutomarges gewogen met %aandeel</v>
      </c>
      <c r="CC51" s="372"/>
      <c r="CD51" s="417"/>
      <c r="CE51" s="385"/>
      <c r="CF51" s="373"/>
      <c r="CG51" s="81"/>
      <c r="CH51" s="81"/>
      <c r="CI51" s="291">
        <f>SUMPRODUCT(CI48:CI50,$DH48:$DH50)</f>
        <v>-1.3726328362648634</v>
      </c>
      <c r="CJ51" s="127">
        <f>SUMPRODUCT(CJ48:CJ50,$AI48:$AI50)</f>
        <v>1.1069123589750234</v>
      </c>
      <c r="CK51" s="30">
        <f>SUMPRODUCT(CK48:CK50,$DH48:$DH50)</f>
        <v>-0.99249510494637305</v>
      </c>
      <c r="CL51" s="127">
        <f t="shared" si="286"/>
        <v>0.11441725402865033</v>
      </c>
      <c r="CM51" s="30" t="s">
        <v>107</v>
      </c>
      <c r="CN51" s="30" t="s">
        <v>107</v>
      </c>
      <c r="CO51" s="30">
        <f>SUMPRODUCT(CO48:CO50,$AI48:$AI50)</f>
        <v>-7.5586115214473726E-2</v>
      </c>
      <c r="CP51" s="30">
        <f>SUMPRODUCT(CP48:CP50,$DH48:$DH50)</f>
        <v>4.8993900107898065E-2</v>
      </c>
      <c r="CQ51" s="30">
        <f>SUMPRODUCT(CQ48:CQ50,$DH48:$DH50)</f>
        <v>-2.6592215106575657E-2</v>
      </c>
      <c r="CR51" s="127">
        <f t="shared" si="274"/>
        <v>8.7825038922074675E-2</v>
      </c>
      <c r="CS51" s="30">
        <f>SUMPRODUCT(CS48:CS50,$DH48:$DH50)</f>
        <v>6.0132041908601004E-2</v>
      </c>
      <c r="CT51" s="30">
        <f>SUMPRODUCT(CT48:CT50,$DH48:$DH50)</f>
        <v>-0.22571114990048319</v>
      </c>
      <c r="CU51" s="30">
        <f>SUMPRODUCT(CU48:CU50,$DH48:$DH50)</f>
        <v>-9.5901271747994579E-2</v>
      </c>
      <c r="CV51" s="30" t="str">
        <f>W51</f>
        <v>-</v>
      </c>
      <c r="CW51" s="30" t="str">
        <f>X51</f>
        <v>-</v>
      </c>
      <c r="CX51" s="30">
        <f>SUM(CT51:CW51)</f>
        <v>-0.32161242164847775</v>
      </c>
      <c r="CY51" s="30">
        <f>SUMPRODUCT(CY48:CY50,$DH48:$DH50)</f>
        <v>-0.16</v>
      </c>
      <c r="CZ51" s="127">
        <f>SUM(CR51:CS51,CX51:CY51)</f>
        <v>-0.33365534081780207</v>
      </c>
      <c r="DA51" s="30">
        <f t="shared" ref="DA51:DB51" si="289">SUMPRODUCT(DA48:DA50,$DH48:$DH50)</f>
        <v>-0.15165577020424428</v>
      </c>
      <c r="DB51" s="30">
        <f t="shared" si="289"/>
        <v>-0.1455828352066848</v>
      </c>
      <c r="DC51" s="127">
        <f t="shared" si="278"/>
        <v>-0.63089394622873118</v>
      </c>
      <c r="DD51" s="30">
        <f>SUMPRODUCT(DD48:DD50,$DH48:$DH50)</f>
        <v>-0.52460270064912284</v>
      </c>
      <c r="DE51" s="127">
        <f t="shared" si="280"/>
        <v>-1.155496646877854</v>
      </c>
      <c r="DF51" s="326">
        <f>SUMPRODUCT(DF48:DF50,$DH48:$DH50)</f>
        <v>-0.33</v>
      </c>
      <c r="DG51" s="3"/>
      <c r="DH51" s="143">
        <f>SUM(DH48:DH50)</f>
        <v>1</v>
      </c>
    </row>
    <row r="52" spans="1:112" s="1" customFormat="1" ht="13">
      <c r="B52" s="138"/>
      <c r="C52" s="297"/>
      <c r="D52" s="186"/>
      <c r="E52" s="298"/>
      <c r="F52" s="5"/>
      <c r="G52" s="22"/>
      <c r="H52" s="22"/>
      <c r="I52" s="22"/>
      <c r="J52" s="287"/>
      <c r="K52" s="300"/>
      <c r="L52" s="44"/>
      <c r="M52" s="300"/>
      <c r="N52" s="490"/>
      <c r="O52" s="491"/>
      <c r="P52" s="491"/>
      <c r="Q52" s="211"/>
      <c r="R52" s="358"/>
      <c r="S52" s="430"/>
      <c r="T52" s="82"/>
      <c r="U52" s="82"/>
      <c r="V52" s="82"/>
      <c r="W52" s="82"/>
      <c r="X52" s="82"/>
      <c r="Y52" s="82"/>
      <c r="Z52" s="311"/>
      <c r="AA52" s="125"/>
      <c r="AB52" s="82"/>
      <c r="AC52" s="82"/>
      <c r="AD52" s="125"/>
      <c r="AE52" s="82"/>
      <c r="AF52" s="125"/>
      <c r="AG52" s="321"/>
      <c r="AH52" s="2"/>
      <c r="AI52" s="85"/>
      <c r="AJ52" s="2"/>
      <c r="AK52" s="280"/>
      <c r="AL52" s="103"/>
      <c r="AN52" s="313" t="s">
        <v>336</v>
      </c>
      <c r="AO52"/>
      <c r="AP52" s="138"/>
      <c r="AQ52"/>
      <c r="AR52" s="182"/>
      <c r="AS52" s="168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2"/>
      <c r="BY52"/>
      <c r="CA52" s="138"/>
      <c r="CB52" s="297"/>
      <c r="CC52" s="372"/>
      <c r="CD52" s="416"/>
      <c r="CE52" s="414"/>
      <c r="CF52" s="415"/>
      <c r="CG52" s="22"/>
      <c r="CH52" s="22"/>
      <c r="CI52" s="287"/>
      <c r="CJ52" s="300"/>
      <c r="CK52" s="44"/>
      <c r="CL52" s="300"/>
      <c r="CM52" s="310"/>
      <c r="CN52" s="310"/>
      <c r="CO52" s="311"/>
      <c r="CP52" s="312"/>
      <c r="CQ52" s="82"/>
      <c r="CR52" s="125"/>
      <c r="CS52" s="82"/>
      <c r="CT52" s="82"/>
      <c r="CU52" s="82"/>
      <c r="CV52" s="82"/>
      <c r="CW52" s="82"/>
      <c r="CX52" s="82"/>
      <c r="CY52" s="311"/>
      <c r="CZ52" s="125"/>
      <c r="DA52" s="82"/>
      <c r="DB52" s="82"/>
      <c r="DC52" s="125"/>
      <c r="DD52" s="82"/>
      <c r="DE52" s="125"/>
      <c r="DF52" s="321"/>
      <c r="DG52" s="2"/>
      <c r="DH52" s="85"/>
    </row>
    <row r="53" spans="1:112" s="1" customFormat="1" ht="13">
      <c r="A53" s="3"/>
      <c r="B53" s="136"/>
      <c r="C53" s="297"/>
      <c r="D53" s="186"/>
      <c r="E53" s="298"/>
      <c r="F53" s="5"/>
      <c r="G53" s="22"/>
      <c r="H53" s="22"/>
      <c r="I53" s="22"/>
      <c r="J53" s="287"/>
      <c r="K53" s="300"/>
      <c r="L53" s="44"/>
      <c r="M53" s="300"/>
      <c r="N53" s="302"/>
      <c r="O53" s="302"/>
      <c r="P53" s="302"/>
      <c r="Q53" s="302"/>
      <c r="R53" s="82"/>
      <c r="S53" s="303"/>
      <c r="T53" s="304"/>
      <c r="U53" s="305"/>
      <c r="V53" s="305"/>
      <c r="W53" s="305"/>
      <c r="X53" s="305"/>
      <c r="Y53" s="306"/>
      <c r="Z53" s="82"/>
      <c r="AA53" s="303"/>
      <c r="AB53" s="305"/>
      <c r="AC53" s="305"/>
      <c r="AD53" s="303"/>
      <c r="AE53" s="305"/>
      <c r="AF53" s="303"/>
      <c r="AG53" s="328"/>
      <c r="AH53" s="3"/>
      <c r="AI53" s="85"/>
      <c r="AJ53" s="3"/>
      <c r="AK53" s="477"/>
      <c r="AL53" s="478"/>
      <c r="AN53" s="313" t="s">
        <v>336</v>
      </c>
      <c r="AO53"/>
      <c r="AP53" s="136"/>
      <c r="AQ53"/>
      <c r="AR53" s="182"/>
      <c r="AS53" s="168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3"/>
      <c r="BY53"/>
      <c r="BZ53" s="3"/>
      <c r="CA53" s="136"/>
      <c r="CB53" s="297"/>
      <c r="CC53" s="372"/>
      <c r="CD53" s="416"/>
      <c r="CE53" s="414"/>
      <c r="CF53" s="415"/>
      <c r="CG53" s="22"/>
      <c r="CH53" s="22"/>
      <c r="CI53" s="287"/>
      <c r="CJ53" s="300"/>
      <c r="CK53" s="44"/>
      <c r="CL53" s="300"/>
      <c r="CM53" s="302"/>
      <c r="CN53" s="302"/>
      <c r="CO53" s="302"/>
      <c r="CP53" s="302"/>
      <c r="CQ53" s="82"/>
      <c r="CR53" s="303"/>
      <c r="CS53" s="304"/>
      <c r="CT53" s="305"/>
      <c r="CU53" s="305"/>
      <c r="CV53" s="305"/>
      <c r="CW53" s="305"/>
      <c r="CX53" s="306"/>
      <c r="CY53" s="82"/>
      <c r="CZ53" s="303"/>
      <c r="DA53" s="305"/>
      <c r="DB53" s="305"/>
      <c r="DC53" s="303"/>
      <c r="DD53" s="305"/>
      <c r="DE53" s="303"/>
      <c r="DF53" s="328"/>
      <c r="DG53" s="3"/>
      <c r="DH53" s="85"/>
    </row>
    <row r="54" spans="1:112" s="1" customFormat="1" ht="13">
      <c r="B54" s="136"/>
      <c r="C54" s="307" t="s">
        <v>319</v>
      </c>
      <c r="D54" s="186"/>
      <c r="E54" s="301"/>
      <c r="F54" s="53"/>
      <c r="G54" s="81"/>
      <c r="H54" s="81"/>
      <c r="I54" s="81"/>
      <c r="J54" s="308"/>
      <c r="K54" s="123"/>
      <c r="L54" s="53"/>
      <c r="M54" s="125"/>
      <c r="N54" s="42"/>
      <c r="O54" s="42"/>
      <c r="P54" s="42"/>
      <c r="Q54" s="57"/>
      <c r="R54" s="45"/>
      <c r="S54" s="125"/>
      <c r="T54" s="43"/>
      <c r="U54" s="44"/>
      <c r="V54" s="44"/>
      <c r="W54" s="44"/>
      <c r="X54" s="44"/>
      <c r="Y54" s="44"/>
      <c r="Z54" s="45"/>
      <c r="AA54" s="125"/>
      <c r="AB54" s="44"/>
      <c r="AC54" s="44"/>
      <c r="AD54" s="125"/>
      <c r="AE54" s="44"/>
      <c r="AF54" s="125"/>
      <c r="AG54" s="327"/>
      <c r="AH54" s="3"/>
      <c r="AI54" s="309"/>
      <c r="AJ54" s="3"/>
      <c r="AK54" s="477"/>
      <c r="AL54" s="478"/>
      <c r="AN54" s="313" t="s">
        <v>336</v>
      </c>
      <c r="AO54"/>
      <c r="AP54" s="138"/>
      <c r="AQ54"/>
      <c r="AR54" s="182"/>
      <c r="AS54" s="168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3"/>
      <c r="BY54"/>
      <c r="CA54" s="136"/>
      <c r="CB54" s="307" t="str">
        <f>C54</f>
        <v>Car4Pro</v>
      </c>
      <c r="CC54" s="372"/>
      <c r="CD54" s="417"/>
      <c r="CE54" s="385"/>
      <c r="CF54" s="373"/>
      <c r="CG54" s="81"/>
      <c r="CH54" s="81"/>
      <c r="CI54" s="308"/>
      <c r="CJ54" s="123"/>
      <c r="CK54" s="53"/>
      <c r="CL54" s="125"/>
      <c r="CM54" s="42"/>
      <c r="CN54" s="42"/>
      <c r="CO54" s="42"/>
      <c r="CP54" s="57"/>
      <c r="CQ54" s="45"/>
      <c r="CR54" s="125"/>
      <c r="CS54" s="43"/>
      <c r="CT54" s="44"/>
      <c r="CU54" s="44"/>
      <c r="CV54" s="44"/>
      <c r="CW54" s="44"/>
      <c r="CX54" s="44"/>
      <c r="CY54" s="45"/>
      <c r="CZ54" s="125"/>
      <c r="DA54" s="44"/>
      <c r="DB54" s="44"/>
      <c r="DC54" s="125"/>
      <c r="DD54" s="44"/>
      <c r="DE54" s="125"/>
      <c r="DF54" s="327"/>
      <c r="DG54" s="3"/>
      <c r="DH54" s="309"/>
    </row>
    <row r="55" spans="1:112" s="1" customFormat="1" ht="13.5" customHeight="1">
      <c r="B55" s="136">
        <v>512</v>
      </c>
      <c r="C55" s="96" t="str">
        <f>INDEX(ActT,49,ActLangID)</f>
        <v>Voertuigen &lt;= 3jr</v>
      </c>
      <c r="D55" s="356">
        <v>4.5999999999999996</v>
      </c>
      <c r="E55" s="173">
        <f t="shared" ref="E55:E62" si="290">ROUND((POWER(ROUND(1+D55/1200,5),12)-1)*100,4)</f>
        <v>4.6940999999999997</v>
      </c>
      <c r="F55" s="53">
        <f t="shared" ref="F55:F62" si="291">D55</f>
        <v>4.5999999999999996</v>
      </c>
      <c r="G55" s="81">
        <v>2.8848824309626702</v>
      </c>
      <c r="H55" s="81">
        <v>0</v>
      </c>
      <c r="I55" s="81">
        <v>0</v>
      </c>
      <c r="J55" s="287">
        <v>-0.69</v>
      </c>
      <c r="K55" s="125">
        <f t="shared" ref="K55:K56" si="292">F55-G55-H55+I55+J55</f>
        <v>1.0251175690373295</v>
      </c>
      <c r="L55" s="195">
        <v>-0.86731918231164085</v>
      </c>
      <c r="M55" s="125">
        <f t="shared" si="12"/>
        <v>0.15779838672568869</v>
      </c>
      <c r="N55" s="42">
        <v>0</v>
      </c>
      <c r="O55" s="42">
        <v>0</v>
      </c>
      <c r="P55" s="42">
        <v>0</v>
      </c>
      <c r="Q55" s="276">
        <v>9.3200000000000005E-2</v>
      </c>
      <c r="R55" s="82">
        <f t="shared" si="88"/>
        <v>9.3200000000000005E-2</v>
      </c>
      <c r="S55" s="125">
        <f t="shared" si="13"/>
        <v>0.25099838672568869</v>
      </c>
      <c r="T55" s="340">
        <v>8.5300000000000001E-2</v>
      </c>
      <c r="U55" s="40">
        <v>-0.2505</v>
      </c>
      <c r="V55" s="40">
        <v>-0.13619999999999999</v>
      </c>
      <c r="W55" s="40" t="s">
        <v>393</v>
      </c>
      <c r="X55" s="358" t="s">
        <v>393</v>
      </c>
      <c r="Y55" s="211">
        <f t="shared" ref="Y55:Y62" si="293">SUM(U55:X55)</f>
        <v>-0.38669999999999999</v>
      </c>
      <c r="Z55" s="41">
        <v>-0.15</v>
      </c>
      <c r="AA55" s="125">
        <f>SUM(S55:T55,Y55:Z55)</f>
        <v>-0.2004016132743113</v>
      </c>
      <c r="AB55" s="442">
        <v>-0.16819999999999999</v>
      </c>
      <c r="AC55" s="442">
        <v>-4.5600000000000002E-2</v>
      </c>
      <c r="AD55" s="125">
        <f t="shared" si="156"/>
        <v>-0.41420161327431126</v>
      </c>
      <c r="AE55" s="442">
        <v>-0.1653</v>
      </c>
      <c r="AF55" s="125">
        <f t="shared" si="157"/>
        <v>-0.57950161327431127</v>
      </c>
      <c r="AG55" s="320">
        <v>-0.22999999999999998</v>
      </c>
      <c r="AI55" s="83">
        <v>0.89286084842016145</v>
      </c>
      <c r="AK55" s="84">
        <v>58</v>
      </c>
      <c r="AL55" s="99">
        <v>45600</v>
      </c>
      <c r="AN55" s="83">
        <v>0.14054982859014489</v>
      </c>
      <c r="AO55"/>
      <c r="AP55" s="136"/>
      <c r="AQ55"/>
      <c r="AR55" s="182"/>
      <c r="AS55" s="168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Y55"/>
      <c r="CA55" s="136">
        <f>B55</f>
        <v>512</v>
      </c>
      <c r="CB55" s="96" t="str">
        <f>C55</f>
        <v>Voertuigen &lt;= 3jr</v>
      </c>
      <c r="CC55" s="372">
        <f t="shared" ref="CC55:CF56" si="294">D55</f>
        <v>4.5999999999999996</v>
      </c>
      <c r="CD55" s="418">
        <f t="shared" si="294"/>
        <v>4.6940999999999997</v>
      </c>
      <c r="CE55" s="385">
        <f t="shared" si="294"/>
        <v>4.5999999999999996</v>
      </c>
      <c r="CF55" s="373">
        <f t="shared" si="294"/>
        <v>2.8848824309626702</v>
      </c>
      <c r="CG55" s="81">
        <v>0</v>
      </c>
      <c r="CH55" s="81">
        <v>0</v>
      </c>
      <c r="CI55" s="374">
        <f>J55</f>
        <v>-0.69</v>
      </c>
      <c r="CJ55" s="125">
        <f t="shared" ref="CJ55:CJ56" si="295">CE55-CF55-CG55+CH55+CI55</f>
        <v>1.0251175690373295</v>
      </c>
      <c r="CK55" s="385">
        <f>L55</f>
        <v>-0.86731918231164085</v>
      </c>
      <c r="CL55" s="125">
        <f t="shared" ref="CL55:CL56" si="296">SUM(CJ55:CK55)</f>
        <v>0.15779838672568869</v>
      </c>
      <c r="CM55" s="423">
        <f t="shared" ref="CM55:CP56" si="297">N55</f>
        <v>0</v>
      </c>
      <c r="CN55" s="423">
        <f t="shared" si="297"/>
        <v>0</v>
      </c>
      <c r="CO55" s="423">
        <f t="shared" si="297"/>
        <v>0</v>
      </c>
      <c r="CP55" s="211">
        <f t="shared" si="297"/>
        <v>9.3200000000000005E-2</v>
      </c>
      <c r="CQ55" s="82">
        <f t="shared" ref="CQ55:CQ56" si="298">SUM(CM55:CP55)</f>
        <v>9.3200000000000005E-2</v>
      </c>
      <c r="CR55" s="125">
        <f t="shared" ref="CR55:CR57" si="299">CL55+CQ55</f>
        <v>0.25099838672568869</v>
      </c>
      <c r="CS55" s="211">
        <f t="shared" ref="CS55:CW56" si="300">T55</f>
        <v>8.5300000000000001E-2</v>
      </c>
      <c r="CT55" s="211">
        <f t="shared" si="300"/>
        <v>-0.2505</v>
      </c>
      <c r="CU55" s="211">
        <f t="shared" si="300"/>
        <v>-0.13619999999999999</v>
      </c>
      <c r="CV55" s="211" t="str">
        <f t="shared" si="300"/>
        <v>-</v>
      </c>
      <c r="CW55" s="211" t="str">
        <f t="shared" si="300"/>
        <v>-</v>
      </c>
      <c r="CX55" s="211">
        <f t="shared" ref="CX55:CX56" si="301">SUM(CT55:CW55)</f>
        <v>-0.38669999999999999</v>
      </c>
      <c r="CY55" s="387">
        <f>Z55</f>
        <v>-0.15</v>
      </c>
      <c r="CZ55" s="125">
        <f>SUM(CR55:CS55,CX55:CY55)</f>
        <v>-0.2004016132743113</v>
      </c>
      <c r="DA55" s="211">
        <f t="shared" ref="DA55:DA56" si="302">AB55</f>
        <v>-0.16819999999999999</v>
      </c>
      <c r="DB55" s="211">
        <f t="shared" ref="DB55:DB56" si="303">AC55</f>
        <v>-4.5600000000000002E-2</v>
      </c>
      <c r="DC55" s="125">
        <f t="shared" ref="DC55:DC57" si="304">SUM(CZ55:DB55)</f>
        <v>-0.41420161327431126</v>
      </c>
      <c r="DD55" s="211">
        <f t="shared" ref="DD55:DD56" si="305">AE55</f>
        <v>-0.1653</v>
      </c>
      <c r="DE55" s="125">
        <f t="shared" ref="DE55:DE57" si="306">SUM(DC55:DD55)</f>
        <v>-0.57950161327431127</v>
      </c>
      <c r="DF55" s="375">
        <f>AG55</f>
        <v>-0.22999999999999998</v>
      </c>
      <c r="DH55" s="424">
        <f>AI55</f>
        <v>0.89286084842016145</v>
      </c>
    </row>
    <row r="56" spans="1:112" s="1" customFormat="1" ht="12.75" customHeight="1">
      <c r="B56" s="136">
        <v>522</v>
      </c>
      <c r="C56" s="97" t="str">
        <f>INDEX(ActT,50,ActLangID)</f>
        <v>Voertuigen &gt; 3jr</v>
      </c>
      <c r="D56" s="356">
        <v>5.42</v>
      </c>
      <c r="E56" s="173">
        <f t="shared" si="290"/>
        <v>5.5609000000000002</v>
      </c>
      <c r="F56" s="53">
        <f t="shared" si="291"/>
        <v>5.42</v>
      </c>
      <c r="G56" s="81">
        <v>2.9284708258442769</v>
      </c>
      <c r="H56" s="81">
        <v>0</v>
      </c>
      <c r="I56" s="81">
        <v>0</v>
      </c>
      <c r="J56" s="287">
        <v>-0.49</v>
      </c>
      <c r="K56" s="125">
        <f t="shared" si="292"/>
        <v>2.0015291741557233</v>
      </c>
      <c r="L56" s="195">
        <v>-0.8287605484888525</v>
      </c>
      <c r="M56" s="125">
        <f t="shared" si="12"/>
        <v>1.1727686256668708</v>
      </c>
      <c r="N56" s="42">
        <v>0</v>
      </c>
      <c r="O56" s="42">
        <v>0</v>
      </c>
      <c r="P56" s="42">
        <v>0</v>
      </c>
      <c r="Q56" s="276">
        <v>0.1171</v>
      </c>
      <c r="R56" s="82">
        <f t="shared" si="88"/>
        <v>0.1171</v>
      </c>
      <c r="S56" s="125">
        <f t="shared" si="13"/>
        <v>1.2898686256668708</v>
      </c>
      <c r="T56" s="340">
        <v>0.1419</v>
      </c>
      <c r="U56" s="40">
        <v>-0.27560000000000001</v>
      </c>
      <c r="V56" s="40">
        <v>-0.14979999999999999</v>
      </c>
      <c r="W56" s="40" t="s">
        <v>393</v>
      </c>
      <c r="X56" s="358" t="s">
        <v>393</v>
      </c>
      <c r="Y56" s="211">
        <f t="shared" si="293"/>
        <v>-0.4254</v>
      </c>
      <c r="Z56" s="41">
        <v>-0.15</v>
      </c>
      <c r="AA56" s="125">
        <f>SUM(S56:T56,Y56:Z56)</f>
        <v>0.85636862566687066</v>
      </c>
      <c r="AB56" s="442">
        <v>-0.34030000000000005</v>
      </c>
      <c r="AC56" s="442">
        <v>-8.2900000000000001E-2</v>
      </c>
      <c r="AD56" s="125">
        <f t="shared" si="156"/>
        <v>0.43316862566687064</v>
      </c>
      <c r="AE56" s="442">
        <v>-0.30030000000000001</v>
      </c>
      <c r="AF56" s="125">
        <f t="shared" si="157"/>
        <v>0.13286862566687063</v>
      </c>
      <c r="AG56" s="320">
        <v>-0.22999999999999998</v>
      </c>
      <c r="AI56" s="83">
        <v>0.10713915157983867</v>
      </c>
      <c r="AK56" s="84">
        <v>52</v>
      </c>
      <c r="AL56" s="99">
        <v>24800</v>
      </c>
      <c r="AN56" s="83">
        <v>1.6865326121628436E-2</v>
      </c>
      <c r="AO56"/>
      <c r="AP56"/>
      <c r="AQ56"/>
      <c r="AR56" s="182"/>
      <c r="AS56" s="168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Y56"/>
      <c r="CA56" s="136">
        <f>B56</f>
        <v>522</v>
      </c>
      <c r="CB56" s="97" t="str">
        <f>C56</f>
        <v>Voertuigen &gt; 3jr</v>
      </c>
      <c r="CC56" s="372">
        <f t="shared" si="294"/>
        <v>5.42</v>
      </c>
      <c r="CD56" s="418">
        <f t="shared" si="294"/>
        <v>5.5609000000000002</v>
      </c>
      <c r="CE56" s="385">
        <f t="shared" si="294"/>
        <v>5.42</v>
      </c>
      <c r="CF56" s="373">
        <f t="shared" si="294"/>
        <v>2.9284708258442769</v>
      </c>
      <c r="CG56" s="81">
        <v>0</v>
      </c>
      <c r="CH56" s="81">
        <v>0</v>
      </c>
      <c r="CI56" s="374">
        <f>J56</f>
        <v>-0.49</v>
      </c>
      <c r="CJ56" s="125">
        <f t="shared" si="295"/>
        <v>2.0015291741557233</v>
      </c>
      <c r="CK56" s="385">
        <f>L56</f>
        <v>-0.8287605484888525</v>
      </c>
      <c r="CL56" s="125">
        <f t="shared" si="296"/>
        <v>1.1727686256668708</v>
      </c>
      <c r="CM56" s="423">
        <f t="shared" si="297"/>
        <v>0</v>
      </c>
      <c r="CN56" s="423">
        <f t="shared" si="297"/>
        <v>0</v>
      </c>
      <c r="CO56" s="423">
        <f t="shared" si="297"/>
        <v>0</v>
      </c>
      <c r="CP56" s="211">
        <f t="shared" si="297"/>
        <v>0.1171</v>
      </c>
      <c r="CQ56" s="82">
        <f t="shared" si="298"/>
        <v>0.1171</v>
      </c>
      <c r="CR56" s="125">
        <f t="shared" si="299"/>
        <v>1.2898686256668708</v>
      </c>
      <c r="CS56" s="211">
        <f t="shared" si="300"/>
        <v>0.1419</v>
      </c>
      <c r="CT56" s="211">
        <f t="shared" si="300"/>
        <v>-0.27560000000000001</v>
      </c>
      <c r="CU56" s="211">
        <f t="shared" si="300"/>
        <v>-0.14979999999999999</v>
      </c>
      <c r="CV56" s="211" t="str">
        <f t="shared" si="300"/>
        <v>-</v>
      </c>
      <c r="CW56" s="211" t="str">
        <f t="shared" si="300"/>
        <v>-</v>
      </c>
      <c r="CX56" s="211">
        <f t="shared" si="301"/>
        <v>-0.4254</v>
      </c>
      <c r="CY56" s="387">
        <f>Z56</f>
        <v>-0.15</v>
      </c>
      <c r="CZ56" s="125">
        <f>SUM(CR56:CS56,CX56:CY56)</f>
        <v>0.85636862566687066</v>
      </c>
      <c r="DA56" s="211">
        <f t="shared" si="302"/>
        <v>-0.34030000000000005</v>
      </c>
      <c r="DB56" s="211">
        <f t="shared" si="303"/>
        <v>-8.2900000000000001E-2</v>
      </c>
      <c r="DC56" s="125">
        <f t="shared" si="304"/>
        <v>0.43316862566687064</v>
      </c>
      <c r="DD56" s="211">
        <f t="shared" si="305"/>
        <v>-0.30030000000000001</v>
      </c>
      <c r="DE56" s="125">
        <f t="shared" si="306"/>
        <v>0.13286862566687063</v>
      </c>
      <c r="DF56" s="375">
        <f>AG56</f>
        <v>-0.22999999999999998</v>
      </c>
      <c r="DH56" s="424">
        <f>AI56</f>
        <v>0.10713915157983867</v>
      </c>
    </row>
    <row r="57" spans="1:112" s="1" customFormat="1" ht="12.75" customHeight="1">
      <c r="B57" s="136"/>
      <c r="C57" s="97" t="str">
        <f>"Car4Pro "&amp;INDEX(ActT,29,ActLangID)</f>
        <v>Car4Pro  Totaal: brutomarges gewogen met %aandeel</v>
      </c>
      <c r="D57" s="186"/>
      <c r="E57" s="301"/>
      <c r="F57" s="53"/>
      <c r="G57" s="81"/>
      <c r="H57" s="81"/>
      <c r="I57" s="81"/>
      <c r="J57" s="291">
        <f>SUMPRODUCT(J55:J56,$AI55:$AI56)</f>
        <v>-0.66857216968403221</v>
      </c>
      <c r="K57" s="127">
        <f>SUMPRODUCT(K55:K56,$AI55:$AI56)</f>
        <v>1.1297294800024229</v>
      </c>
      <c r="L57" s="291">
        <f>SUMPRODUCT(L55:L56,$AI55:$AI56)</f>
        <v>-0.86318804299778973</v>
      </c>
      <c r="M57" s="127">
        <f t="shared" ref="M57" si="307">SUM(K57:L57)</f>
        <v>0.26654143700463317</v>
      </c>
      <c r="N57" s="30" t="s">
        <v>107</v>
      </c>
      <c r="O57" s="30" t="s">
        <v>107</v>
      </c>
      <c r="P57" s="30" t="s">
        <v>107</v>
      </c>
      <c r="Q57" s="30">
        <f>SUMPRODUCT(Q55:Q56,$AI55:$AI56)</f>
        <v>9.5760625722758147E-2</v>
      </c>
      <c r="R57" s="30">
        <f t="shared" ref="R57" si="308">SUM(N57:Q57)</f>
        <v>9.5760625722758147E-2</v>
      </c>
      <c r="S57" s="127">
        <f t="shared" ref="S57" si="309">M57+R57</f>
        <v>0.36230206272739129</v>
      </c>
      <c r="T57" s="30">
        <f>SUMPRODUCT(T55:T56,$AI55:$AI56)</f>
        <v>9.1364075979418882E-2</v>
      </c>
      <c r="U57" s="291">
        <f>SUMPRODUCT(U55:U56,$AI55:$AI56)</f>
        <v>-0.25318919270465401</v>
      </c>
      <c r="V57" s="291">
        <f>SUMPRODUCT(V55:V56,$AI55:$AI56)</f>
        <v>-0.1376570924614858</v>
      </c>
      <c r="W57" s="291" t="s">
        <v>393</v>
      </c>
      <c r="X57" s="291" t="s">
        <v>393</v>
      </c>
      <c r="Y57" s="30">
        <f>SUM(U57:X57)</f>
        <v>-0.39084628516613984</v>
      </c>
      <c r="Z57" s="291">
        <f>SUMPRODUCT(Z55:Z56,$AI55:$AI56)</f>
        <v>-0.15000000000000002</v>
      </c>
      <c r="AA57" s="127">
        <f>SUM(S57:T57,Y57:Z57)</f>
        <v>-8.7180146459329699E-2</v>
      </c>
      <c r="AB57" s="291">
        <f t="shared" ref="AB57:AC57" si="310">SUMPRODUCT(AB55:AB56,$AI55:$AI56)</f>
        <v>-0.18663864798689025</v>
      </c>
      <c r="AC57" s="291">
        <f t="shared" si="310"/>
        <v>-4.9596290353927985E-2</v>
      </c>
      <c r="AD57" s="127">
        <f t="shared" si="156"/>
        <v>-0.32341508480014791</v>
      </c>
      <c r="AE57" s="291">
        <f>SUMPRODUCT(AE55:AE56,$AI55:$AI56)</f>
        <v>-0.17976378546327823</v>
      </c>
      <c r="AF57" s="127">
        <f t="shared" si="157"/>
        <v>-0.50317887026342611</v>
      </c>
      <c r="AG57" s="329">
        <f>SUMPRODUCT(AG55:AG56,$AI55:$AI56)</f>
        <v>-0.22999999999999998</v>
      </c>
      <c r="AH57" s="3"/>
      <c r="AI57" s="143">
        <f>SUM(AI55:AI56)</f>
        <v>1</v>
      </c>
      <c r="AK57" s="280"/>
      <c r="AL57" s="449"/>
      <c r="AN57" s="313" t="s">
        <v>336</v>
      </c>
      <c r="AO57"/>
      <c r="AP57"/>
      <c r="AQ57"/>
      <c r="AR57" s="182"/>
      <c r="AS57" s="168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Y57"/>
      <c r="CA57" s="136"/>
      <c r="CB57" s="97" t="str">
        <f>C57</f>
        <v>Car4Pro  Totaal: brutomarges gewogen met %aandeel</v>
      </c>
      <c r="CC57" s="372"/>
      <c r="CD57" s="417"/>
      <c r="CE57" s="385"/>
      <c r="CF57" s="373"/>
      <c r="CG57" s="81"/>
      <c r="CH57" s="81"/>
      <c r="CI57" s="291">
        <f>SUMPRODUCT(CI55:CI56,$DH55:$DH56)</f>
        <v>-0.66857216968403221</v>
      </c>
      <c r="CJ57" s="127">
        <f>SUMPRODUCT(CJ55:CJ56,$AI55:$AI56)</f>
        <v>1.1297294800024229</v>
      </c>
      <c r="CK57" s="291">
        <f>SUMPRODUCT(CK55:CK56,$DH55:$DH56)</f>
        <v>-0.86318804299778973</v>
      </c>
      <c r="CL57" s="127">
        <f t="shared" ref="CL57" si="311">SUM(CJ57:CK57)</f>
        <v>0.26654143700463317</v>
      </c>
      <c r="CM57" s="30" t="s">
        <v>107</v>
      </c>
      <c r="CN57" s="30" t="s">
        <v>107</v>
      </c>
      <c r="CO57" s="30" t="s">
        <v>107</v>
      </c>
      <c r="CP57" s="30">
        <f>SUMPRODUCT(CP55:CP56,$DH55:$DH56)</f>
        <v>9.5760625722758147E-2</v>
      </c>
      <c r="CQ57" s="30">
        <f>SUMPRODUCT(CQ55:CQ56,$DH55:$DH56)</f>
        <v>9.5760625722758147E-2</v>
      </c>
      <c r="CR57" s="127">
        <f t="shared" si="299"/>
        <v>0.36230206272739129</v>
      </c>
      <c r="CS57" s="30">
        <f>SUMPRODUCT(CS55:CS56,$DH55:$DH56)</f>
        <v>9.1364075979418882E-2</v>
      </c>
      <c r="CT57" s="291">
        <f>SUMPRODUCT(CT55:CT56,$DH55:$DH56)</f>
        <v>-0.25318919270465401</v>
      </c>
      <c r="CU57" s="291">
        <f>SUMPRODUCT(CU55:CU56,$DH55:$DH56)</f>
        <v>-0.1376570924614858</v>
      </c>
      <c r="CV57" s="291" t="str">
        <f>W57</f>
        <v>-</v>
      </c>
      <c r="CW57" s="291" t="str">
        <f>X57</f>
        <v>-</v>
      </c>
      <c r="CX57" s="30">
        <f>SUM(CT57:CW57)</f>
        <v>-0.39084628516613984</v>
      </c>
      <c r="CY57" s="291">
        <f>SUMPRODUCT(CY55:CY56,$DH55:$DH56)</f>
        <v>-0.15000000000000002</v>
      </c>
      <c r="CZ57" s="127">
        <f>SUM(CR57:CS57,CX57:CY57)</f>
        <v>-8.7180146459329699E-2</v>
      </c>
      <c r="DA57" s="291">
        <f t="shared" ref="DA57:DB57" si="312">SUMPRODUCT(DA55:DA56,$DH55:$DH56)</f>
        <v>-0.18663864798689025</v>
      </c>
      <c r="DB57" s="291">
        <f t="shared" si="312"/>
        <v>-4.9596290353927985E-2</v>
      </c>
      <c r="DC57" s="127">
        <f t="shared" si="304"/>
        <v>-0.32341508480014791</v>
      </c>
      <c r="DD57" s="291">
        <f>SUMPRODUCT(DD55:DD56,$DH55:$DH56)</f>
        <v>-0.17976378546327823</v>
      </c>
      <c r="DE57" s="127">
        <f t="shared" si="306"/>
        <v>-0.50317887026342611</v>
      </c>
      <c r="DF57" s="329">
        <f>SUMPRODUCT(DF55:DF56,$DH55:$DH56)</f>
        <v>-0.22999999999999998</v>
      </c>
      <c r="DG57" s="3"/>
      <c r="DH57" s="143">
        <f>SUM(DH55:DH56)</f>
        <v>1</v>
      </c>
    </row>
    <row r="58" spans="1:112" s="1" customFormat="1" ht="12.75" customHeight="1">
      <c r="B58" s="136"/>
      <c r="C58" s="297"/>
      <c r="D58" s="186"/>
      <c r="E58" s="301"/>
      <c r="F58" s="53"/>
      <c r="G58" s="81"/>
      <c r="H58" s="81"/>
      <c r="I58" s="81"/>
      <c r="J58" s="287"/>
      <c r="K58" s="300"/>
      <c r="L58" s="44"/>
      <c r="M58" s="300"/>
      <c r="N58" s="490"/>
      <c r="O58" s="491"/>
      <c r="P58" s="491"/>
      <c r="Q58" s="211"/>
      <c r="R58" s="358"/>
      <c r="S58" s="430"/>
      <c r="T58" s="82"/>
      <c r="U58" s="82"/>
      <c r="V58" s="82"/>
      <c r="W58" s="82"/>
      <c r="X58" s="82"/>
      <c r="Y58" s="82"/>
      <c r="Z58" s="311"/>
      <c r="AA58" s="125"/>
      <c r="AB58" s="82"/>
      <c r="AC58" s="82"/>
      <c r="AD58" s="125"/>
      <c r="AE58" s="82"/>
      <c r="AF58" s="125"/>
      <c r="AG58" s="321"/>
      <c r="AH58" s="2"/>
      <c r="AI58" s="85"/>
      <c r="AK58" s="280"/>
      <c r="AL58" s="449"/>
      <c r="AN58" s="313" t="s">
        <v>336</v>
      </c>
      <c r="AO58"/>
      <c r="AP58"/>
      <c r="AQ58"/>
      <c r="AR58" s="182"/>
      <c r="AS58" s="16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Y58"/>
      <c r="CA58" s="136"/>
      <c r="CB58" s="297"/>
      <c r="CC58" s="372"/>
      <c r="CD58" s="417"/>
      <c r="CE58" s="385"/>
      <c r="CF58" s="373"/>
      <c r="CG58" s="81"/>
      <c r="CH58" s="81"/>
      <c r="CI58" s="287"/>
      <c r="CJ58" s="300"/>
      <c r="CK58" s="44"/>
      <c r="CL58" s="300"/>
      <c r="CM58" s="310"/>
      <c r="CN58" s="310"/>
      <c r="CO58" s="311"/>
      <c r="CP58" s="312"/>
      <c r="CQ58" s="82"/>
      <c r="CR58" s="125"/>
      <c r="CS58" s="82"/>
      <c r="CT58" s="82"/>
      <c r="CU58" s="82"/>
      <c r="CV58" s="82"/>
      <c r="CW58" s="82"/>
      <c r="CX58" s="82"/>
      <c r="CY58" s="311"/>
      <c r="CZ58" s="125"/>
      <c r="DA58" s="82"/>
      <c r="DB58" s="82"/>
      <c r="DC58" s="125"/>
      <c r="DD58" s="82"/>
      <c r="DE58" s="125"/>
      <c r="DF58" s="321"/>
      <c r="DG58" s="2"/>
      <c r="DH58" s="85"/>
    </row>
    <row r="59" spans="1:112" s="1" customFormat="1" ht="12.75" customHeight="1">
      <c r="B59" s="136"/>
      <c r="C59" s="297"/>
      <c r="D59" s="186"/>
      <c r="E59" s="301"/>
      <c r="F59" s="53"/>
      <c r="G59" s="81"/>
      <c r="H59" s="81"/>
      <c r="I59" s="81"/>
      <c r="J59" s="287"/>
      <c r="K59" s="125"/>
      <c r="L59" s="195"/>
      <c r="M59" s="125"/>
      <c r="N59" s="42"/>
      <c r="O59" s="42"/>
      <c r="P59" s="42"/>
      <c r="Q59" s="358"/>
      <c r="R59" s="82"/>
      <c r="S59" s="125"/>
      <c r="T59" s="42"/>
      <c r="U59" s="296"/>
      <c r="V59" s="296"/>
      <c r="W59" s="296"/>
      <c r="X59" s="358"/>
      <c r="Y59" s="211"/>
      <c r="Z59" s="41"/>
      <c r="AA59" s="125"/>
      <c r="AB59" s="442"/>
      <c r="AC59" s="442"/>
      <c r="AD59" s="125"/>
      <c r="AE59" s="442"/>
      <c r="AF59" s="125"/>
      <c r="AG59" s="320"/>
      <c r="AI59" s="83"/>
      <c r="AK59" s="280"/>
      <c r="AL59" s="449"/>
      <c r="AN59" s="313" t="s">
        <v>336</v>
      </c>
      <c r="AO59"/>
      <c r="AP59"/>
      <c r="AQ59"/>
      <c r="AR59" s="182"/>
      <c r="AS59" s="168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Y59"/>
      <c r="CA59" s="136"/>
      <c r="CB59" s="297"/>
      <c r="CC59" s="372"/>
      <c r="CD59" s="417"/>
      <c r="CE59" s="385"/>
      <c r="CF59" s="373"/>
      <c r="CG59" s="81"/>
      <c r="CH59" s="81"/>
      <c r="CI59" s="287"/>
      <c r="CJ59" s="125"/>
      <c r="CK59" s="195"/>
      <c r="CL59" s="125"/>
      <c r="CM59" s="42"/>
      <c r="CN59" s="42"/>
      <c r="CO59" s="42"/>
      <c r="CP59" s="358"/>
      <c r="CQ59" s="82"/>
      <c r="CR59" s="125"/>
      <c r="CS59" s="42"/>
      <c r="CT59" s="358"/>
      <c r="CU59" s="358"/>
      <c r="CV59" s="358"/>
      <c r="CW59" s="358"/>
      <c r="CX59" s="211"/>
      <c r="CY59" s="41"/>
      <c r="CZ59" s="125"/>
      <c r="DA59" s="442"/>
      <c r="DB59" s="442"/>
      <c r="DC59" s="125"/>
      <c r="DD59" s="442"/>
      <c r="DE59" s="125"/>
      <c r="DF59" s="320"/>
      <c r="DH59" s="83"/>
    </row>
    <row r="60" spans="1:112" s="1" customFormat="1" ht="12.75" customHeight="1">
      <c r="B60" s="136"/>
      <c r="C60" s="279" t="s">
        <v>326</v>
      </c>
      <c r="D60" s="186"/>
      <c r="E60" s="173"/>
      <c r="F60" s="53"/>
      <c r="G60" s="81"/>
      <c r="H60" s="81"/>
      <c r="I60" s="81"/>
      <c r="J60" s="287"/>
      <c r="K60" s="125"/>
      <c r="L60" s="195"/>
      <c r="M60" s="125"/>
      <c r="N60" s="42"/>
      <c r="O60" s="42"/>
      <c r="P60" s="42"/>
      <c r="Q60" s="276"/>
      <c r="R60" s="82"/>
      <c r="S60" s="125"/>
      <c r="T60" s="42"/>
      <c r="U60" s="40"/>
      <c r="V60" s="40"/>
      <c r="W60" s="40"/>
      <c r="X60" s="358"/>
      <c r="Y60" s="211"/>
      <c r="Z60" s="41"/>
      <c r="AA60" s="125"/>
      <c r="AB60" s="442"/>
      <c r="AC60" s="442"/>
      <c r="AD60" s="125"/>
      <c r="AE60" s="442"/>
      <c r="AF60" s="125"/>
      <c r="AG60" s="320"/>
      <c r="AI60" s="83"/>
      <c r="AK60" s="280"/>
      <c r="AL60" s="449"/>
      <c r="AM60" s="3"/>
      <c r="AN60" s="313" t="s">
        <v>336</v>
      </c>
      <c r="AO60"/>
      <c r="AP60"/>
      <c r="AQ60"/>
      <c r="AR60" s="182"/>
      <c r="AS60" s="168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Y60"/>
      <c r="CA60" s="136"/>
      <c r="CB60" s="279" t="str">
        <f t="shared" ref="CB60:CB65" si="313">C60</f>
        <v>Capital4Pro</v>
      </c>
      <c r="CC60" s="372"/>
      <c r="CD60" s="418"/>
      <c r="CE60" s="385"/>
      <c r="CF60" s="373"/>
      <c r="CG60" s="81"/>
      <c r="CH60" s="81"/>
      <c r="CI60" s="287"/>
      <c r="CJ60" s="125"/>
      <c r="CK60" s="195"/>
      <c r="CL60" s="125"/>
      <c r="CM60" s="42"/>
      <c r="CN60" s="42"/>
      <c r="CO60" s="42"/>
      <c r="CP60" s="358"/>
      <c r="CQ60" s="82"/>
      <c r="CR60" s="125"/>
      <c r="CS60" s="42"/>
      <c r="CT60" s="358"/>
      <c r="CU60" s="358"/>
      <c r="CV60" s="358"/>
      <c r="CW60" s="358"/>
      <c r="CX60" s="211"/>
      <c r="CY60" s="41"/>
      <c r="CZ60" s="125"/>
      <c r="DA60" s="442"/>
      <c r="DB60" s="442"/>
      <c r="DC60" s="125"/>
      <c r="DD60" s="442"/>
      <c r="DE60" s="125"/>
      <c r="DF60" s="320"/>
      <c r="DH60" s="83"/>
    </row>
    <row r="61" spans="1:112" s="3" customFormat="1" ht="12.5">
      <c r="A61" s="1"/>
      <c r="B61" s="136">
        <v>532</v>
      </c>
      <c r="C61" s="96" t="str">
        <f>INDEX(ActT,51,ActLangID)</f>
        <v>Termijn &lt;= 5jr</v>
      </c>
      <c r="D61" s="356">
        <v>7.6</v>
      </c>
      <c r="E61" s="173">
        <f t="shared" si="290"/>
        <v>7.8661000000000003</v>
      </c>
      <c r="F61" s="53">
        <f t="shared" si="291"/>
        <v>7.6</v>
      </c>
      <c r="G61" s="81">
        <v>3.0898898774058878</v>
      </c>
      <c r="H61" s="81">
        <v>0</v>
      </c>
      <c r="I61" s="81">
        <v>0</v>
      </c>
      <c r="J61" s="287">
        <v>-0.72</v>
      </c>
      <c r="K61" s="125">
        <f t="shared" ref="K61:K62" si="314">F61-G61-H61+I61+J61</f>
        <v>3.7901101225941121</v>
      </c>
      <c r="L61" s="195">
        <v>-0.66761019608981487</v>
      </c>
      <c r="M61" s="125">
        <f t="shared" si="12"/>
        <v>3.1224999265042972</v>
      </c>
      <c r="N61" s="42">
        <v>0</v>
      </c>
      <c r="O61" s="42">
        <v>0</v>
      </c>
      <c r="P61" s="42">
        <v>0</v>
      </c>
      <c r="Q61" s="276">
        <v>0.1605</v>
      </c>
      <c r="R61" s="82">
        <f t="shared" si="88"/>
        <v>0.1605</v>
      </c>
      <c r="S61" s="125">
        <f t="shared" si="13"/>
        <v>3.2829999265042971</v>
      </c>
      <c r="T61" s="340">
        <v>0.36679999999999996</v>
      </c>
      <c r="U61" s="40">
        <v>-0.38650000000000001</v>
      </c>
      <c r="V61" s="40">
        <v>-0.21029999999999999</v>
      </c>
      <c r="W61" s="40" t="s">
        <v>393</v>
      </c>
      <c r="X61" s="358" t="s">
        <v>393</v>
      </c>
      <c r="Y61" s="211">
        <f t="shared" si="293"/>
        <v>-0.5968</v>
      </c>
      <c r="Z61" s="41">
        <v>-0.11</v>
      </c>
      <c r="AA61" s="125">
        <f>SUM(S61:T61,Y61:Z61)</f>
        <v>2.9429999265042972</v>
      </c>
      <c r="AB61" s="442">
        <v>-0.42530000000000001</v>
      </c>
      <c r="AC61" s="442">
        <v>-4.4700000000000004E-2</v>
      </c>
      <c r="AD61" s="125">
        <f t="shared" si="156"/>
        <v>2.472999926504297</v>
      </c>
      <c r="AE61" s="442">
        <v>-0.1618</v>
      </c>
      <c r="AF61" s="125">
        <f t="shared" si="157"/>
        <v>2.3111999265042971</v>
      </c>
      <c r="AG61" s="320">
        <v>-0.38</v>
      </c>
      <c r="AH61" s="1"/>
      <c r="AI61" s="83">
        <v>0.60952542041228686</v>
      </c>
      <c r="AJ61" s="1"/>
      <c r="AK61" s="84">
        <v>36</v>
      </c>
      <c r="AL61" s="99">
        <v>44900</v>
      </c>
      <c r="AM61" s="1"/>
      <c r="AN61" s="83">
        <v>1.3406340037599903E-2</v>
      </c>
      <c r="AO61"/>
      <c r="AP61"/>
      <c r="AQ61"/>
      <c r="AR61" s="182"/>
      <c r="AS61" s="168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1"/>
      <c r="BY61"/>
      <c r="BZ61" s="1"/>
      <c r="CA61" s="136">
        <f>B61</f>
        <v>532</v>
      </c>
      <c r="CB61" s="96" t="str">
        <f t="shared" si="313"/>
        <v>Termijn &lt;= 5jr</v>
      </c>
      <c r="CC61" s="372">
        <f t="shared" ref="CC61:CF62" si="315">D61</f>
        <v>7.6</v>
      </c>
      <c r="CD61" s="418">
        <f t="shared" si="315"/>
        <v>7.8661000000000003</v>
      </c>
      <c r="CE61" s="385">
        <f t="shared" si="315"/>
        <v>7.6</v>
      </c>
      <c r="CF61" s="373">
        <f t="shared" si="315"/>
        <v>3.0898898774058878</v>
      </c>
      <c r="CG61" s="81">
        <v>0</v>
      </c>
      <c r="CH61" s="81">
        <v>0</v>
      </c>
      <c r="CI61" s="374">
        <f>J61</f>
        <v>-0.72</v>
      </c>
      <c r="CJ61" s="125">
        <f t="shared" ref="CJ61:CJ62" si="316">CE61-CF61-CG61+CH61+CI61</f>
        <v>3.7901101225941121</v>
      </c>
      <c r="CK61" s="385">
        <f>L61</f>
        <v>-0.66761019608981487</v>
      </c>
      <c r="CL61" s="125">
        <f t="shared" ref="CL61:CL65" si="317">SUM(CJ61:CK61)</f>
        <v>3.1224999265042972</v>
      </c>
      <c r="CM61" s="423">
        <f t="shared" ref="CM61:CP62" si="318">N61</f>
        <v>0</v>
      </c>
      <c r="CN61" s="423">
        <f t="shared" si="318"/>
        <v>0</v>
      </c>
      <c r="CO61" s="423">
        <f t="shared" si="318"/>
        <v>0</v>
      </c>
      <c r="CP61" s="211">
        <f t="shared" si="318"/>
        <v>0.1605</v>
      </c>
      <c r="CQ61" s="82">
        <f t="shared" ref="CQ61:CQ62" si="319">SUM(CM61:CP61)</f>
        <v>0.1605</v>
      </c>
      <c r="CR61" s="125">
        <f t="shared" ref="CR61:CR63" si="320">CL61+CQ61</f>
        <v>3.2829999265042971</v>
      </c>
      <c r="CS61" s="211">
        <f t="shared" ref="CS61:CW62" si="321">T61</f>
        <v>0.36679999999999996</v>
      </c>
      <c r="CT61" s="211">
        <f t="shared" si="321"/>
        <v>-0.38650000000000001</v>
      </c>
      <c r="CU61" s="211">
        <f t="shared" si="321"/>
        <v>-0.21029999999999999</v>
      </c>
      <c r="CV61" s="211" t="str">
        <f t="shared" si="321"/>
        <v>-</v>
      </c>
      <c r="CW61" s="211" t="str">
        <f t="shared" si="321"/>
        <v>-</v>
      </c>
      <c r="CX61" s="211">
        <f t="shared" ref="CX61:CX62" si="322">SUM(CT61:CW61)</f>
        <v>-0.5968</v>
      </c>
      <c r="CY61" s="387">
        <f>Z61</f>
        <v>-0.11</v>
      </c>
      <c r="CZ61" s="125">
        <f>SUM(CR61:CS61,CX61:CY61)</f>
        <v>2.9429999265042972</v>
      </c>
      <c r="DA61" s="211">
        <f t="shared" ref="DA61:DA62" si="323">AB61</f>
        <v>-0.42530000000000001</v>
      </c>
      <c r="DB61" s="211">
        <f t="shared" ref="DB61:DB62" si="324">AC61</f>
        <v>-4.4700000000000004E-2</v>
      </c>
      <c r="DC61" s="125">
        <f t="shared" ref="DC61:DC63" si="325">SUM(CZ61:DB61)</f>
        <v>2.472999926504297</v>
      </c>
      <c r="DD61" s="211">
        <f t="shared" ref="DD61:DD62" si="326">AE61</f>
        <v>-0.1618</v>
      </c>
      <c r="DE61" s="125">
        <f t="shared" ref="DE61:DE63" si="327">SUM(DC61:DD61)</f>
        <v>2.3111999265042971</v>
      </c>
      <c r="DF61" s="375">
        <f>AG61</f>
        <v>-0.38</v>
      </c>
      <c r="DG61" s="1"/>
      <c r="DH61" s="424">
        <f>AI61</f>
        <v>0.60952542041228686</v>
      </c>
    </row>
    <row r="62" spans="1:112" s="1" customFormat="1" ht="12.5">
      <c r="B62" s="136">
        <v>542</v>
      </c>
      <c r="C62" s="96" t="str">
        <f>INDEX(ActT,52,ActLangID)</f>
        <v>Termijn &gt; 5jr</v>
      </c>
      <c r="D62" s="356">
        <v>7.6</v>
      </c>
      <c r="E62" s="173">
        <f t="shared" si="290"/>
        <v>7.8661000000000003</v>
      </c>
      <c r="F62" s="53">
        <f t="shared" si="291"/>
        <v>7.6</v>
      </c>
      <c r="G62" s="81">
        <v>2.7342521333834808</v>
      </c>
      <c r="H62" s="81">
        <v>0</v>
      </c>
      <c r="I62" s="81">
        <v>0</v>
      </c>
      <c r="J62" s="287">
        <v>-1.96</v>
      </c>
      <c r="K62" s="125">
        <f t="shared" si="314"/>
        <v>2.9057478666165188</v>
      </c>
      <c r="L62" s="195">
        <v>-1.0095782608025248</v>
      </c>
      <c r="M62" s="125">
        <f t="shared" si="12"/>
        <v>1.8961696058139941</v>
      </c>
      <c r="N62" s="42">
        <v>0</v>
      </c>
      <c r="O62" s="42">
        <v>0</v>
      </c>
      <c r="P62" s="42">
        <v>0</v>
      </c>
      <c r="Q62" s="276">
        <v>0.13600000000000001</v>
      </c>
      <c r="R62" s="82">
        <f t="shared" si="88"/>
        <v>0.13600000000000001</v>
      </c>
      <c r="S62" s="125">
        <f t="shared" si="13"/>
        <v>2.0321696058139942</v>
      </c>
      <c r="T62" s="340">
        <v>6.0700000000000004E-2</v>
      </c>
      <c r="U62" s="40">
        <v>-0.16880000000000001</v>
      </c>
      <c r="V62" s="40">
        <v>-9.1799999999999993E-2</v>
      </c>
      <c r="W62" s="40" t="s">
        <v>393</v>
      </c>
      <c r="X62" s="358" t="s">
        <v>393</v>
      </c>
      <c r="Y62" s="211">
        <f t="shared" si="293"/>
        <v>-0.2606</v>
      </c>
      <c r="Z62" s="41">
        <v>-0.11</v>
      </c>
      <c r="AA62" s="125">
        <f>SUM(S62:T62,Y62:Z62)</f>
        <v>1.7222696058139944</v>
      </c>
      <c r="AB62" s="442">
        <v>-7.0400000000000004E-2</v>
      </c>
      <c r="AC62" s="442">
        <v>-1.7600000000000001E-2</v>
      </c>
      <c r="AD62" s="125">
        <f t="shared" si="156"/>
        <v>1.6342696058139943</v>
      </c>
      <c r="AE62" s="442">
        <v>-6.3899999999999998E-2</v>
      </c>
      <c r="AF62" s="125">
        <f t="shared" si="157"/>
        <v>1.5703696058139942</v>
      </c>
      <c r="AG62" s="320">
        <v>-0.38</v>
      </c>
      <c r="AI62" s="83">
        <v>0.3904745795877132</v>
      </c>
      <c r="AK62" s="84">
        <v>87</v>
      </c>
      <c r="AL62" s="99">
        <v>118500</v>
      </c>
      <c r="AN62" s="83">
        <v>8.5883784575397585E-3</v>
      </c>
      <c r="AO62"/>
      <c r="AP62"/>
      <c r="AQ62"/>
      <c r="AR62" s="182"/>
      <c r="AS62" s="168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Y62"/>
      <c r="CA62" s="136">
        <f>B62</f>
        <v>542</v>
      </c>
      <c r="CB62" s="96" t="str">
        <f t="shared" si="313"/>
        <v>Termijn &gt; 5jr</v>
      </c>
      <c r="CC62" s="372">
        <f t="shared" si="315"/>
        <v>7.6</v>
      </c>
      <c r="CD62" s="418">
        <f t="shared" si="315"/>
        <v>7.8661000000000003</v>
      </c>
      <c r="CE62" s="385">
        <f t="shared" si="315"/>
        <v>7.6</v>
      </c>
      <c r="CF62" s="373">
        <f t="shared" si="315"/>
        <v>2.7342521333834808</v>
      </c>
      <c r="CG62" s="81">
        <v>0</v>
      </c>
      <c r="CH62" s="81">
        <v>0</v>
      </c>
      <c r="CI62" s="374">
        <f>J62</f>
        <v>-1.96</v>
      </c>
      <c r="CJ62" s="125">
        <f t="shared" si="316"/>
        <v>2.9057478666165188</v>
      </c>
      <c r="CK62" s="385">
        <f>L62</f>
        <v>-1.0095782608025248</v>
      </c>
      <c r="CL62" s="125">
        <f t="shared" si="317"/>
        <v>1.8961696058139941</v>
      </c>
      <c r="CM62" s="423">
        <f t="shared" si="318"/>
        <v>0</v>
      </c>
      <c r="CN62" s="423">
        <f t="shared" si="318"/>
        <v>0</v>
      </c>
      <c r="CO62" s="423">
        <f t="shared" si="318"/>
        <v>0</v>
      </c>
      <c r="CP62" s="211">
        <f t="shared" si="318"/>
        <v>0.13600000000000001</v>
      </c>
      <c r="CQ62" s="82">
        <f t="shared" si="319"/>
        <v>0.13600000000000001</v>
      </c>
      <c r="CR62" s="125">
        <f t="shared" si="320"/>
        <v>2.0321696058139942</v>
      </c>
      <c r="CS62" s="211">
        <f t="shared" si="321"/>
        <v>6.0700000000000004E-2</v>
      </c>
      <c r="CT62" s="211">
        <f t="shared" si="321"/>
        <v>-0.16880000000000001</v>
      </c>
      <c r="CU62" s="211">
        <f t="shared" si="321"/>
        <v>-9.1799999999999993E-2</v>
      </c>
      <c r="CV62" s="211" t="str">
        <f t="shared" si="321"/>
        <v>-</v>
      </c>
      <c r="CW62" s="211" t="str">
        <f t="shared" si="321"/>
        <v>-</v>
      </c>
      <c r="CX62" s="211">
        <f t="shared" si="322"/>
        <v>-0.2606</v>
      </c>
      <c r="CY62" s="387">
        <f>Z62</f>
        <v>-0.11</v>
      </c>
      <c r="CZ62" s="125">
        <f>SUM(CR62:CS62,CX62:CY62)</f>
        <v>1.7222696058139944</v>
      </c>
      <c r="DA62" s="211">
        <f t="shared" si="323"/>
        <v>-7.0400000000000004E-2</v>
      </c>
      <c r="DB62" s="211">
        <f t="shared" si="324"/>
        <v>-1.7600000000000001E-2</v>
      </c>
      <c r="DC62" s="125">
        <f t="shared" si="325"/>
        <v>1.6342696058139943</v>
      </c>
      <c r="DD62" s="211">
        <f t="shared" si="326"/>
        <v>-6.3899999999999998E-2</v>
      </c>
      <c r="DE62" s="125">
        <f t="shared" si="327"/>
        <v>1.5703696058139942</v>
      </c>
      <c r="DF62" s="375">
        <f>AG62</f>
        <v>-0.38</v>
      </c>
      <c r="DH62" s="424">
        <f>AI62</f>
        <v>0.3904745795877132</v>
      </c>
    </row>
    <row r="63" spans="1:112" s="1" customFormat="1" ht="12.5">
      <c r="B63" s="136"/>
      <c r="C63" s="97" t="str">
        <f>"Capital4Pro "&amp;INDEX(ActT,29,ActLangID)</f>
        <v>Capital4Pro  Totaal: brutomarges gewogen met %aandeel</v>
      </c>
      <c r="D63" s="186"/>
      <c r="E63" s="301"/>
      <c r="F63" s="53"/>
      <c r="G63" s="81"/>
      <c r="H63" s="81"/>
      <c r="I63" s="81"/>
      <c r="J63" s="291">
        <f>SUMPRODUCT(J61:J62,$AI61:$AI62)</f>
        <v>-1.2041884786887644</v>
      </c>
      <c r="K63" s="127">
        <f>SUMPRODUCT(K61:K62,$AI61:$AI62)</f>
        <v>3.4447891424880197</v>
      </c>
      <c r="L63" s="291">
        <f>SUMPRODUCT(L61:L62,$AI61:$AI62)</f>
        <v>-0.80114003239093423</v>
      </c>
      <c r="M63" s="127">
        <f t="shared" si="12"/>
        <v>2.6436491100970856</v>
      </c>
      <c r="N63" s="30" t="s">
        <v>107</v>
      </c>
      <c r="O63" s="30" t="s">
        <v>107</v>
      </c>
      <c r="P63" s="30" t="s">
        <v>107</v>
      </c>
      <c r="Q63" s="30">
        <f>SUMPRODUCT(Q61:Q62,$AI61:$AI62)</f>
        <v>0.15093337280010105</v>
      </c>
      <c r="R63" s="30">
        <f t="shared" si="88"/>
        <v>0.15093337280010105</v>
      </c>
      <c r="S63" s="127">
        <f t="shared" si="13"/>
        <v>2.7945824828971868</v>
      </c>
      <c r="T63" s="30">
        <f>SUMPRODUCT(T61:T62,$AI61:$AI62)</f>
        <v>0.24727573118820098</v>
      </c>
      <c r="U63" s="291">
        <f>SUMPRODUCT(U61:U62,$AI61:$AI62)</f>
        <v>-0.30149368402375487</v>
      </c>
      <c r="V63" s="291">
        <f>SUMPRODUCT(V61:V62,$AI61:$AI62)</f>
        <v>-0.16402876231885599</v>
      </c>
      <c r="W63" s="291" t="s">
        <v>393</v>
      </c>
      <c r="X63" s="291" t="s">
        <v>393</v>
      </c>
      <c r="Y63" s="30">
        <f>SUM(U63:X63)</f>
        <v>-0.46552244634261086</v>
      </c>
      <c r="Z63" s="291">
        <f>SUMPRODUCT(Z61:Z62,$AI61:$AI62)</f>
        <v>-0.11</v>
      </c>
      <c r="AA63" s="127">
        <f>SUM(S63:T63,Y63:Z63)</f>
        <v>2.4663357677427769</v>
      </c>
      <c r="AB63" s="291">
        <f t="shared" ref="AB63:AE63" si="328">SUMPRODUCT(AB61:AB62,$AI61:$AI62)</f>
        <v>-0.28672057170432064</v>
      </c>
      <c r="AC63" s="291">
        <f t="shared" si="328"/>
        <v>-3.4118138893172979E-2</v>
      </c>
      <c r="AD63" s="127">
        <f t="shared" si="156"/>
        <v>2.1454970571452834</v>
      </c>
      <c r="AE63" s="291">
        <f t="shared" si="328"/>
        <v>-0.12357253865836289</v>
      </c>
      <c r="AF63" s="127">
        <f t="shared" si="157"/>
        <v>2.0219245184869203</v>
      </c>
      <c r="AG63" s="329">
        <f>SUMPRODUCT(AG61:AG62,$AI61:$AI62)</f>
        <v>-0.38</v>
      </c>
      <c r="AH63" s="3"/>
      <c r="AI63" s="143">
        <f>SUM(AI61:AI62)</f>
        <v>1</v>
      </c>
      <c r="AK63" s="280"/>
      <c r="AL63" s="55"/>
      <c r="AN63" s="142">
        <f>SUM(AN29:AN62)</f>
        <v>0.99999999999999978</v>
      </c>
      <c r="AO63"/>
      <c r="AP63"/>
      <c r="AQ63"/>
      <c r="AR63" s="182"/>
      <c r="AS63" s="168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Y63"/>
      <c r="CA63" s="136"/>
      <c r="CB63" s="97" t="str">
        <f t="shared" si="313"/>
        <v>Capital4Pro  Totaal: brutomarges gewogen met %aandeel</v>
      </c>
      <c r="CC63" s="372"/>
      <c r="CD63" s="417"/>
      <c r="CE63" s="385"/>
      <c r="CF63" s="373"/>
      <c r="CG63" s="81"/>
      <c r="CH63" s="81"/>
      <c r="CI63" s="291">
        <f>SUMPRODUCT(CI61:CI62,$DH61:$DH62)</f>
        <v>-1.2041884786887644</v>
      </c>
      <c r="CJ63" s="127">
        <f>SUMPRODUCT(CJ61:CJ62,$AI61:$AI62)</f>
        <v>3.4447891424880197</v>
      </c>
      <c r="CK63" s="291">
        <f>SUMPRODUCT(CK61:CK62,$DH61:$DH62)</f>
        <v>-0.80114003239093423</v>
      </c>
      <c r="CL63" s="127">
        <f t="shared" si="317"/>
        <v>2.6436491100970856</v>
      </c>
      <c r="CM63" s="30" t="s">
        <v>107</v>
      </c>
      <c r="CN63" s="30" t="s">
        <v>107</v>
      </c>
      <c r="CO63" s="30" t="s">
        <v>107</v>
      </c>
      <c r="CP63" s="30">
        <f>SUMPRODUCT(CP61:CP62,$DH61:$DH62)</f>
        <v>0.15093337280010105</v>
      </c>
      <c r="CQ63" s="30">
        <f>SUMPRODUCT(CQ61:CQ62,$DH61:$DH62)</f>
        <v>0.15093337280010105</v>
      </c>
      <c r="CR63" s="127">
        <f t="shared" si="320"/>
        <v>2.7945824828971868</v>
      </c>
      <c r="CS63" s="30">
        <f>SUMPRODUCT(CS61:CS62,$DH61:$DH62)</f>
        <v>0.24727573118820098</v>
      </c>
      <c r="CT63" s="291">
        <f>SUMPRODUCT(CT61:CT62,$DH61:$DH62)</f>
        <v>-0.30149368402375487</v>
      </c>
      <c r="CU63" s="291">
        <f>SUMPRODUCT(CU61:CU62,$DH61:$DH62)</f>
        <v>-0.16402876231885599</v>
      </c>
      <c r="CV63" s="291" t="str">
        <f>W63</f>
        <v>-</v>
      </c>
      <c r="CW63" s="291" t="str">
        <f>X63</f>
        <v>-</v>
      </c>
      <c r="CX63" s="30">
        <f>SUM(CT63:CW63)</f>
        <v>-0.46552244634261086</v>
      </c>
      <c r="CY63" s="291">
        <f>SUMPRODUCT(CY61:CY62,$DH61:$DH62)</f>
        <v>-0.11</v>
      </c>
      <c r="CZ63" s="127">
        <f>SUM(CR63:CS63,CX63:CY63)</f>
        <v>2.4663357677427769</v>
      </c>
      <c r="DA63" s="291">
        <f t="shared" ref="DA63:DB63" si="329">SUMPRODUCT(DA61:DA62,$DH61:$DH62)</f>
        <v>-0.28672057170432064</v>
      </c>
      <c r="DB63" s="291">
        <f t="shared" si="329"/>
        <v>-3.4118138893172979E-2</v>
      </c>
      <c r="DC63" s="127">
        <f t="shared" si="325"/>
        <v>2.1454970571452834</v>
      </c>
      <c r="DD63" s="291">
        <f>SUMPRODUCT(DD61:DD62,$DH61:$DH62)</f>
        <v>-0.12357253865836289</v>
      </c>
      <c r="DE63" s="127">
        <f t="shared" si="327"/>
        <v>2.0219245184869203</v>
      </c>
      <c r="DF63" s="329">
        <f>SUMPRODUCT(DF61:DF62,$DH61:$DH62)</f>
        <v>-0.38</v>
      </c>
      <c r="DG63" s="3"/>
      <c r="DH63" s="143">
        <f>SUM(DH61:DH62)</f>
        <v>1</v>
      </c>
    </row>
    <row r="64" spans="1:112" s="1" customFormat="1" ht="12.5">
      <c r="B64" s="136"/>
      <c r="C64" s="297"/>
      <c r="D64" s="186"/>
      <c r="E64" s="301"/>
      <c r="F64" s="53"/>
      <c r="G64" s="81"/>
      <c r="H64" s="81"/>
      <c r="I64" s="81"/>
      <c r="J64" s="287"/>
      <c r="K64" s="300"/>
      <c r="L64" s="44"/>
      <c r="M64" s="300"/>
      <c r="N64" s="486"/>
      <c r="O64" s="487"/>
      <c r="P64" s="487"/>
      <c r="Q64" s="255"/>
      <c r="R64" s="56"/>
      <c r="S64" s="429"/>
      <c r="T64" s="82"/>
      <c r="U64" s="82"/>
      <c r="V64" s="82"/>
      <c r="W64" s="82"/>
      <c r="X64" s="82"/>
      <c r="Y64" s="82"/>
      <c r="Z64" s="311"/>
      <c r="AA64" s="125"/>
      <c r="AB64" s="82"/>
      <c r="AC64" s="82"/>
      <c r="AD64" s="125"/>
      <c r="AE64" s="82"/>
      <c r="AF64" s="125"/>
      <c r="AG64" s="321"/>
      <c r="AH64" s="2"/>
      <c r="AI64" s="85"/>
      <c r="AK64" s="280"/>
      <c r="AL64" s="55"/>
      <c r="AO64"/>
      <c r="AP64"/>
      <c r="AQ64"/>
      <c r="AR64" s="182"/>
      <c r="AS64" s="168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Y64"/>
      <c r="CA64" s="136"/>
      <c r="CB64" s="297"/>
      <c r="CC64" s="372"/>
      <c r="CD64" s="417"/>
      <c r="CE64" s="385"/>
      <c r="CF64" s="373"/>
      <c r="CG64" s="81"/>
      <c r="CH64" s="81"/>
      <c r="CI64" s="287"/>
      <c r="CJ64" s="300"/>
      <c r="CK64" s="44"/>
      <c r="CL64" s="300"/>
      <c r="CM64" s="310"/>
      <c r="CN64" s="310"/>
      <c r="CO64" s="311"/>
      <c r="CP64" s="312"/>
      <c r="CQ64" s="82"/>
      <c r="CR64" s="125"/>
      <c r="CS64" s="82"/>
      <c r="CT64" s="82"/>
      <c r="CU64" s="82"/>
      <c r="CV64" s="82"/>
      <c r="CW64" s="82"/>
      <c r="CX64" s="82"/>
      <c r="CY64" s="311"/>
      <c r="CZ64" s="125"/>
      <c r="DA64" s="82"/>
      <c r="DB64" s="82"/>
      <c r="DC64" s="125"/>
      <c r="DD64" s="82"/>
      <c r="DE64" s="125"/>
      <c r="DF64" s="321"/>
      <c r="DG64" s="2"/>
      <c r="DH64" s="85"/>
    </row>
    <row r="65" spans="1:115" s="1" customFormat="1" ht="12.5">
      <c r="B65" s="136"/>
      <c r="C65" s="89" t="str">
        <f>INDEX(ActT,6,ActLangID)&amp;INDEX(ActT,29,ActLangID)</f>
        <v>PK Totaal: brutomarges gewogen met %aandeel</v>
      </c>
      <c r="D65" s="133"/>
      <c r="E65" s="169"/>
      <c r="F65" s="48"/>
      <c r="G65" s="49"/>
      <c r="H65" s="49"/>
      <c r="I65" s="49"/>
      <c r="J65" s="30">
        <f>SUM(SUMPRODUCT(J29:J35,$AN$29:$AN$35),SUMPRODUCT(J37:J43,$AN$37:$AN$43),SUMPRODUCT(J48:J50,$AN$48:$AN$50),SUMPRODUCT(J55:J56,$AN55:$AN56),SUMPRODUCT(J61:J62,$AN61:$AN62))</f>
        <v>-1.3728268764307847</v>
      </c>
      <c r="K65" s="127">
        <f>SUM(SUMPRODUCT(K29:K35,$AN$29:$AN$35),SUMPRODUCT(K37:K43,$AN$37:$AN$43),SUMPRODUCT(K48:K50,$AN$48:$AN$50),SUMPRODUCT(K55:K56,$AN55:$AN56),SUMPRODUCT(K61:K62,$AN61:$AN62))</f>
        <v>1.2038161675129184</v>
      </c>
      <c r="L65" s="30">
        <f>SUM(SUMPRODUCT(L29:L35,$AN$29:$AN$35),SUMPRODUCT(L37:L43,$AN$37:$AN$43),SUMPRODUCT(L48:L50,$AN$48:$AN$50),SUMPRODUCT(L55:L56,$AN55:$AN56),SUMPRODUCT(L61:L62,$AN61:$AN62))</f>
        <v>-1.0807141886106217</v>
      </c>
      <c r="M65" s="127">
        <f t="shared" si="12"/>
        <v>0.12310197890229668</v>
      </c>
      <c r="N65" s="34" t="s">
        <v>107</v>
      </c>
      <c r="O65" s="34" t="s">
        <v>107</v>
      </c>
      <c r="P65" s="130" t="s">
        <v>107</v>
      </c>
      <c r="Q65" s="30">
        <f>SUM(SUMPRODUCT(Q29:Q35,$AN$29:$AN$35),SUMPRODUCT(Q37:Q43,$AN$37:$AN$43),SUMPRODUCT(Q48:Q50,$AN$48:$AN$50),SUMPRODUCT(Q55:Q56,$AN55:$AN56),SUMPRODUCT(Q61:Q62,$AN61:$AN62))</f>
        <v>5.9276827132461421E-2</v>
      </c>
      <c r="R65" s="30">
        <f t="shared" si="88"/>
        <v>5.9276827132461421E-2</v>
      </c>
      <c r="S65" s="127">
        <f t="shared" si="13"/>
        <v>0.18237880603475809</v>
      </c>
      <c r="T65" s="30">
        <f>SUM(SUMPRODUCT(T29:T35,$AN$29:$AN$35),SUMPRODUCT(T37:T43,$AN$37:$AN$43),SUMPRODUCT(T48:T50,$AN$48:$AN$50),SUMPRODUCT(T55:T56,$AN55:$AN56),SUMPRODUCT(T61:T62,$AN61:$AN62))</f>
        <v>5.4891105321553169E-2</v>
      </c>
      <c r="U65" s="30">
        <f>SUM(SUMPRODUCT(U29:U35,$AN$29:$AN$35),SUMPRODUCT(U37:U43,$AN$37:$AN$43),SUMPRODUCT(U48:U50,$AN$48:$AN$50),SUMPRODUCT(U55:U56,$AN55:$AN56),SUMPRODUCT(U61:U62,$AN61:$AN62))</f>
        <v>-0.15930032561316579</v>
      </c>
      <c r="V65" s="30">
        <f>SUM(SUMPRODUCT(V29:V35,$AN$29:$AN$35),SUMPRODUCT(V37:V43,$AN$37:$AN$43),SUMPRODUCT(V48:V50,$AN$48:$AN$50),SUMPRODUCT(V55:V56,$AN55:$AN56),SUMPRODUCT(V61:V62,$AN61:$AN62))</f>
        <v>-7.7093398405716482E-2</v>
      </c>
      <c r="W65" s="30" t="s">
        <v>393</v>
      </c>
      <c r="X65" s="30" t="s">
        <v>393</v>
      </c>
      <c r="Y65" s="30">
        <f>SUM(U65:X65)</f>
        <v>-0.23639372401888226</v>
      </c>
      <c r="Z65" s="30">
        <f>SUM(SUMPRODUCT(Z29:Z35,$AN$29:$AN$35),SUMPRODUCT(Z37:Z43,$AN$37:$AN$43),SUMPRODUCT(Z48:Z50,$AN$48:$AN$50),SUMPRODUCT(Z55:Z56,$AN55:$AN56),SUMPRODUCT(Z61:Z62,$AN61:$AN62))</f>
        <v>-0.11645600591628812</v>
      </c>
      <c r="AA65" s="127">
        <f>SUM(S65:T65,Y65:Z65)</f>
        <v>-0.11557981857885911</v>
      </c>
      <c r="AB65" s="30">
        <f t="shared" ref="AB65:AC65" si="330">SUM(SUMPRODUCT(AB29:AB35,$AN$29:$AN$35),SUMPRODUCT(AB37:AB43,$AN$37:$AN$43),SUMPRODUCT(AB48:AB50,$AN$48:$AN$50),SUMPRODUCT(AB55:AB56,$AN55:$AN56),SUMPRODUCT(AB61:AB62,$AN61:$AN62))</f>
        <v>-0.13536575013847249</v>
      </c>
      <c r="AC65" s="30">
        <f t="shared" si="330"/>
        <v>-8.6552250950677811E-2</v>
      </c>
      <c r="AD65" s="127">
        <f t="shared" si="156"/>
        <v>-0.3374978196680094</v>
      </c>
      <c r="AE65" s="30">
        <f>SUM(SUMPRODUCT(AE29:AE35,$AN$29:$AN$35),SUMPRODUCT(AE37:AE43,$AN$37:$AN$43),SUMPRODUCT(AE48:AE50,$AN$48:$AN$50),SUMPRODUCT(AE55:AE56,$AN55:$AN56),SUMPRODUCT(AE61:AE62,$AN61:$AN62))</f>
        <v>-0.31204881224405118</v>
      </c>
      <c r="AF65" s="127">
        <f t="shared" si="157"/>
        <v>-0.64954663191206063</v>
      </c>
      <c r="AG65" s="326">
        <f>SUM(SUMPRODUCT(AG29:AG35,$AN$29:$AN$35),SUMPRODUCT(AG37:AG43,$AN$37:$AN$43),SUMPRODUCT(AG48:AG50,$AN$48:$AN$50),SUMPRODUCT(AG55:AG56,$AN55:$AN56),SUMPRODUCT(AG61:AG62,$AN61:$AN62))</f>
        <v>-0.31535822045357964</v>
      </c>
      <c r="AH65" s="2"/>
      <c r="AI65" s="245" t="s">
        <v>107</v>
      </c>
      <c r="AJ65" s="2"/>
      <c r="AK65" s="90"/>
      <c r="AL65" s="91"/>
      <c r="AO65"/>
      <c r="AP65"/>
      <c r="AQ65"/>
      <c r="AR65" s="182"/>
      <c r="AS65" s="168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2"/>
      <c r="BY65"/>
      <c r="CA65" s="136"/>
      <c r="CB65" s="89" t="str">
        <f t="shared" si="313"/>
        <v>PK Totaal: brutomarges gewogen met %aandeel</v>
      </c>
      <c r="CC65" s="408"/>
      <c r="CD65" s="403"/>
      <c r="CE65" s="404"/>
      <c r="CF65" s="405"/>
      <c r="CG65" s="49"/>
      <c r="CH65" s="49"/>
      <c r="CI65" s="30">
        <f>SUM(SUMPRODUCT(CI29:CI35,$AN$29:$AN$35),SUMPRODUCT(CI37:CI43,$AN$37:$AN$43),SUMPRODUCT(CI48:CI50,$AN$48:$AN$50),SUMPRODUCT(CI55:CI56,$AN55:$AN56),SUMPRODUCT(CI61:CI62,$AN61:$AN62))</f>
        <v>-1.3728268764307847</v>
      </c>
      <c r="CJ65" s="127">
        <f>SUM(SUMPRODUCT(CJ29:CJ35,$AN$29:$AN$35),SUMPRODUCT(CJ37:CJ43,$AN$37:$AN$43),SUMPRODUCT(CJ48:CJ50,$AN$48:$AN$50),SUMPRODUCT(CJ55:CJ56,$AN55:$AN56),SUMPRODUCT(CJ61:CJ62,$AN61:$AN62))</f>
        <v>1.2140357918871785</v>
      </c>
      <c r="CK65" s="30">
        <f>SUM(SUMPRODUCT(CK29:CK35,$AN$29:$AN$35),SUMPRODUCT(CK37:CK43,$AN$37:$AN$43),SUMPRODUCT(CK48:CK50,$AN$48:$AN$50),SUMPRODUCT(CK55:CK56,$AN55:$AN56),SUMPRODUCT(CK61:CK62,$AN61:$AN62))</f>
        <v>-1.0807141886106217</v>
      </c>
      <c r="CL65" s="127">
        <f t="shared" si="317"/>
        <v>0.13332160327655673</v>
      </c>
      <c r="CM65" s="34" t="s">
        <v>107</v>
      </c>
      <c r="CN65" s="34" t="s">
        <v>107</v>
      </c>
      <c r="CO65" s="130" t="s">
        <v>107</v>
      </c>
      <c r="CP65" s="30">
        <f>SUM(SUMPRODUCT(CP29:CP35,$AN$29:$AN$35),SUMPRODUCT(CP37:CP43,$AN$37:$AN$43),SUMPRODUCT(CP48:CP50,$AN$48:$AN$50),SUMPRODUCT(CP55:CP56,$AN55:$AN56),SUMPRODUCT(CP61:CP62,$AN61:$AN62))</f>
        <v>5.9276827132461421E-2</v>
      </c>
      <c r="CQ65" s="30">
        <f t="shared" ref="CQ65" si="331">SUM(CM65:CP65)</f>
        <v>5.9276827132461421E-2</v>
      </c>
      <c r="CR65" s="127">
        <f t="shared" ref="CR65" si="332">CL65+CQ65</f>
        <v>0.19259843040901814</v>
      </c>
      <c r="CS65" s="30">
        <f>SUM(SUMPRODUCT(CS29:CS35,$AN$29:$AN$35),SUMPRODUCT(CS37:CS43,$AN$37:$AN$43),SUMPRODUCT(CS48:CS50,$AN$48:$AN$50),SUMPRODUCT(CS55:CS56,$AN55:$AN56),SUMPRODUCT(CS61:CS62,$AN61:$AN62))</f>
        <v>5.4891105321553169E-2</v>
      </c>
      <c r="CT65" s="30">
        <f>SUM(SUMPRODUCT(CT29:CT35,$AN$29:$AN$35),SUMPRODUCT(CT37:CT43,$AN$37:$AN$43),SUMPRODUCT(CT48:CT50,$AN$48:$AN$50),SUMPRODUCT(CT55:CT56,$AN55:$AN56),SUMPRODUCT(CT61:CT62,$AN61:$AN62))</f>
        <v>-0.15930032561316579</v>
      </c>
      <c r="CU65" s="30">
        <f>SUM(SUMPRODUCT(CU29:CU35,$AN$29:$AN$35),SUMPRODUCT(CU37:CU43,$AN$37:$AN$43),SUMPRODUCT(CU48:CU50,$AN$48:$AN$50),SUMPRODUCT(CU55:CU56,$AN55:$AN56),SUMPRODUCT(CU61:CU62,$AN61:$AN62))</f>
        <v>-7.7093398405716482E-2</v>
      </c>
      <c r="CV65" s="30" t="str">
        <f>W65</f>
        <v>-</v>
      </c>
      <c r="CW65" s="30" t="str">
        <f>X65</f>
        <v>-</v>
      </c>
      <c r="CX65" s="30">
        <f>SUM(CT65:CW65)</f>
        <v>-0.23639372401888226</v>
      </c>
      <c r="CY65" s="30">
        <f>SUM(SUMPRODUCT(CY29:CY35,$AN$29:$AN$35),SUMPRODUCT(CY37:CY43,$AN$37:$AN$43),SUMPRODUCT(CY48:CY50,$AN$48:$AN$50),SUMPRODUCT(CY55:CY56,$AN55:$AN56),SUMPRODUCT(CY61:CY62,$AN61:$AN62))</f>
        <v>-0.11645600591628812</v>
      </c>
      <c r="CZ65" s="127">
        <f>SUM(CR65:CS65,CX65:CY65)</f>
        <v>-0.10536019420459906</v>
      </c>
      <c r="DA65" s="30">
        <f t="shared" ref="DA65:DD65" si="333">SUM(SUMPRODUCT(DA29:DA35,$AN$29:$AN$35),SUMPRODUCT(DA37:DA43,$AN$37:$AN$43),SUMPRODUCT(DA48:DA50,$AN$48:$AN$50),SUMPRODUCT(DA55:DA56,$AN55:$AN56),SUMPRODUCT(DA61:DA62,$AN61:$AN62))</f>
        <v>-0.13536575013847249</v>
      </c>
      <c r="DB65" s="30">
        <f>SUM(SUMPRODUCT(DB29:DB35,$AN$29:$AN$35),SUMPRODUCT(DB37:DB43,$AN$37:$AN$43),SUMPRODUCT(DB48:DB50,$AN$48:$AN$50),SUMPRODUCT(DB55:DB56,$AN55:$AN56),SUMPRODUCT(DB61:DB62,$AN61:$AN62))</f>
        <v>-8.6552250950677811E-2</v>
      </c>
      <c r="DC65" s="127">
        <f t="shared" ref="DC65" si="334">SUM(CZ65:DB65)</f>
        <v>-0.32727819529374935</v>
      </c>
      <c r="DD65" s="30">
        <f t="shared" si="333"/>
        <v>-0.31204881224405118</v>
      </c>
      <c r="DE65" s="127">
        <f t="shared" ref="DE65" si="335">SUM(DC65:DD65)</f>
        <v>-0.63932700753780058</v>
      </c>
      <c r="DF65" s="326">
        <f>SUM(SUMPRODUCT(DF29:DF35,$AN$29:$AN$35),SUMPRODUCT(DF37:DF43,$AN$37:$AN$43),SUMPRODUCT(DF48:DF50,$AN$48:$AN$50),SUMPRODUCT(DF55:DF56,$AN55:$AN56),SUMPRODUCT(DF61:DF62,$AN61:$AN62))</f>
        <v>-0.31535822045357964</v>
      </c>
      <c r="DG65" s="2"/>
      <c r="DH65" s="245" t="s">
        <v>107</v>
      </c>
    </row>
    <row r="66" spans="1:115" s="1" customFormat="1" ht="12.5">
      <c r="B66" s="138"/>
      <c r="C66" s="92"/>
      <c r="D66" s="181"/>
      <c r="E66" s="170"/>
      <c r="F66" s="50"/>
      <c r="G66" s="51"/>
      <c r="H66" s="81"/>
      <c r="I66" s="81"/>
      <c r="J66" s="105"/>
      <c r="K66" s="294"/>
      <c r="L66" s="44"/>
      <c r="M66" s="294"/>
      <c r="N66" s="486"/>
      <c r="O66" s="487"/>
      <c r="P66" s="487"/>
      <c r="Q66" s="255"/>
      <c r="R66" s="56"/>
      <c r="S66" s="429"/>
      <c r="T66" s="31"/>
      <c r="U66" s="206"/>
      <c r="V66" s="206"/>
      <c r="W66" s="206"/>
      <c r="X66" s="206"/>
      <c r="Y66" s="35"/>
      <c r="Z66" s="33"/>
      <c r="AA66" s="126"/>
      <c r="AB66" s="206"/>
      <c r="AC66" s="206"/>
      <c r="AD66" s="401"/>
      <c r="AE66" s="206"/>
      <c r="AF66" s="401"/>
      <c r="AG66" s="330"/>
      <c r="AI66" s="93"/>
      <c r="AK66" s="94"/>
      <c r="AL66" s="95"/>
      <c r="AN66" s="3"/>
      <c r="AO66"/>
      <c r="AP66"/>
      <c r="AQ66"/>
      <c r="AR66" s="182"/>
      <c r="AS66" s="168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Y66"/>
      <c r="CA66" s="138"/>
      <c r="CB66" s="393"/>
      <c r="CC66" s="419"/>
      <c r="CD66" s="420"/>
      <c r="CE66" s="421"/>
      <c r="CF66" s="422"/>
      <c r="CG66" s="394"/>
      <c r="CH66" s="394"/>
      <c r="CI66" s="395"/>
      <c r="CJ66" s="396"/>
      <c r="CK66" s="397"/>
      <c r="CL66" s="396"/>
      <c r="CM66" s="398"/>
      <c r="CN66" s="398"/>
      <c r="CO66" s="398"/>
      <c r="CP66" s="399"/>
      <c r="CQ66" s="400"/>
      <c r="CR66" s="401"/>
      <c r="CS66" s="31"/>
      <c r="CT66" s="206"/>
      <c r="CU66" s="206"/>
      <c r="CV66" s="206"/>
      <c r="CW66" s="206"/>
      <c r="CX66" s="35"/>
      <c r="CY66" s="33"/>
      <c r="CZ66" s="126"/>
      <c r="DA66" s="206"/>
      <c r="DB66" s="206"/>
      <c r="DC66" s="401"/>
      <c r="DD66" s="206"/>
      <c r="DE66" s="401"/>
      <c r="DF66" s="330"/>
      <c r="DH66" s="93"/>
    </row>
    <row r="67" spans="1:115" s="1" customFormat="1" ht="13">
      <c r="A67" s="3"/>
      <c r="B67" s="136"/>
      <c r="C67" s="156" t="str">
        <f>INDEX(ActT,13,ActLangID)</f>
        <v>Lening op afbetaling</v>
      </c>
      <c r="D67" s="187"/>
      <c r="E67" s="171"/>
      <c r="F67" s="52"/>
      <c r="G67" s="49"/>
      <c r="H67" s="49"/>
      <c r="I67" s="49"/>
      <c r="J67" s="292"/>
      <c r="K67" s="124"/>
      <c r="L67" s="52"/>
      <c r="M67" s="127"/>
      <c r="N67" s="36"/>
      <c r="O67" s="36"/>
      <c r="P67" s="36"/>
      <c r="Q67" s="76"/>
      <c r="R67" s="75"/>
      <c r="S67" s="127"/>
      <c r="T67" s="37"/>
      <c r="U67" s="74"/>
      <c r="V67" s="74"/>
      <c r="W67" s="74"/>
      <c r="X67" s="74"/>
      <c r="Y67" s="74"/>
      <c r="Z67" s="75"/>
      <c r="AA67" s="127"/>
      <c r="AB67" s="74"/>
      <c r="AC67" s="74"/>
      <c r="AD67" s="127"/>
      <c r="AE67" s="74"/>
      <c r="AF67" s="127"/>
      <c r="AG67" s="319"/>
      <c r="AI67" s="353">
        <v>202311</v>
      </c>
      <c r="AK67" s="479"/>
      <c r="AL67" s="480"/>
      <c r="AO67"/>
      <c r="AP67"/>
      <c r="AQ67"/>
      <c r="AR67" s="182"/>
      <c r="AS67" s="168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Y67"/>
      <c r="BZ67" s="3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</row>
    <row r="68" spans="1:115" s="1" customFormat="1" ht="12.5">
      <c r="B68" s="136">
        <v>612</v>
      </c>
      <c r="C68" s="267" t="str">
        <f>INDEX(ActT,17,ActLangID)</f>
        <v>LoA : voertuigen &lt;= 3jr</v>
      </c>
      <c r="D68" s="426">
        <v>3.99</v>
      </c>
      <c r="E68" s="173">
        <f t="shared" ref="E68:E73" si="336">D68</f>
        <v>3.99</v>
      </c>
      <c r="F68" s="53">
        <f t="shared" ref="F68:F73" si="337">ROUND((POWER(1+D68/100,1/12)-1)*12*100,3)</f>
        <v>3.919</v>
      </c>
      <c r="G68" s="81">
        <v>2.8292551690205272</v>
      </c>
      <c r="H68" s="81">
        <v>0</v>
      </c>
      <c r="I68" s="81">
        <v>0</v>
      </c>
      <c r="J68" s="358">
        <v>-0.04</v>
      </c>
      <c r="K68" s="125">
        <f t="shared" ref="K68:K73" si="338">F68-G68-H68+I68+J68</f>
        <v>1.0497448309794728</v>
      </c>
      <c r="L68" s="195">
        <v>-0.91470933413207245</v>
      </c>
      <c r="M68" s="125">
        <f t="shared" si="12"/>
        <v>0.13503549684740035</v>
      </c>
      <c r="N68" s="42">
        <v>0</v>
      </c>
      <c r="O68" s="42">
        <v>0</v>
      </c>
      <c r="P68" s="42">
        <v>0</v>
      </c>
      <c r="Q68" s="40">
        <v>6.83E-2</v>
      </c>
      <c r="R68" s="82">
        <f t="shared" si="88"/>
        <v>6.83E-2</v>
      </c>
      <c r="S68" s="125">
        <f t="shared" si="13"/>
        <v>0.20333549684740035</v>
      </c>
      <c r="T68" s="40">
        <v>5.8400000000000001E-2</v>
      </c>
      <c r="U68" s="40">
        <v>-0.22060000000000002</v>
      </c>
      <c r="V68" s="40">
        <v>-0.1673</v>
      </c>
      <c r="W68" s="40" t="s">
        <v>393</v>
      </c>
      <c r="X68" s="358" t="s">
        <v>393</v>
      </c>
      <c r="Y68" s="211">
        <f t="shared" ref="Y68:Y74" si="339">SUM(U68:X68)</f>
        <v>-0.38790000000000002</v>
      </c>
      <c r="Z68" s="45">
        <v>-0.16999999999999998</v>
      </c>
      <c r="AA68" s="125">
        <f t="shared" ref="AA68:AA74" si="340">SUM(S68:T68,Y68:Z68)</f>
        <v>-0.29616450315259968</v>
      </c>
      <c r="AB68" s="442">
        <v>-0.15670000000000001</v>
      </c>
      <c r="AC68" s="442">
        <v>-7.5700000000000003E-2</v>
      </c>
      <c r="AD68" s="125">
        <f t="shared" si="156"/>
        <v>-0.52856450315259973</v>
      </c>
      <c r="AE68" s="442">
        <v>-0.2923</v>
      </c>
      <c r="AF68" s="125">
        <f t="shared" si="157"/>
        <v>-0.82086450315259973</v>
      </c>
      <c r="AG68" s="320">
        <v>-0.38999999999999996</v>
      </c>
      <c r="AI68" s="83">
        <v>0.220247316778175</v>
      </c>
      <c r="AK68" s="84">
        <v>71</v>
      </c>
      <c r="AL68" s="99">
        <v>25600</v>
      </c>
      <c r="AN68"/>
      <c r="AO68"/>
      <c r="AP68"/>
      <c r="AQ68"/>
      <c r="AR68" s="182"/>
      <c r="AS68" s="1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Y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</row>
    <row r="69" spans="1:115" s="1" customFormat="1" ht="12.5">
      <c r="B69" s="136">
        <v>616</v>
      </c>
      <c r="C69" s="267" t="str">
        <f>INDEX(ActT,15,ActLangID)</f>
        <v>LoA : ECO Vtg &lt;= 3jr</v>
      </c>
      <c r="D69" s="426">
        <v>3.79</v>
      </c>
      <c r="E69" s="173">
        <f t="shared" ref="E69" si="341">D69</f>
        <v>3.79</v>
      </c>
      <c r="F69" s="53">
        <f t="shared" ref="F69" si="342">ROUND((POWER(1+D69/100,1/12)-1)*12*100,3)</f>
        <v>3.726</v>
      </c>
      <c r="G69" s="81">
        <v>2.8550821218714661</v>
      </c>
      <c r="H69" s="81">
        <v>0</v>
      </c>
      <c r="I69" s="81">
        <v>0</v>
      </c>
      <c r="J69" s="358">
        <v>-0.03</v>
      </c>
      <c r="K69" s="125">
        <f t="shared" si="338"/>
        <v>0.8409178781285338</v>
      </c>
      <c r="L69" s="195">
        <v>-0.89062653133936975</v>
      </c>
      <c r="M69" s="125">
        <f t="shared" si="12"/>
        <v>-4.9708653210835951E-2</v>
      </c>
      <c r="N69" s="42">
        <v>0</v>
      </c>
      <c r="O69" s="42">
        <v>0</v>
      </c>
      <c r="P69" s="42">
        <v>0</v>
      </c>
      <c r="Q69" s="358">
        <v>6.8000000000000005E-2</v>
      </c>
      <c r="R69" s="82">
        <f t="shared" ref="R69" si="343">SUM(N69:Q69)</f>
        <v>6.8000000000000005E-2</v>
      </c>
      <c r="S69" s="125">
        <f t="shared" ref="S69" si="344">M69+R69</f>
        <v>1.8291346789164054E-2</v>
      </c>
      <c r="T69" s="358">
        <v>6.1499999999999999E-2</v>
      </c>
      <c r="U69" s="358">
        <v>-0.23080000000000001</v>
      </c>
      <c r="V69" s="358">
        <v>-0.17880000000000001</v>
      </c>
      <c r="W69" s="358" t="s">
        <v>393</v>
      </c>
      <c r="X69" s="358" t="s">
        <v>393</v>
      </c>
      <c r="Y69" s="211">
        <f t="shared" si="339"/>
        <v>-0.40960000000000002</v>
      </c>
      <c r="Z69" s="45">
        <v>-0.16999999999999998</v>
      </c>
      <c r="AA69" s="125">
        <f t="shared" si="340"/>
        <v>-0.49980865321083595</v>
      </c>
      <c r="AB69" s="442">
        <v>-0.16490000000000002</v>
      </c>
      <c r="AC69" s="442">
        <v>-7.4399999999999994E-2</v>
      </c>
      <c r="AD69" s="125">
        <f t="shared" si="156"/>
        <v>-0.73910865321083596</v>
      </c>
      <c r="AE69" s="442">
        <v>-0.28749999999999998</v>
      </c>
      <c r="AF69" s="125">
        <f t="shared" si="157"/>
        <v>-1.0266086532108361</v>
      </c>
      <c r="AG69" s="320">
        <v>-0.38999999999999996</v>
      </c>
      <c r="AI69" s="83">
        <v>7.3809400074589707E-2</v>
      </c>
      <c r="AK69" s="280">
        <v>66</v>
      </c>
      <c r="AL69" s="99">
        <v>26000</v>
      </c>
      <c r="AN69"/>
      <c r="AO69"/>
      <c r="AP69"/>
      <c r="AQ69"/>
      <c r="AR69" s="182"/>
      <c r="AS69" s="168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Y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</row>
    <row r="70" spans="1:115" s="1" customFormat="1" ht="12.5">
      <c r="B70" s="136">
        <v>622</v>
      </c>
      <c r="C70" s="267" t="str">
        <f>INDEX(ActT,18,ActLangID)</f>
        <v>LoA : occasiewagens &gt; 3jr</v>
      </c>
      <c r="D70" s="426">
        <v>4.99</v>
      </c>
      <c r="E70" s="173">
        <f t="shared" si="336"/>
        <v>4.99</v>
      </c>
      <c r="F70" s="53">
        <f t="shared" si="337"/>
        <v>4.8789999999999996</v>
      </c>
      <c r="G70" s="81">
        <v>2.921971512532429</v>
      </c>
      <c r="H70" s="81">
        <v>0</v>
      </c>
      <c r="I70" s="81">
        <v>0</v>
      </c>
      <c r="J70" s="358">
        <v>-0.03</v>
      </c>
      <c r="K70" s="125">
        <f t="shared" si="338"/>
        <v>1.9270284874675705</v>
      </c>
      <c r="L70" s="195">
        <v>-0.83074774753740277</v>
      </c>
      <c r="M70" s="125">
        <f t="shared" si="12"/>
        <v>1.0962807399301677</v>
      </c>
      <c r="N70" s="42">
        <v>0</v>
      </c>
      <c r="O70" s="42">
        <v>0</v>
      </c>
      <c r="P70" s="42">
        <v>0</v>
      </c>
      <c r="Q70" s="40">
        <v>6.7100000000000007E-2</v>
      </c>
      <c r="R70" s="82">
        <f t="shared" si="88"/>
        <v>6.7100000000000007E-2</v>
      </c>
      <c r="S70" s="125">
        <f t="shared" si="13"/>
        <v>1.1633807399301677</v>
      </c>
      <c r="T70" s="40">
        <v>8.1299999999999997E-2</v>
      </c>
      <c r="U70" s="40">
        <v>-0.27529999999999999</v>
      </c>
      <c r="V70" s="40">
        <v>-0.20899999999999999</v>
      </c>
      <c r="W70" s="40" t="s">
        <v>393</v>
      </c>
      <c r="X70" s="358" t="s">
        <v>393</v>
      </c>
      <c r="Y70" s="211">
        <f t="shared" si="339"/>
        <v>-0.48429999999999995</v>
      </c>
      <c r="Z70" s="45">
        <v>-0.24</v>
      </c>
      <c r="AA70" s="125">
        <f t="shared" si="340"/>
        <v>0.52038073993016765</v>
      </c>
      <c r="AB70" s="442">
        <v>-0.28639999999999999</v>
      </c>
      <c r="AC70" s="442">
        <v>-0.109</v>
      </c>
      <c r="AD70" s="125">
        <f t="shared" si="156"/>
        <v>0.12498073993016766</v>
      </c>
      <c r="AE70" s="442">
        <v>-0.42119999999999996</v>
      </c>
      <c r="AF70" s="125">
        <f t="shared" si="157"/>
        <v>-0.29621926006983229</v>
      </c>
      <c r="AG70" s="320">
        <v>-0.55999999999999994</v>
      </c>
      <c r="AI70" s="83">
        <v>0.110346551332324</v>
      </c>
      <c r="AK70" s="84">
        <v>55</v>
      </c>
      <c r="AL70" s="99">
        <v>17500</v>
      </c>
      <c r="AN70"/>
      <c r="AO70"/>
      <c r="AP70"/>
      <c r="AQ70"/>
      <c r="AR70" s="182"/>
      <c r="AS70" s="168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Y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</row>
    <row r="71" spans="1:115" s="1" customFormat="1" ht="12.5">
      <c r="B71" s="136">
        <v>632</v>
      </c>
      <c r="C71" s="267" t="str">
        <f>INDEX(ActT,19,ActLangID)</f>
        <v>LoA : immo-aankoop en renovatie</v>
      </c>
      <c r="D71" s="426">
        <v>4.2699999999999996</v>
      </c>
      <c r="E71" s="173">
        <f t="shared" si="336"/>
        <v>4.2699999999999996</v>
      </c>
      <c r="F71" s="53">
        <f t="shared" si="337"/>
        <v>4.1890000000000001</v>
      </c>
      <c r="G71" s="81">
        <v>2.6911957361945644</v>
      </c>
      <c r="H71" s="81">
        <v>0</v>
      </c>
      <c r="I71" s="81">
        <v>0</v>
      </c>
      <c r="J71" s="358">
        <v>-0.02</v>
      </c>
      <c r="K71" s="125">
        <f t="shared" si="338"/>
        <v>1.4778042638054356</v>
      </c>
      <c r="L71" s="195">
        <v>-1.0740665246861001</v>
      </c>
      <c r="M71" s="125">
        <f t="shared" si="12"/>
        <v>0.40373773911933553</v>
      </c>
      <c r="N71" s="42">
        <v>0</v>
      </c>
      <c r="O71" s="42">
        <v>0</v>
      </c>
      <c r="P71" s="42">
        <v>0</v>
      </c>
      <c r="Q71" s="40">
        <v>6.9599999999999995E-2</v>
      </c>
      <c r="R71" s="82">
        <f t="shared" si="88"/>
        <v>6.9599999999999995E-2</v>
      </c>
      <c r="S71" s="125">
        <f t="shared" si="13"/>
        <v>0.47333773911933552</v>
      </c>
      <c r="T71" s="40">
        <v>6.2799999999999995E-2</v>
      </c>
      <c r="U71" s="40">
        <v>-0.14150000000000001</v>
      </c>
      <c r="V71" s="40">
        <v>-0.10540000000000001</v>
      </c>
      <c r="W71" s="40" t="s">
        <v>393</v>
      </c>
      <c r="X71" s="358" t="s">
        <v>393</v>
      </c>
      <c r="Y71" s="211">
        <f t="shared" si="339"/>
        <v>-0.24690000000000001</v>
      </c>
      <c r="Z71" s="45">
        <v>-0.19</v>
      </c>
      <c r="AA71" s="125">
        <f t="shared" si="340"/>
        <v>9.9237739119335477E-2</v>
      </c>
      <c r="AB71" s="442">
        <v>-7.1400000000000005E-2</v>
      </c>
      <c r="AC71" s="442">
        <v>-5.5599999999999997E-2</v>
      </c>
      <c r="AD71" s="125">
        <f t="shared" si="156"/>
        <v>-2.7762260880664524E-2</v>
      </c>
      <c r="AE71" s="442">
        <v>-0.21459999999999999</v>
      </c>
      <c r="AF71" s="125">
        <f t="shared" si="157"/>
        <v>-0.24236226088066451</v>
      </c>
      <c r="AG71" s="320">
        <v>-0.4</v>
      </c>
      <c r="AI71" s="83">
        <v>0.16754385116742401</v>
      </c>
      <c r="AK71" s="84">
        <v>121</v>
      </c>
      <c r="AL71" s="99">
        <v>35400</v>
      </c>
      <c r="AN71"/>
      <c r="AO71"/>
      <c r="AP71"/>
      <c r="AQ71"/>
      <c r="AR71" s="182"/>
      <c r="AS71" s="168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Y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</row>
    <row r="72" spans="1:115" s="1" customFormat="1" ht="12.5">
      <c r="B72" s="136">
        <v>642</v>
      </c>
      <c r="C72" s="267" t="str">
        <f>INDEX(ActT,20,ActLangID)</f>
        <v>LoA : immo-energy@home</v>
      </c>
      <c r="D72" s="426">
        <v>3.77</v>
      </c>
      <c r="E72" s="173">
        <f t="shared" si="336"/>
        <v>3.77</v>
      </c>
      <c r="F72" s="53">
        <f t="shared" si="337"/>
        <v>3.706</v>
      </c>
      <c r="G72" s="81">
        <v>2.7126722257786589</v>
      </c>
      <c r="H72" s="81">
        <v>0</v>
      </c>
      <c r="I72" s="81">
        <v>0</v>
      </c>
      <c r="J72" s="358">
        <v>-0.01</v>
      </c>
      <c r="K72" s="125">
        <f t="shared" si="338"/>
        <v>0.9833277742213411</v>
      </c>
      <c r="L72" s="195">
        <v>-1.0395025942739988</v>
      </c>
      <c r="M72" s="125">
        <f t="shared" si="12"/>
        <v>-5.6174820052657726E-2</v>
      </c>
      <c r="N72" s="42">
        <v>0</v>
      </c>
      <c r="O72" s="42">
        <v>0</v>
      </c>
      <c r="P72" s="42">
        <v>0</v>
      </c>
      <c r="Q72" s="40">
        <v>6.93E-2</v>
      </c>
      <c r="R72" s="82">
        <f t="shared" si="88"/>
        <v>6.93E-2</v>
      </c>
      <c r="S72" s="125">
        <f t="shared" si="13"/>
        <v>1.3125179947342275E-2</v>
      </c>
      <c r="T72" s="40">
        <v>3.4799999999999998E-2</v>
      </c>
      <c r="U72" s="40">
        <v>-0.1585</v>
      </c>
      <c r="V72" s="40">
        <v>-0.1203</v>
      </c>
      <c r="W72" s="40" t="s">
        <v>393</v>
      </c>
      <c r="X72" s="358" t="s">
        <v>393</v>
      </c>
      <c r="Y72" s="211">
        <f t="shared" si="339"/>
        <v>-0.27879999999999999</v>
      </c>
      <c r="Z72" s="45">
        <v>-0.18</v>
      </c>
      <c r="AA72" s="125">
        <f t="shared" si="340"/>
        <v>-0.41087482005265774</v>
      </c>
      <c r="AB72" s="442">
        <v>-0.10269999999999999</v>
      </c>
      <c r="AC72" s="442">
        <v>-6.9999999999999993E-2</v>
      </c>
      <c r="AD72" s="125">
        <f t="shared" si="156"/>
        <v>-0.58357482005265771</v>
      </c>
      <c r="AE72" s="442">
        <v>-0.27039999999999997</v>
      </c>
      <c r="AF72" s="125">
        <f t="shared" si="157"/>
        <v>-0.85397482005265768</v>
      </c>
      <c r="AG72" s="320">
        <v>-0.38999999999999996</v>
      </c>
      <c r="AI72" s="83">
        <v>0.22227025154414701</v>
      </c>
      <c r="AK72" s="84">
        <v>104</v>
      </c>
      <c r="AL72" s="99">
        <v>28100</v>
      </c>
      <c r="AN72"/>
      <c r="AO72"/>
      <c r="AP72"/>
      <c r="AQ72"/>
      <c r="AR72" s="182"/>
      <c r="AS72" s="168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Y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</row>
    <row r="73" spans="1:115" s="1" customFormat="1" ht="12.5">
      <c r="B73" s="136">
        <v>652</v>
      </c>
      <c r="C73" s="268" t="str">
        <f>INDEX(ActT,21,ActLangID)</f>
        <v>LoA : Classic</v>
      </c>
      <c r="D73" s="426">
        <v>8.25</v>
      </c>
      <c r="E73" s="173">
        <f t="shared" si="336"/>
        <v>8.25</v>
      </c>
      <c r="F73" s="53">
        <f t="shared" si="337"/>
        <v>7.9539999999999997</v>
      </c>
      <c r="G73" s="81">
        <v>2.89407045898544</v>
      </c>
      <c r="H73" s="370">
        <v>0</v>
      </c>
      <c r="I73" s="370">
        <v>0</v>
      </c>
      <c r="J73" s="358">
        <v>-0.08</v>
      </c>
      <c r="K73" s="125">
        <f t="shared" si="338"/>
        <v>4.9799295410145596</v>
      </c>
      <c r="L73" s="195">
        <v>-0.85727076749146391</v>
      </c>
      <c r="M73" s="125">
        <f t="shared" si="12"/>
        <v>4.1226587735230957</v>
      </c>
      <c r="N73" s="42">
        <v>0</v>
      </c>
      <c r="O73" s="42">
        <v>0</v>
      </c>
      <c r="P73" s="42">
        <v>0</v>
      </c>
      <c r="Q73" s="40">
        <v>6.7400000000000002E-2</v>
      </c>
      <c r="R73" s="82">
        <f t="shared" si="88"/>
        <v>6.7400000000000002E-2</v>
      </c>
      <c r="S73" s="125">
        <f t="shared" si="13"/>
        <v>4.1900587735230959</v>
      </c>
      <c r="T73" s="40">
        <v>0.1588</v>
      </c>
      <c r="U73" s="40">
        <v>-1.0585</v>
      </c>
      <c r="V73" s="40">
        <v>-0.19489999999999999</v>
      </c>
      <c r="W73" s="40" t="s">
        <v>393</v>
      </c>
      <c r="X73" s="358" t="s">
        <v>393</v>
      </c>
      <c r="Y73" s="211">
        <f t="shared" si="339"/>
        <v>-1.2534000000000001</v>
      </c>
      <c r="Z73" s="45">
        <v>-0.36</v>
      </c>
      <c r="AA73" s="125">
        <f t="shared" si="340"/>
        <v>2.7354587735230962</v>
      </c>
      <c r="AB73" s="442">
        <v>-0.318</v>
      </c>
      <c r="AC73" s="442">
        <v>-0.1273</v>
      </c>
      <c r="AD73" s="125">
        <f t="shared" si="156"/>
        <v>2.2901587735230962</v>
      </c>
      <c r="AE73" s="442">
        <v>-0.49160000000000004</v>
      </c>
      <c r="AF73" s="125">
        <f t="shared" si="157"/>
        <v>1.7985587735230961</v>
      </c>
      <c r="AG73" s="320">
        <v>-0.73</v>
      </c>
      <c r="AI73" s="83">
        <v>0.20578262910334</v>
      </c>
      <c r="AK73" s="84">
        <v>58</v>
      </c>
      <c r="AL73" s="99">
        <v>14700</v>
      </c>
      <c r="AN73"/>
      <c r="AO73"/>
      <c r="AP73"/>
      <c r="AQ73"/>
      <c r="AR73" s="182"/>
      <c r="AS73" s="168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Y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</row>
    <row r="74" spans="1:115" s="1" customFormat="1" ht="12.5">
      <c r="B74" s="136"/>
      <c r="C74" s="89" t="str">
        <f>INDEX(ActT,14,ActLangID)&amp;INDEX(ActT,29,ActLangID)</f>
        <v>LoA Totaal: brutomarges gewogen met %aandeel</v>
      </c>
      <c r="D74" s="180"/>
      <c r="E74" s="174"/>
      <c r="F74" s="133"/>
      <c r="G74" s="25"/>
      <c r="H74" s="27"/>
      <c r="I74" s="27"/>
      <c r="J74" s="291">
        <f>SUMPRODUCT(J68:J73,$AI68:$AI73)</f>
        <v>-3.6370761080391563E-2</v>
      </c>
      <c r="K74" s="127">
        <f>SUMPRODUCT(K68:K73,$AI68:$AI73)</f>
        <v>1.9968565973883341</v>
      </c>
      <c r="L74" s="291">
        <f>SUMPRODUCT(L68:L73,$AI68:$AI73)</f>
        <v>-0.94628421286488729</v>
      </c>
      <c r="M74" s="127">
        <f t="shared" si="12"/>
        <v>1.0505723845234467</v>
      </c>
      <c r="N74" s="34" t="s">
        <v>107</v>
      </c>
      <c r="O74" s="34" t="s">
        <v>107</v>
      </c>
      <c r="P74" s="130" t="s">
        <v>107</v>
      </c>
      <c r="Q74" s="30">
        <f>SUMPRODUCT(Q68:Q73,$AI68:$AI73)</f>
        <v>6.8400314210247615E-2</v>
      </c>
      <c r="R74" s="30">
        <f t="shared" si="88"/>
        <v>6.8400314210247615E-2</v>
      </c>
      <c r="S74" s="127">
        <f t="shared" si="13"/>
        <v>1.1189726987336943</v>
      </c>
      <c r="T74" s="30">
        <f>SUMPRODUCT(T68:T73,$AI68:$AI73)</f>
        <v>7.7307936136411556E-2</v>
      </c>
      <c r="U74" s="30">
        <f>SUMPRODUCT(U68:U73,$AI68:$AI73)</f>
        <v>-0.37275837591609273</v>
      </c>
      <c r="V74" s="30">
        <f>SUMPRODUCT(V68:V73,$AI68:$AI73)</f>
        <v>-0.15761219364482937</v>
      </c>
      <c r="W74" s="30" t="s">
        <v>393</v>
      </c>
      <c r="X74" s="30" t="s">
        <v>393</v>
      </c>
      <c r="Y74" s="30">
        <f t="shared" si="339"/>
        <v>-0.5303705695609221</v>
      </c>
      <c r="Z74" s="30">
        <f>SUMPRODUCT(Z68:Z73,$AI68:$AI73)</f>
        <v>-0.22239653766168718</v>
      </c>
      <c r="AA74" s="127">
        <f t="shared" si="340"/>
        <v>0.44351352764749652</v>
      </c>
      <c r="AB74" s="30">
        <f t="shared" ref="AB74:AC74" si="345">SUMPRODUCT(AB68:AB73,$AI68:$AI73)</f>
        <v>-0.17851583877481755</v>
      </c>
      <c r="AC74" s="30">
        <f t="shared" si="345"/>
        <v>-8.5262399758734883E-2</v>
      </c>
      <c r="AD74" s="127">
        <f t="shared" si="156"/>
        <v>0.17973528911394404</v>
      </c>
      <c r="AE74" s="30">
        <f>SUMPRODUCT(AE68:AE73,$AI68:$AI73)</f>
        <v>-0.3292959875821484</v>
      </c>
      <c r="AF74" s="127">
        <f t="shared" si="157"/>
        <v>-0.14956069846820436</v>
      </c>
      <c r="AG74" s="326">
        <f>SUMPRODUCT(AG68:AG73,$AI68:$AI73)</f>
        <v>-0.48040044613330479</v>
      </c>
      <c r="AI74" s="143">
        <f>SUM(AI68:AI73)</f>
        <v>0.99999999999999978</v>
      </c>
      <c r="AK74" s="90"/>
      <c r="AL74" s="91"/>
      <c r="AN74" s="201"/>
      <c r="AO74"/>
      <c r="AP74"/>
      <c r="AQ74"/>
      <c r="AR74" s="182"/>
      <c r="AS74" s="168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Y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</row>
    <row r="75" spans="1:115" s="1" customFormat="1" ht="12.5">
      <c r="B75" s="138"/>
      <c r="C75" s="92"/>
      <c r="D75" s="181"/>
      <c r="E75" s="170"/>
      <c r="F75" s="50"/>
      <c r="G75" s="51"/>
      <c r="H75" s="370"/>
      <c r="I75" s="370"/>
      <c r="J75" s="88"/>
      <c r="K75" s="294"/>
      <c r="L75" s="104"/>
      <c r="M75" s="294"/>
      <c r="N75" s="486"/>
      <c r="O75" s="487"/>
      <c r="P75" s="487"/>
      <c r="Q75" s="255"/>
      <c r="R75" s="56"/>
      <c r="S75" s="363"/>
      <c r="T75" s="105"/>
      <c r="U75" s="105"/>
      <c r="V75" s="105"/>
      <c r="W75" s="105"/>
      <c r="X75" s="105"/>
      <c r="Y75" s="106"/>
      <c r="Z75" s="56"/>
      <c r="AA75" s="128"/>
      <c r="AB75" s="105"/>
      <c r="AC75" s="105"/>
      <c r="AD75" s="446"/>
      <c r="AE75" s="105"/>
      <c r="AF75" s="446"/>
      <c r="AG75" s="331"/>
      <c r="AH75" s="2"/>
      <c r="AI75" s="107"/>
      <c r="AJ75" s="2"/>
      <c r="AK75" s="94"/>
      <c r="AL75" s="95"/>
      <c r="AO75"/>
      <c r="AP75"/>
      <c r="AQ75"/>
      <c r="AR75" s="182"/>
      <c r="AS75" s="168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2"/>
      <c r="BY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</row>
    <row r="76" spans="1:115" s="1" customFormat="1" ht="12.5">
      <c r="B76" s="136"/>
      <c r="C76" s="24" t="str">
        <f>INDEX(ActT,48,ActLangID)</f>
        <v>Kosten en provisies worden over de volledige looptijd van het krediettype gespreid.</v>
      </c>
      <c r="D76" s="175"/>
      <c r="E76" s="164"/>
      <c r="F76" s="1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I76" s="3"/>
      <c r="AN76" s="3"/>
      <c r="AO76"/>
      <c r="AP76"/>
      <c r="AQ76"/>
      <c r="AR76" s="182"/>
      <c r="AS76" s="168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 s="8"/>
      <c r="BQ76" s="8"/>
      <c r="BR76" s="8"/>
      <c r="BS76" s="8"/>
      <c r="BT76" s="8"/>
      <c r="BU76"/>
      <c r="BV76"/>
      <c r="BW76"/>
      <c r="BY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 s="8"/>
      <c r="DB76" s="8"/>
      <c r="DC76" s="8"/>
      <c r="DD76" s="8"/>
      <c r="DE76" s="8"/>
      <c r="DF76"/>
      <c r="DG76"/>
      <c r="DH76"/>
      <c r="DI76"/>
      <c r="DJ76"/>
      <c r="DK76"/>
    </row>
  </sheetData>
  <mergeCells count="74">
    <mergeCell ref="BR3:BR4"/>
    <mergeCell ref="BT3:BT4"/>
    <mergeCell ref="DC3:DC4"/>
    <mergeCell ref="DE3:DE4"/>
    <mergeCell ref="N75:P75"/>
    <mergeCell ref="N45:P45"/>
    <mergeCell ref="N52:P52"/>
    <mergeCell ref="N58:P58"/>
    <mergeCell ref="N64:P64"/>
    <mergeCell ref="N66:P66"/>
    <mergeCell ref="CI3:CI4"/>
    <mergeCell ref="CJ3:CJ4"/>
    <mergeCell ref="CK3:CK4"/>
    <mergeCell ref="CO3:CO4"/>
    <mergeCell ref="CQ3:CQ4"/>
    <mergeCell ref="CX3:CX4"/>
    <mergeCell ref="CY3:CY4"/>
    <mergeCell ref="CZ3:CZ5"/>
    <mergeCell ref="CM27:CO27"/>
    <mergeCell ref="CR3:CR4"/>
    <mergeCell ref="CT3:CT4"/>
    <mergeCell ref="CU3:CU4"/>
    <mergeCell ref="CV3:CV4"/>
    <mergeCell ref="CW3:CW4"/>
    <mergeCell ref="CF3:CF5"/>
    <mergeCell ref="CG3:CG5"/>
    <mergeCell ref="CH3:CH4"/>
    <mergeCell ref="N27:P27"/>
    <mergeCell ref="AK67:AL67"/>
    <mergeCell ref="V3:V4"/>
    <mergeCell ref="W3:W4"/>
    <mergeCell ref="X3:X4"/>
    <mergeCell ref="CD3:CD5"/>
    <mergeCell ref="CE3:CE5"/>
    <mergeCell ref="AS3:AS5"/>
    <mergeCell ref="AT3:AT5"/>
    <mergeCell ref="AU3:AU5"/>
    <mergeCell ref="AK54:AL54"/>
    <mergeCell ref="AK28:AL28"/>
    <mergeCell ref="Z3:Z4"/>
    <mergeCell ref="K3:K4"/>
    <mergeCell ref="E3:E5"/>
    <mergeCell ref="F3:F5"/>
    <mergeCell ref="G3:G5"/>
    <mergeCell ref="J3:J4"/>
    <mergeCell ref="H3:H5"/>
    <mergeCell ref="I3:I4"/>
    <mergeCell ref="L3:L4"/>
    <mergeCell ref="Y3:Y4"/>
    <mergeCell ref="S3:S4"/>
    <mergeCell ref="R3:R4"/>
    <mergeCell ref="P3:P4"/>
    <mergeCell ref="U3:U4"/>
    <mergeCell ref="AA3:AA5"/>
    <mergeCell ref="AK53:AL53"/>
    <mergeCell ref="AK3:AL3"/>
    <mergeCell ref="AV3:AV5"/>
    <mergeCell ref="AW3:AW4"/>
    <mergeCell ref="AD3:AD4"/>
    <mergeCell ref="AF3:AF4"/>
    <mergeCell ref="AX3:AX4"/>
    <mergeCell ref="AY3:AY4"/>
    <mergeCell ref="AZ3:AZ4"/>
    <mergeCell ref="BD3:BD4"/>
    <mergeCell ref="BF3:BF4"/>
    <mergeCell ref="BB27:BD27"/>
    <mergeCell ref="BM3:BM4"/>
    <mergeCell ref="BN3:BN4"/>
    <mergeCell ref="BO3:BO5"/>
    <mergeCell ref="BG3:BG4"/>
    <mergeCell ref="BI3:BI4"/>
    <mergeCell ref="BJ3:BJ4"/>
    <mergeCell ref="BK3:BK4"/>
    <mergeCell ref="BL3:BL4"/>
  </mergeCells>
  <phoneticPr fontId="3" type="noConversion"/>
  <printOptions horizontalCentered="1"/>
  <pageMargins left="0.19685039370078741" right="0.19685039370078741" top="0.39370078740157483" bottom="0.39370078740157483" header="0" footer="0.19685039370078741"/>
  <pageSetup paperSize="9" scale="52" orientation="landscape" r:id="rId1"/>
  <headerFooter alignWithMargins="0">
    <oddFooter>&amp;LReporting&amp;R&amp;D - &amp;8&amp;T&amp;C&amp;"Arial"&amp;10&amp;K000000&amp;F - &amp;A_x000D_&amp;1#&amp;"Calibri"&amp;10&amp;K000000Internal</oddFooter>
  </headerFooter>
  <drawing r:id="rId2"/>
  <legacyDrawing r:id="rId3"/>
  <controls>
    <mc:AlternateContent xmlns:mc="http://schemas.openxmlformats.org/markup-compatibility/2006">
      <mc:Choice Requires="x14">
        <control shapeId="18660" r:id="rId4" name="ActComboLang">
          <controlPr defaultSize="0" autoLine="0" linkedCell="T!B62" listFillRange="ActLangList" r:id="rId5">
            <anchor moveWithCells="1">
              <from>
                <xdr:col>35</xdr:col>
                <xdr:colOff>146050</xdr:colOff>
                <xdr:row>0</xdr:row>
                <xdr:rowOff>107950</xdr:rowOff>
              </from>
              <to>
                <xdr:col>37</xdr:col>
                <xdr:colOff>482600</xdr:colOff>
                <xdr:row>0</xdr:row>
                <xdr:rowOff>381000</xdr:rowOff>
              </to>
            </anchor>
          </controlPr>
        </control>
      </mc:Choice>
      <mc:Fallback>
        <control shapeId="18660" r:id="rId4" name="ActComboLang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03">
    <pageSetUpPr fitToPage="1"/>
  </sheetPr>
  <dimension ref="B1:U84"/>
  <sheetViews>
    <sheetView zoomScale="75" workbookViewId="0"/>
  </sheetViews>
  <sheetFormatPr defaultRowHeight="12.75" customHeight="1" outlineLevelRow="1" outlineLevelCol="1"/>
  <cols>
    <col min="1" max="1" width="2.81640625" customWidth="1"/>
    <col min="2" max="2" width="30.1796875" customWidth="1"/>
    <col min="3" max="3" width="9.1796875" hidden="1" customWidth="1" outlineLevel="1"/>
    <col min="4" max="4" width="7.81640625" customWidth="1" collapsed="1"/>
    <col min="5" max="5" width="9.81640625" bestFit="1" customWidth="1"/>
    <col min="6" max="6" width="8.54296875" customWidth="1"/>
    <col min="7" max="7" width="10.81640625" customWidth="1"/>
    <col min="8" max="8" width="14.1796875" customWidth="1"/>
    <col min="9" max="9" width="11.81640625" customWidth="1"/>
    <col min="10" max="10" width="16" hidden="1" customWidth="1" outlineLevel="1"/>
    <col min="11" max="11" width="13.81640625" hidden="1" customWidth="1" outlineLevel="1"/>
    <col min="12" max="12" width="18.1796875" hidden="1" customWidth="1" outlineLevel="1"/>
    <col min="13" max="13" width="7.1796875" hidden="1" customWidth="1" outlineLevel="1"/>
    <col min="14" max="14" width="19.1796875" hidden="1" customWidth="1" outlineLevel="1"/>
    <col min="15" max="15" width="18.81640625" hidden="1" customWidth="1" outlineLevel="1"/>
    <col min="16" max="16" width="9.54296875" customWidth="1" collapsed="1"/>
    <col min="17" max="17" width="9.81640625" customWidth="1"/>
    <col min="18" max="18" width="15.453125" customWidth="1"/>
    <col min="19" max="19" width="12.81640625" customWidth="1"/>
    <col min="20" max="20" width="11.1796875" customWidth="1"/>
    <col min="21" max="21" width="9.81640625" customWidth="1"/>
  </cols>
  <sheetData>
    <row r="1" spans="2:21" s="1" customFormat="1" ht="32.25" customHeight="1">
      <c r="B1" s="110" t="str">
        <f>INDEX(PasT,2,PasLangID)</f>
        <v>Enkel voor intern gebruik</v>
      </c>
      <c r="C1" s="28"/>
      <c r="D1" s="14"/>
      <c r="E1" s="7"/>
      <c r="F1" s="7"/>
      <c r="G1" s="7"/>
      <c r="H1" s="7"/>
      <c r="I1" s="274"/>
      <c r="J1" s="7"/>
      <c r="K1" s="7"/>
      <c r="L1" s="7"/>
      <c r="M1" s="7"/>
      <c r="N1" s="7"/>
      <c r="O1" s="7"/>
      <c r="P1" s="7"/>
      <c r="Q1" s="7"/>
      <c r="R1" s="7"/>
      <c r="S1" s="7"/>
      <c r="U1" s="7"/>
    </row>
    <row r="2" spans="2:21" s="1" customFormat="1" ht="25">
      <c r="B2" s="38" t="str">
        <f>INDEX(PasT,3,PasLangID)</f>
        <v>SIGNAALRAPPORT : Passiva</v>
      </c>
      <c r="C2" s="28"/>
      <c r="D2" s="14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S2" s="7"/>
      <c r="T2" s="7"/>
      <c r="U2" s="39" t="str">
        <f>grafiek!$A$3</f>
        <v>week 22 (31/05/2024)</v>
      </c>
    </row>
    <row r="3" spans="2:21" s="1" customFormat="1" ht="15.75" customHeight="1">
      <c r="B3" s="59" t="s">
        <v>11</v>
      </c>
      <c r="C3" s="60"/>
      <c r="D3" s="464" t="str">
        <f>INDEX(PasT,32,PasLangID)</f>
        <v>tarief klant</v>
      </c>
      <c r="E3" s="464" t="str">
        <f>INDEX(PasT,33,PasLangID)</f>
        <v>tarief funding</v>
      </c>
      <c r="F3" s="470" t="str">
        <f>INDEX(PasT,34,PasLangID)</f>
        <v>bruto marge</v>
      </c>
      <c r="G3" s="472" t="s">
        <v>298</v>
      </c>
      <c r="H3" s="189" t="str">
        <f>INDEX(PasT,48,PasLangID)</f>
        <v>bruto na</v>
      </c>
      <c r="I3" s="61" t="s">
        <v>118</v>
      </c>
      <c r="J3" s="494" t="str">
        <f>INDEX(PasT,35,PasLangID)</f>
        <v>commissie</v>
      </c>
      <c r="K3" s="495"/>
      <c r="L3" s="495"/>
      <c r="M3" s="495"/>
      <c r="N3" s="495"/>
      <c r="O3" s="496"/>
      <c r="P3" s="464" t="str">
        <f>INDEX(ActT,35,ActLangID)</f>
        <v>com-missie</v>
      </c>
      <c r="Q3" s="464" t="str">
        <f>INDEX(PasT,36,PasLangID)</f>
        <v>krediet-verlies</v>
      </c>
      <c r="R3" s="482" t="str">
        <f>INDEX(PasT,37,PasLangID)</f>
        <v>commerciële marge vóór kosten</v>
      </c>
      <c r="S3" s="61" t="str">
        <f>INDEX(PasT,38,PasLangID)</f>
        <v>kosten</v>
      </c>
      <c r="T3" s="61" t="str">
        <f>INDEX(PasT,38,PasLangID)</f>
        <v>kosten</v>
      </c>
      <c r="U3" s="316" t="str">
        <f>INDEX(PasT,38,PasLangID)</f>
        <v>kosten</v>
      </c>
    </row>
    <row r="4" spans="2:21" s="1" customFormat="1" ht="15.5">
      <c r="B4" s="115"/>
      <c r="C4" s="116"/>
      <c r="D4" s="492"/>
      <c r="E4" s="492"/>
      <c r="F4" s="471"/>
      <c r="G4" s="465" t="e">
        <v>#NAME?</v>
      </c>
      <c r="H4" s="198" t="s">
        <v>299</v>
      </c>
      <c r="I4" s="117" t="s">
        <v>114</v>
      </c>
      <c r="J4" s="497"/>
      <c r="K4" s="498"/>
      <c r="L4" s="498"/>
      <c r="M4" s="498"/>
      <c r="N4" s="499"/>
      <c r="O4" s="500"/>
      <c r="P4" s="465"/>
      <c r="Q4" s="492"/>
      <c r="R4" s="471"/>
      <c r="S4" s="118" t="s">
        <v>392</v>
      </c>
      <c r="T4" s="285" t="s">
        <v>332</v>
      </c>
      <c r="U4" s="317" t="str">
        <f>INDEX(PasT,41,PasLangID)</f>
        <v>kapitaal</v>
      </c>
    </row>
    <row r="5" spans="2:21" s="1" customFormat="1" ht="15.5">
      <c r="B5" s="64"/>
      <c r="C5" s="65"/>
      <c r="D5" s="204" t="s">
        <v>4</v>
      </c>
      <c r="E5" s="204" t="s">
        <v>4</v>
      </c>
      <c r="F5" s="121" t="s">
        <v>4</v>
      </c>
      <c r="G5" s="67" t="s">
        <v>4</v>
      </c>
      <c r="H5" s="129" t="s">
        <v>4</v>
      </c>
      <c r="I5" s="67"/>
      <c r="J5" s="183" t="s">
        <v>346</v>
      </c>
      <c r="K5" s="359" t="s">
        <v>347</v>
      </c>
      <c r="L5" s="359" t="s">
        <v>348</v>
      </c>
      <c r="M5" s="359" t="s">
        <v>349</v>
      </c>
      <c r="N5" s="359" t="s">
        <v>350</v>
      </c>
      <c r="O5" s="359" t="s">
        <v>351</v>
      </c>
      <c r="P5" s="67"/>
      <c r="Q5" s="68"/>
      <c r="R5" s="493"/>
      <c r="S5" s="69"/>
      <c r="T5" s="66"/>
      <c r="U5" s="318"/>
    </row>
    <row r="6" spans="2:21" s="1" customFormat="1" ht="12.5">
      <c r="B6" s="72"/>
      <c r="C6" s="58"/>
      <c r="D6" s="73"/>
      <c r="E6" s="27"/>
      <c r="F6" s="122"/>
      <c r="G6" s="190"/>
      <c r="H6" s="122"/>
      <c r="I6" s="37"/>
      <c r="J6" s="74"/>
      <c r="K6" s="74"/>
      <c r="L6" s="74"/>
      <c r="M6" s="74"/>
      <c r="N6" s="74"/>
      <c r="O6" s="74"/>
      <c r="P6" s="74"/>
      <c r="Q6" s="75"/>
      <c r="R6" s="122"/>
      <c r="S6" s="44"/>
      <c r="T6" s="44"/>
      <c r="U6" s="319"/>
    </row>
    <row r="7" spans="2:21" s="1" customFormat="1" ht="12.5">
      <c r="B7" s="79" t="str">
        <f>INDEX(PasT,4,PasLangID)</f>
        <v>Kaskrediet (encours)</v>
      </c>
      <c r="C7" s="134">
        <f>9.5+1.5</f>
        <v>11</v>
      </c>
      <c r="D7" s="80">
        <f>((1+C7/400)^4-1)*100</f>
        <v>11.462125941406276</v>
      </c>
      <c r="E7" s="81">
        <f>or_on</f>
        <v>3.9053</v>
      </c>
      <c r="F7" s="125">
        <f>D7-E7</f>
        <v>7.5568259414062755</v>
      </c>
      <c r="G7" s="40"/>
      <c r="H7" s="125">
        <f>SUM(F7:G7)</f>
        <v>7.5568259414062755</v>
      </c>
      <c r="I7" s="40">
        <v>3.2936999999999999</v>
      </c>
      <c r="J7" s="358">
        <v>-1.9736</v>
      </c>
      <c r="K7" s="358" t="s">
        <v>107</v>
      </c>
      <c r="L7" s="358" t="s">
        <v>107</v>
      </c>
      <c r="M7" s="358" t="s">
        <v>107</v>
      </c>
      <c r="N7" s="358" t="s">
        <v>393</v>
      </c>
      <c r="O7" s="358" t="s">
        <v>393</v>
      </c>
      <c r="P7" s="211">
        <f t="shared" ref="P7:P35" si="0">SUM(J7:O7)</f>
        <v>-1.9736</v>
      </c>
      <c r="Q7" s="40">
        <v>-1.1100000000000001</v>
      </c>
      <c r="R7" s="208">
        <f>SUM(H7:I7,P7:Q7)</f>
        <v>7.7669259414062752</v>
      </c>
      <c r="S7" s="315">
        <v>-0.56999999999999995</v>
      </c>
      <c r="T7" s="362">
        <v>0</v>
      </c>
      <c r="U7" s="320">
        <v>-1.06</v>
      </c>
    </row>
    <row r="8" spans="2:21" s="1" customFormat="1" ht="12.5">
      <c r="B8" s="79" t="str">
        <f>INDEX(PasT,5,PasLangID)</f>
        <v>Giro - (incl. bijprodukten)</v>
      </c>
      <c r="C8" s="134">
        <v>9.5</v>
      </c>
      <c r="D8" s="80">
        <f>C8</f>
        <v>9.5</v>
      </c>
      <c r="E8" s="81">
        <f>or_on</f>
        <v>3.9053</v>
      </c>
      <c r="F8" s="125">
        <f>D8-E8</f>
        <v>5.5946999999999996</v>
      </c>
      <c r="G8" s="40"/>
      <c r="H8" s="125">
        <f>SUM(F8:G8)</f>
        <v>5.5946999999999996</v>
      </c>
      <c r="I8" s="341">
        <v>0.72309999999999997</v>
      </c>
      <c r="J8" s="358">
        <v>-1.9614</v>
      </c>
      <c r="K8" s="358" t="s">
        <v>107</v>
      </c>
      <c r="L8" s="358" t="s">
        <v>107</v>
      </c>
      <c r="M8" s="358" t="s">
        <v>107</v>
      </c>
      <c r="N8" s="358" t="s">
        <v>393</v>
      </c>
      <c r="O8" s="358" t="s">
        <v>393</v>
      </c>
      <c r="P8" s="211">
        <f t="shared" si="0"/>
        <v>-1.9614</v>
      </c>
      <c r="Q8" s="40">
        <v>-1.1299999999999999</v>
      </c>
      <c r="R8" s="208">
        <f>SUM(H8:I8,P8:Q8)</f>
        <v>3.226399999999999</v>
      </c>
      <c r="S8" s="262">
        <v>-1.03</v>
      </c>
      <c r="T8" s="362">
        <v>0</v>
      </c>
      <c r="U8" s="320">
        <v>-2.99</v>
      </c>
    </row>
    <row r="9" spans="2:21" s="1" customFormat="1" ht="12.5">
      <c r="B9" s="86"/>
      <c r="C9" s="87"/>
      <c r="D9" s="108"/>
      <c r="E9" s="81"/>
      <c r="F9" s="125"/>
      <c r="G9" s="191"/>
      <c r="H9" s="125"/>
      <c r="I9" s="40"/>
      <c r="J9" s="335" t="s">
        <v>124</v>
      </c>
      <c r="K9" s="40"/>
      <c r="L9" s="358"/>
      <c r="M9" s="358"/>
      <c r="N9" s="40"/>
      <c r="O9" s="358"/>
      <c r="P9" s="211"/>
      <c r="Q9" s="40"/>
      <c r="R9" s="125"/>
      <c r="S9" s="262"/>
      <c r="T9" s="284"/>
      <c r="U9" s="321"/>
    </row>
    <row r="10" spans="2:21" s="1" customFormat="1" ht="12.5">
      <c r="B10" s="86" t="str">
        <f>INDEX(PasT,6,PasLangID)&amp;INDEX(PasT,44,PasLangID)</f>
        <v>Giro + (incl. bijprod.) (gemiddeld)(*)</v>
      </c>
      <c r="C10" s="87"/>
      <c r="D10" s="108">
        <v>-2.0922454492344499E-2</v>
      </c>
      <c r="E10" s="81">
        <v>1.0431505371546199</v>
      </c>
      <c r="F10" s="125">
        <f>E10-D10</f>
        <v>1.0640729916469645</v>
      </c>
      <c r="G10" s="40">
        <v>0.68388063350294803</v>
      </c>
      <c r="H10" s="125">
        <f>SUM(F10:G10)</f>
        <v>1.7479536251499126</v>
      </c>
      <c r="I10" s="358">
        <v>0.72309999999999997</v>
      </c>
      <c r="J10" s="450">
        <v>-0.24480000000000002</v>
      </c>
      <c r="K10" s="358" t="s">
        <v>107</v>
      </c>
      <c r="L10" s="358" t="s">
        <v>107</v>
      </c>
      <c r="M10" s="358">
        <v>-1.7000000000000001E-4</v>
      </c>
      <c r="N10" s="358" t="s">
        <v>393</v>
      </c>
      <c r="O10" s="358" t="s">
        <v>393</v>
      </c>
      <c r="P10" s="211">
        <f t="shared" si="0"/>
        <v>-0.24497000000000002</v>
      </c>
      <c r="Q10" s="358" t="s">
        <v>107</v>
      </c>
      <c r="R10" s="208">
        <f>SUM(H10:I10,P10:Q10)</f>
        <v>2.2260836251499128</v>
      </c>
      <c r="S10" s="358">
        <v>-1.03</v>
      </c>
      <c r="T10" s="355">
        <v>-0.22</v>
      </c>
      <c r="U10" s="321"/>
    </row>
    <row r="11" spans="2:21" s="1" customFormat="1" ht="12.5">
      <c r="B11" s="79" t="str">
        <f>INDEX(PasT,10,PasLangID)&amp;INDEX(PasT,44,PasLangID)</f>
        <v>St@rt2Bank (gemiddeld)(*)</v>
      </c>
      <c r="C11" s="87"/>
      <c r="D11" s="108">
        <v>0</v>
      </c>
      <c r="E11" s="81">
        <v>1.0900000000000001</v>
      </c>
      <c r="F11" s="125">
        <f>E11-D11</f>
        <v>1.0900000000000001</v>
      </c>
      <c r="G11" s="40">
        <v>0.62</v>
      </c>
      <c r="H11" s="125">
        <f>SUM(F11:G11)</f>
        <v>1.71</v>
      </c>
      <c r="I11" s="40" t="s">
        <v>107</v>
      </c>
      <c r="J11" s="358">
        <v>-0.24650000000000002</v>
      </c>
      <c r="K11" s="358" t="s">
        <v>107</v>
      </c>
      <c r="L11" s="358" t="s">
        <v>107</v>
      </c>
      <c r="M11" s="358">
        <v>-1.9000000000000001E-4</v>
      </c>
      <c r="N11" s="358" t="s">
        <v>393</v>
      </c>
      <c r="O11" s="358" t="s">
        <v>393</v>
      </c>
      <c r="P11" s="211">
        <f t="shared" si="0"/>
        <v>-0.24669000000000002</v>
      </c>
      <c r="Q11" s="358" t="s">
        <v>107</v>
      </c>
      <c r="R11" s="208">
        <f>SUM(H11:I11,P11:Q11)</f>
        <v>1.4633099999999999</v>
      </c>
      <c r="S11" s="358">
        <v>-1.03</v>
      </c>
      <c r="T11" s="355">
        <v>-0.22</v>
      </c>
      <c r="U11" s="321"/>
    </row>
    <row r="12" spans="2:21" s="1" customFormat="1" ht="12.5">
      <c r="B12" s="79" t="str">
        <f>INDEX(PasT,7,PasLangID)&amp;INDEX(PasT,44,PasLangID)</f>
        <v>Notarisrekeningen (gemiddeld)(*)</v>
      </c>
      <c r="C12" s="87"/>
      <c r="D12" s="108">
        <v>0</v>
      </c>
      <c r="E12" s="81">
        <v>1.42</v>
      </c>
      <c r="F12" s="125">
        <f>E12-D12</f>
        <v>1.42</v>
      </c>
      <c r="G12" s="40">
        <v>0.5</v>
      </c>
      <c r="H12" s="125">
        <f>SUM(F12:G12)</f>
        <v>1.92</v>
      </c>
      <c r="I12" s="40" t="s">
        <v>107</v>
      </c>
      <c r="J12" s="358">
        <v>-9.870000000000001E-2</v>
      </c>
      <c r="K12" s="358" t="s">
        <v>107</v>
      </c>
      <c r="L12" s="358" t="s">
        <v>107</v>
      </c>
      <c r="M12" s="358">
        <v>-2.0000000000000001E-4</v>
      </c>
      <c r="N12" s="358" t="s">
        <v>393</v>
      </c>
      <c r="O12" s="358" t="s">
        <v>393</v>
      </c>
      <c r="P12" s="211">
        <f t="shared" si="0"/>
        <v>-9.8900000000000016E-2</v>
      </c>
      <c r="Q12" s="358" t="s">
        <v>107</v>
      </c>
      <c r="R12" s="208">
        <f>SUM(H12:I12,P12:Q12)</f>
        <v>1.8210999999999999</v>
      </c>
      <c r="S12" s="358">
        <v>-1.03</v>
      </c>
      <c r="T12" s="355">
        <v>-0.22</v>
      </c>
      <c r="U12" s="321"/>
    </row>
    <row r="13" spans="2:21" s="1" customFormat="1" ht="12.5">
      <c r="B13" s="112"/>
      <c r="C13" s="113"/>
      <c r="D13" s="197"/>
      <c r="E13" s="51"/>
      <c r="F13" s="273"/>
      <c r="G13" s="272"/>
      <c r="H13" s="271"/>
      <c r="I13" s="32"/>
      <c r="J13" s="334"/>
      <c r="K13" s="29"/>
      <c r="L13" s="357"/>
      <c r="M13" s="357"/>
      <c r="N13" s="29" t="s">
        <v>124</v>
      </c>
      <c r="O13" s="425" t="s">
        <v>124</v>
      </c>
      <c r="P13" s="212"/>
      <c r="Q13" s="32"/>
      <c r="R13" s="126"/>
      <c r="S13" s="29"/>
      <c r="T13" s="212"/>
      <c r="U13" s="322"/>
    </row>
    <row r="14" spans="2:21" s="1" customFormat="1" ht="12.5">
      <c r="B14" s="79"/>
      <c r="C14" s="87"/>
      <c r="D14" s="108"/>
      <c r="E14" s="81"/>
      <c r="F14" s="125"/>
      <c r="G14" s="191"/>
      <c r="H14" s="125"/>
      <c r="I14" s="40"/>
      <c r="J14" s="335"/>
      <c r="K14" s="40"/>
      <c r="L14" s="358"/>
      <c r="M14" s="358"/>
      <c r="N14" s="40" t="s">
        <v>124</v>
      </c>
      <c r="O14" s="358" t="s">
        <v>124</v>
      </c>
      <c r="P14" s="211"/>
      <c r="Q14" s="40"/>
      <c r="R14" s="125"/>
      <c r="S14" s="262"/>
      <c r="T14" s="211"/>
      <c r="U14" s="321"/>
    </row>
    <row r="15" spans="2:21" s="1" customFormat="1" ht="12.5">
      <c r="B15" s="79" t="str">
        <f>INDEX(PasT,9,PasLangID)&amp;INDEX(PasT,45,PasLangID)</f>
        <v>I-Plus (marginaal)</v>
      </c>
      <c r="C15" s="87"/>
      <c r="D15" s="333">
        <v>0.81</v>
      </c>
      <c r="E15" s="81">
        <v>2.7684920556598134</v>
      </c>
      <c r="F15" s="125">
        <f>E15-D15</f>
        <v>1.9584920556598133</v>
      </c>
      <c r="G15" s="40">
        <v>0.92570166133393761</v>
      </c>
      <c r="H15" s="125">
        <f>SUM(F15:G15)</f>
        <v>2.8841937169937508</v>
      </c>
      <c r="I15" s="40">
        <v>1.2699999999999999E-2</v>
      </c>
      <c r="J15" s="335" t="s">
        <v>107</v>
      </c>
      <c r="K15" s="40">
        <v>-0.24459999999999998</v>
      </c>
      <c r="L15" s="358" t="s">
        <v>107</v>
      </c>
      <c r="M15" s="358">
        <v>-1.0000000000000001E-5</v>
      </c>
      <c r="N15" s="358" t="s">
        <v>393</v>
      </c>
      <c r="O15" s="358" t="s">
        <v>393</v>
      </c>
      <c r="P15" s="211">
        <f t="shared" si="0"/>
        <v>-0.24460999999999999</v>
      </c>
      <c r="Q15" s="358" t="s">
        <v>107</v>
      </c>
      <c r="R15" s="208">
        <f>SUM(H15:I15,P15:Q15)</f>
        <v>2.6522837169937512</v>
      </c>
      <c r="S15" s="364">
        <v>-0.03</v>
      </c>
      <c r="T15" s="355">
        <v>-0.22</v>
      </c>
      <c r="U15" s="321"/>
    </row>
    <row r="16" spans="2:21" s="1" customFormat="1" ht="12.5">
      <c r="B16" s="79" t="str">
        <f>INDEX(PasT,9,PasLangID)&amp;INDEX(PasT,44,PasLangID)</f>
        <v>I-Plus (gemiddeld)(*)</v>
      </c>
      <c r="C16" s="87"/>
      <c r="D16" s="108">
        <v>-0.72078275542086101</v>
      </c>
      <c r="E16" s="81">
        <v>1.55814536762039</v>
      </c>
      <c r="F16" s="125">
        <f>E16-D16</f>
        <v>2.278928123041251</v>
      </c>
      <c r="G16" s="40">
        <v>0.60172470937449796</v>
      </c>
      <c r="H16" s="125">
        <f>SUM(F16:G16)</f>
        <v>2.8806528324157492</v>
      </c>
      <c r="I16" s="358">
        <v>1.2699999999999999E-2</v>
      </c>
      <c r="J16" s="358" t="s">
        <v>107</v>
      </c>
      <c r="K16" s="341">
        <v>-0.24459999999999998</v>
      </c>
      <c r="L16" s="358" t="s">
        <v>107</v>
      </c>
      <c r="M16" s="358">
        <v>-1.0000000000000001E-5</v>
      </c>
      <c r="N16" s="358" t="s">
        <v>393</v>
      </c>
      <c r="O16" s="358" t="s">
        <v>393</v>
      </c>
      <c r="P16" s="211">
        <f t="shared" si="0"/>
        <v>-0.24460999999999999</v>
      </c>
      <c r="Q16" s="358" t="s">
        <v>107</v>
      </c>
      <c r="R16" s="208">
        <f>SUM(H16:I16,P16:Q16)</f>
        <v>2.6487428324157491</v>
      </c>
      <c r="S16" s="364">
        <v>-0.03</v>
      </c>
      <c r="T16" s="355">
        <v>-0.22</v>
      </c>
      <c r="U16" s="321"/>
    </row>
    <row r="17" spans="2:21" s="1" customFormat="1" ht="12.5">
      <c r="B17" s="275"/>
      <c r="C17" s="113"/>
      <c r="D17" s="197"/>
      <c r="E17" s="51"/>
      <c r="F17" s="273"/>
      <c r="G17" s="272"/>
      <c r="H17" s="271"/>
      <c r="I17" s="32"/>
      <c r="J17" s="334"/>
      <c r="K17" s="29"/>
      <c r="L17" s="357"/>
      <c r="M17" s="357"/>
      <c r="N17" s="29"/>
      <c r="O17" s="425"/>
      <c r="P17" s="212"/>
      <c r="Q17" s="32"/>
      <c r="R17" s="126"/>
      <c r="S17" s="29"/>
      <c r="T17" s="212"/>
      <c r="U17" s="322"/>
    </row>
    <row r="18" spans="2:21" s="1" customFormat="1" ht="13">
      <c r="B18" s="86"/>
      <c r="C18" s="87"/>
      <c r="D18" s="114"/>
      <c r="E18" s="81"/>
      <c r="F18" s="125"/>
      <c r="G18" s="191"/>
      <c r="H18" s="125"/>
      <c r="I18" s="40"/>
      <c r="J18" s="335"/>
      <c r="K18" s="40"/>
      <c r="L18" s="358"/>
      <c r="M18" s="358"/>
      <c r="N18" s="40"/>
      <c r="O18" s="358"/>
      <c r="P18" s="211"/>
      <c r="Q18" s="40"/>
      <c r="R18" s="125"/>
      <c r="S18" s="262"/>
      <c r="T18" s="211"/>
      <c r="U18" s="321"/>
    </row>
    <row r="19" spans="2:21" s="1" customFormat="1" ht="12.5">
      <c r="B19" s="79" t="str">
        <f>INDEX(PasT,10,PasLangID)&amp;INDEX(PasT,45,PasLangID)</f>
        <v>St@rt2Bank (marginaal)</v>
      </c>
      <c r="C19" s="87"/>
      <c r="D19" s="108">
        <f>0.45+0.55*0.8</f>
        <v>0.89000000000000012</v>
      </c>
      <c r="E19" s="81">
        <v>2.7684920556598134</v>
      </c>
      <c r="F19" s="125">
        <f>E19-D19</f>
        <v>1.8784920556598133</v>
      </c>
      <c r="G19" s="277">
        <v>0.92570166133393761</v>
      </c>
      <c r="H19" s="125">
        <f>SUM(F19:G19)</f>
        <v>2.8041937169937508</v>
      </c>
      <c r="I19" s="358">
        <v>1.2699999999999999E-2</v>
      </c>
      <c r="J19" s="358" t="s">
        <v>107</v>
      </c>
      <c r="K19" s="358" t="s">
        <v>107</v>
      </c>
      <c r="L19" s="358">
        <v>-0.24610000000000001</v>
      </c>
      <c r="M19" s="358">
        <v>-3.0000000000000001E-5</v>
      </c>
      <c r="N19" s="358" t="s">
        <v>393</v>
      </c>
      <c r="O19" s="358" t="s">
        <v>393</v>
      </c>
      <c r="P19" s="211">
        <f>SUM(J19:O19)</f>
        <v>-0.24613000000000002</v>
      </c>
      <c r="Q19" s="358" t="s">
        <v>107</v>
      </c>
      <c r="R19" s="208">
        <f>SUM(H19:I19,P19:Q19)</f>
        <v>2.5707637169937509</v>
      </c>
      <c r="S19" s="364">
        <v>-0.03</v>
      </c>
      <c r="T19" s="355">
        <v>-0.22</v>
      </c>
      <c r="U19" s="321"/>
    </row>
    <row r="20" spans="2:21" s="1" customFormat="1" ht="12.5">
      <c r="B20" s="79" t="str">
        <f>INDEX(PasT,10,PasLangID)&amp;INDEX(PasT,44,PasLangID)</f>
        <v>St@rt2Bank (gemiddeld)(*)</v>
      </c>
      <c r="C20" s="87"/>
      <c r="D20" s="108">
        <v>0.54</v>
      </c>
      <c r="E20" s="81">
        <v>1.41</v>
      </c>
      <c r="F20" s="125">
        <f>E20-D20</f>
        <v>0.86999999999999988</v>
      </c>
      <c r="G20" s="277">
        <v>0.61</v>
      </c>
      <c r="H20" s="125">
        <f>SUM(F20:G20)</f>
        <v>1.48</v>
      </c>
      <c r="I20" s="358">
        <v>1.2699999999999999E-2</v>
      </c>
      <c r="J20" s="358" t="s">
        <v>107</v>
      </c>
      <c r="K20" s="358" t="s">
        <v>107</v>
      </c>
      <c r="L20" s="358">
        <v>-0.24610000000000001</v>
      </c>
      <c r="M20" s="358">
        <v>-3.0000000000000001E-5</v>
      </c>
      <c r="N20" s="358" t="s">
        <v>393</v>
      </c>
      <c r="O20" s="358" t="s">
        <v>393</v>
      </c>
      <c r="P20" s="211">
        <f>SUM(J20:O20)</f>
        <v>-0.24613000000000002</v>
      </c>
      <c r="Q20" s="358" t="s">
        <v>107</v>
      </c>
      <c r="R20" s="208">
        <f>SUM(H20:I20,P20:Q20)</f>
        <v>1.24657</v>
      </c>
      <c r="S20" s="364">
        <v>-0.03</v>
      </c>
      <c r="T20" s="355">
        <v>-0.22</v>
      </c>
      <c r="U20" s="321"/>
    </row>
    <row r="21" spans="2:21" s="1" customFormat="1" ht="12.5">
      <c r="B21" s="205"/>
      <c r="C21" s="113"/>
      <c r="D21" s="197"/>
      <c r="E21" s="51"/>
      <c r="F21" s="273"/>
      <c r="G21" s="272"/>
      <c r="H21" s="271"/>
      <c r="I21" s="32"/>
      <c r="J21" s="334"/>
      <c r="K21" s="29"/>
      <c r="L21" s="357"/>
      <c r="M21" s="357" t="s">
        <v>124</v>
      </c>
      <c r="N21" s="29"/>
      <c r="O21" s="425"/>
      <c r="P21" s="212"/>
      <c r="Q21" s="32"/>
      <c r="R21" s="126"/>
      <c r="S21" s="29"/>
      <c r="T21" s="212"/>
      <c r="U21" s="322"/>
    </row>
    <row r="22" spans="2:21" s="1" customFormat="1" ht="13">
      <c r="B22" s="86"/>
      <c r="C22" s="87"/>
      <c r="D22" s="114"/>
      <c r="E22" s="81"/>
      <c r="F22" s="125"/>
      <c r="G22" s="191"/>
      <c r="H22" s="125"/>
      <c r="I22" s="40"/>
      <c r="J22" s="335"/>
      <c r="K22" s="40"/>
      <c r="L22" s="358"/>
      <c r="M22" s="358" t="s">
        <v>124</v>
      </c>
      <c r="N22" s="40"/>
      <c r="O22" s="358"/>
      <c r="P22" s="211"/>
      <c r="Q22" s="40"/>
      <c r="R22" s="125"/>
      <c r="S22" s="262"/>
      <c r="T22" s="211"/>
      <c r="U22" s="321"/>
    </row>
    <row r="23" spans="2:21" s="1" customFormat="1" ht="12.5">
      <c r="B23" s="79" t="str">
        <f>INDEX(PasT,11,PasLangID)&amp;INDEX(PasT,45,PasLangID)</f>
        <v>St@rt2B Fidelity (marginaal)</v>
      </c>
      <c r="C23" s="87"/>
      <c r="D23" s="108">
        <f>0.45+0.55*0.8</f>
        <v>0.89000000000000012</v>
      </c>
      <c r="E23" s="81">
        <v>2.7684920556598134</v>
      </c>
      <c r="F23" s="125">
        <f>E23-D23</f>
        <v>1.8784920556598133</v>
      </c>
      <c r="G23" s="277">
        <v>0.92570166133393761</v>
      </c>
      <c r="H23" s="125">
        <f>SUM(F23:G23)</f>
        <v>2.8041937169937508</v>
      </c>
      <c r="I23" s="358">
        <v>1.2699999999999999E-2</v>
      </c>
      <c r="J23" s="358" t="s">
        <v>107</v>
      </c>
      <c r="K23" s="358" t="s">
        <v>107</v>
      </c>
      <c r="L23" s="358">
        <v>-0.1227</v>
      </c>
      <c r="M23" s="358">
        <v>-2.0000000000000002E-5</v>
      </c>
      <c r="N23" s="358" t="s">
        <v>393</v>
      </c>
      <c r="O23" s="358" t="s">
        <v>393</v>
      </c>
      <c r="P23" s="211">
        <f>SUM(J23:O23)</f>
        <v>-0.12272000000000001</v>
      </c>
      <c r="Q23" s="358" t="s">
        <v>107</v>
      </c>
      <c r="R23" s="208">
        <f>SUM(H23:I23,P23:Q23)</f>
        <v>2.6941737169937507</v>
      </c>
      <c r="S23" s="364">
        <v>-0.03</v>
      </c>
      <c r="T23" s="355">
        <v>-0.22</v>
      </c>
      <c r="U23" s="321"/>
    </row>
    <row r="24" spans="2:21" s="1" customFormat="1" ht="12.5">
      <c r="B24" s="79" t="str">
        <f>INDEX(PasT,11,PasLangID)&amp;INDEX(PasT,44,PasLangID)</f>
        <v>St@rt2B Fidelity (gemiddeld)(*)</v>
      </c>
      <c r="C24" s="87"/>
      <c r="D24" s="108">
        <v>0.51</v>
      </c>
      <c r="E24" s="81">
        <v>1.1100000000000001</v>
      </c>
      <c r="F24" s="125">
        <f>E24-D24</f>
        <v>0.60000000000000009</v>
      </c>
      <c r="G24" s="277">
        <v>0.61</v>
      </c>
      <c r="H24" s="125">
        <f>SUM(F24:G24)</f>
        <v>1.21</v>
      </c>
      <c r="I24" s="358">
        <v>1.2699999999999999E-2</v>
      </c>
      <c r="J24" s="358" t="s">
        <v>107</v>
      </c>
      <c r="K24" s="358" t="s">
        <v>107</v>
      </c>
      <c r="L24" s="358">
        <v>-0.1227</v>
      </c>
      <c r="M24" s="358">
        <v>-2.0000000000000002E-5</v>
      </c>
      <c r="N24" s="358" t="s">
        <v>393</v>
      </c>
      <c r="O24" s="358" t="s">
        <v>393</v>
      </c>
      <c r="P24" s="211">
        <f>SUM(J24:O24)</f>
        <v>-0.12272000000000001</v>
      </c>
      <c r="Q24" s="358" t="s">
        <v>107</v>
      </c>
      <c r="R24" s="208">
        <f>SUM(H24:I24,P24:Q24)</f>
        <v>1.09998</v>
      </c>
      <c r="S24" s="364">
        <v>-0.03</v>
      </c>
      <c r="T24" s="355">
        <v>-0.22</v>
      </c>
      <c r="U24" s="321"/>
    </row>
    <row r="25" spans="2:21" s="1" customFormat="1" ht="12.5">
      <c r="B25" s="205"/>
      <c r="C25" s="113"/>
      <c r="D25" s="197"/>
      <c r="E25" s="51"/>
      <c r="F25" s="273"/>
      <c r="G25" s="272"/>
      <c r="H25" s="271"/>
      <c r="I25" s="32"/>
      <c r="J25" s="334"/>
      <c r="K25" s="29"/>
      <c r="L25" s="357"/>
      <c r="M25" s="357"/>
      <c r="N25" s="29"/>
      <c r="O25" s="425"/>
      <c r="P25" s="212"/>
      <c r="Q25" s="32"/>
      <c r="R25" s="126"/>
      <c r="S25" s="29"/>
      <c r="T25" s="212"/>
      <c r="U25" s="322"/>
    </row>
    <row r="26" spans="2:21" s="1" customFormat="1" ht="13">
      <c r="B26" s="86"/>
      <c r="C26" s="87"/>
      <c r="D26" s="114"/>
      <c r="E26" s="81"/>
      <c r="F26" s="125"/>
      <c r="G26" s="191"/>
      <c r="H26" s="125"/>
      <c r="I26" s="457"/>
      <c r="J26" s="457"/>
      <c r="K26" s="457"/>
      <c r="L26" s="457"/>
      <c r="M26" s="457" t="s">
        <v>124</v>
      </c>
      <c r="N26" s="457"/>
      <c r="O26" s="457"/>
      <c r="P26" s="211"/>
      <c r="Q26" s="457"/>
      <c r="R26" s="125"/>
      <c r="S26" s="457"/>
      <c r="T26" s="211"/>
      <c r="U26" s="321"/>
    </row>
    <row r="27" spans="2:21" s="1" customFormat="1" ht="12.5">
      <c r="B27" s="79" t="str">
        <f>INDEX(PasT,13,PasLangID)&amp;INDEX(PasT,45,PasLangID)</f>
        <v>St@rt2B Fidelity Plus (marginaal)</v>
      </c>
      <c r="C27" s="87"/>
      <c r="D27" s="108">
        <f>0.25+1.75*0.9</f>
        <v>1.825</v>
      </c>
      <c r="E27" s="81">
        <v>2.7684920556598134</v>
      </c>
      <c r="F27" s="125">
        <f>E27-D27</f>
        <v>0.94349205565981342</v>
      </c>
      <c r="G27" s="457">
        <v>0.92570166133393761</v>
      </c>
      <c r="H27" s="125">
        <f>SUM(F27:G27)</f>
        <v>1.8691937169937511</v>
      </c>
      <c r="I27" s="457">
        <v>1.2699999999999999E-2</v>
      </c>
      <c r="J27" s="457" t="s">
        <v>107</v>
      </c>
      <c r="K27" s="457" t="s">
        <v>107</v>
      </c>
      <c r="L27" s="457">
        <v>-0.1225</v>
      </c>
      <c r="M27" s="457">
        <v>-2.0000000000000002E-5</v>
      </c>
      <c r="N27" s="457" t="s">
        <v>393</v>
      </c>
      <c r="O27" s="457" t="s">
        <v>393</v>
      </c>
      <c r="P27" s="211">
        <f>SUM(J27:O27)</f>
        <v>-0.12252</v>
      </c>
      <c r="Q27" s="457" t="s">
        <v>107</v>
      </c>
      <c r="R27" s="208">
        <f>SUM(H27:I27,P27:Q27)</f>
        <v>1.7593737169937511</v>
      </c>
      <c r="S27" s="364">
        <v>-0.03</v>
      </c>
      <c r="T27" s="355">
        <v>-0.22</v>
      </c>
      <c r="U27" s="321"/>
    </row>
    <row r="28" spans="2:21" s="1" customFormat="1" ht="12.5">
      <c r="B28" s="79"/>
      <c r="C28" s="87"/>
      <c r="D28" s="108"/>
      <c r="E28" s="81"/>
      <c r="F28" s="125"/>
      <c r="G28" s="457"/>
      <c r="H28" s="125"/>
      <c r="I28" s="457"/>
      <c r="J28" s="457"/>
      <c r="K28" s="457"/>
      <c r="L28" s="457"/>
      <c r="M28" s="457"/>
      <c r="N28" s="457"/>
      <c r="O28" s="457"/>
      <c r="P28" s="211"/>
      <c r="Q28" s="457"/>
      <c r="R28" s="208"/>
      <c r="S28" s="364"/>
      <c r="T28" s="355"/>
      <c r="U28" s="321"/>
    </row>
    <row r="29" spans="2:21" s="1" customFormat="1" ht="12.5">
      <c r="B29" s="205"/>
      <c r="C29" s="113"/>
      <c r="D29" s="197"/>
      <c r="E29" s="51"/>
      <c r="F29" s="273"/>
      <c r="G29" s="272"/>
      <c r="H29" s="271"/>
      <c r="I29" s="32"/>
      <c r="J29" s="456"/>
      <c r="K29" s="456"/>
      <c r="L29" s="456"/>
      <c r="M29" s="456"/>
      <c r="N29" s="456"/>
      <c r="O29" s="456"/>
      <c r="P29" s="212"/>
      <c r="Q29" s="32"/>
      <c r="R29" s="126"/>
      <c r="S29" s="456"/>
      <c r="T29" s="212"/>
      <c r="U29" s="322"/>
    </row>
    <row r="30" spans="2:21" s="1" customFormat="1" ht="13">
      <c r="B30" s="161" t="str">
        <f>INDEX(PasT,12,PasLangID)</f>
        <v>Termijnrekeningen</v>
      </c>
      <c r="C30" s="87"/>
      <c r="D30" s="108"/>
      <c r="E30" s="81"/>
      <c r="F30" s="125"/>
      <c r="G30" s="191"/>
      <c r="H30" s="125"/>
      <c r="I30" s="40"/>
      <c r="J30" s="335"/>
      <c r="K30" s="40"/>
      <c r="L30" s="358"/>
      <c r="M30" s="358"/>
      <c r="N30" s="40"/>
      <c r="O30" s="358"/>
      <c r="P30" s="211"/>
      <c r="Q30" s="40"/>
      <c r="R30" s="125"/>
      <c r="S30" s="262"/>
      <c r="T30" s="211"/>
      <c r="U30" s="321"/>
    </row>
    <row r="31" spans="2:21" s="1" customFormat="1" ht="12.5">
      <c r="B31" s="97" t="str">
        <f>INDEX(PasT,56,PasLangID)</f>
        <v>TR 3 mnd</v>
      </c>
      <c r="C31" s="58"/>
      <c r="D31" s="109">
        <v>2.87</v>
      </c>
      <c r="E31" s="373">
        <f>or_3m</f>
        <v>3.7202999999999999</v>
      </c>
      <c r="F31" s="125">
        <f t="shared" ref="F31:F32" si="1">E31-D31</f>
        <v>0.85029999999999983</v>
      </c>
      <c r="G31" s="196">
        <v>-0.19020000000000001</v>
      </c>
      <c r="H31" s="125">
        <f t="shared" ref="H31:H32" si="2">SUM(F31:G31)</f>
        <v>0.6600999999999998</v>
      </c>
      <c r="I31" s="455" t="s">
        <v>107</v>
      </c>
      <c r="J31" s="455" t="s">
        <v>107</v>
      </c>
      <c r="K31" s="455">
        <v>-0.23760000000000001</v>
      </c>
      <c r="L31" s="455" t="s">
        <v>107</v>
      </c>
      <c r="M31" s="455">
        <v>-1.1639999999999999E-2</v>
      </c>
      <c r="N31" s="455" t="s">
        <v>393</v>
      </c>
      <c r="O31" s="455" t="s">
        <v>393</v>
      </c>
      <c r="P31" s="211">
        <f t="shared" ref="P31:P32" si="3">SUM(J31:O31)</f>
        <v>-0.24924000000000002</v>
      </c>
      <c r="Q31" s="455" t="s">
        <v>107</v>
      </c>
      <c r="R31" s="208">
        <f t="shared" ref="R31:R32" si="4">SUM(H31:I31,P31:Q31)</f>
        <v>0.41085999999999978</v>
      </c>
      <c r="S31" s="364">
        <v>0</v>
      </c>
      <c r="T31" s="355">
        <v>-0.22</v>
      </c>
      <c r="U31" s="321"/>
    </row>
    <row r="32" spans="2:21" s="1" customFormat="1" ht="12.5">
      <c r="B32" s="97" t="str">
        <f>INDEX(PasT,57,PasLangID)</f>
        <v>TR 6 mnd</v>
      </c>
      <c r="C32" s="58"/>
      <c r="D32" s="109">
        <v>3.01</v>
      </c>
      <c r="E32" s="373">
        <f>or_6m</f>
        <v>3.6198999999999999</v>
      </c>
      <c r="F32" s="125">
        <f t="shared" si="1"/>
        <v>0.60990000000000011</v>
      </c>
      <c r="G32" s="196">
        <v>-7.2499999999999995E-2</v>
      </c>
      <c r="H32" s="125">
        <f t="shared" si="2"/>
        <v>0.5374000000000001</v>
      </c>
      <c r="I32" s="455" t="s">
        <v>107</v>
      </c>
      <c r="J32" s="455" t="s">
        <v>107</v>
      </c>
      <c r="K32" s="458">
        <v>-0.23760000000000001</v>
      </c>
      <c r="L32" s="455" t="s">
        <v>107</v>
      </c>
      <c r="M32" s="455">
        <v>-1.1639999999999999E-2</v>
      </c>
      <c r="N32" s="455" t="s">
        <v>393</v>
      </c>
      <c r="O32" s="455" t="s">
        <v>393</v>
      </c>
      <c r="P32" s="211">
        <f t="shared" si="3"/>
        <v>-0.24924000000000002</v>
      </c>
      <c r="Q32" s="455" t="s">
        <v>107</v>
      </c>
      <c r="R32" s="208">
        <f t="shared" si="4"/>
        <v>0.28816000000000008</v>
      </c>
      <c r="S32" s="364">
        <v>0</v>
      </c>
      <c r="T32" s="355">
        <v>-0.22</v>
      </c>
      <c r="U32" s="321"/>
    </row>
    <row r="33" spans="2:21" s="1" customFormat="1" ht="12.5">
      <c r="B33" s="100" t="str">
        <f>INDEX(PasT,19,PasLangID)</f>
        <v>TR 1 jaar</v>
      </c>
      <c r="C33" s="58"/>
      <c r="D33" s="109">
        <v>3.2</v>
      </c>
      <c r="E33" s="373">
        <f>or_1j</f>
        <v>3.4342000000000001</v>
      </c>
      <c r="F33" s="125">
        <f>E33-D33</f>
        <v>0.23419999999999996</v>
      </c>
      <c r="G33" s="196">
        <v>0.1628</v>
      </c>
      <c r="H33" s="125">
        <f>SUM(F33:G33)</f>
        <v>0.39699999999999996</v>
      </c>
      <c r="I33" s="358" t="s">
        <v>107</v>
      </c>
      <c r="J33" s="358" t="s">
        <v>107</v>
      </c>
      <c r="K33" s="458">
        <v>-0.23760000000000001</v>
      </c>
      <c r="L33" s="358" t="s">
        <v>107</v>
      </c>
      <c r="M33" s="358">
        <v>-1.1639999999999999E-2</v>
      </c>
      <c r="N33" s="358" t="s">
        <v>393</v>
      </c>
      <c r="O33" s="358" t="s">
        <v>393</v>
      </c>
      <c r="P33" s="211">
        <f t="shared" si="0"/>
        <v>-0.24924000000000002</v>
      </c>
      <c r="Q33" s="358" t="s">
        <v>107</v>
      </c>
      <c r="R33" s="208">
        <f>SUM(H33:I33,P33:Q33)</f>
        <v>0.14775999999999995</v>
      </c>
      <c r="S33" s="364">
        <v>0</v>
      </c>
      <c r="T33" s="355">
        <v>-0.22</v>
      </c>
      <c r="U33" s="321"/>
    </row>
    <row r="34" spans="2:21" s="1" customFormat="1" ht="12.5">
      <c r="B34" s="97" t="str">
        <f>INDEX(PasT,20,PasLangID)</f>
        <v>TR 2 jaar</v>
      </c>
      <c r="C34" s="58"/>
      <c r="D34" s="109">
        <v>2</v>
      </c>
      <c r="E34" s="373">
        <f>or_2j</f>
        <v>3.0958000000000001</v>
      </c>
      <c r="F34" s="125">
        <f>E34-D34</f>
        <v>1.0958000000000001</v>
      </c>
      <c r="G34" s="196">
        <v>1.0253000000000001</v>
      </c>
      <c r="H34" s="125">
        <f t="shared" ref="H34:H42" si="5">SUM(F34:G34)</f>
        <v>2.1211000000000002</v>
      </c>
      <c r="I34" s="358" t="s">
        <v>107</v>
      </c>
      <c r="J34" s="358" t="s">
        <v>107</v>
      </c>
      <c r="K34" s="458">
        <v>-0.23760000000000001</v>
      </c>
      <c r="L34" s="358" t="s">
        <v>107</v>
      </c>
      <c r="M34" s="358">
        <v>-1.1639999999999999E-2</v>
      </c>
      <c r="N34" s="358" t="s">
        <v>393</v>
      </c>
      <c r="O34" s="358" t="s">
        <v>393</v>
      </c>
      <c r="P34" s="211">
        <f t="shared" si="0"/>
        <v>-0.24924000000000002</v>
      </c>
      <c r="Q34" s="358" t="s">
        <v>107</v>
      </c>
      <c r="R34" s="208">
        <f>SUM(H34:I34,P34:Q34)</f>
        <v>1.8718600000000003</v>
      </c>
      <c r="S34" s="364">
        <v>0</v>
      </c>
      <c r="T34" s="355">
        <v>-0.22</v>
      </c>
      <c r="U34" s="321"/>
    </row>
    <row r="35" spans="2:21" s="1" customFormat="1" ht="12.5">
      <c r="B35" s="97" t="str">
        <f>INDEX(PasT,21,PasLangID)</f>
        <v>TR 3 jaar</v>
      </c>
      <c r="C35" s="58"/>
      <c r="D35" s="109">
        <v>2.7</v>
      </c>
      <c r="E35" s="373">
        <f>or_3j</f>
        <v>2.8908999999999998</v>
      </c>
      <c r="F35" s="125">
        <f>E35-D35</f>
        <v>0.19089999999999963</v>
      </c>
      <c r="G35" s="196">
        <v>1.1952</v>
      </c>
      <c r="H35" s="125">
        <f t="shared" si="5"/>
        <v>1.3860999999999997</v>
      </c>
      <c r="I35" s="358" t="s">
        <v>107</v>
      </c>
      <c r="J35" s="358" t="s">
        <v>107</v>
      </c>
      <c r="K35" s="458">
        <v>-0.23760000000000001</v>
      </c>
      <c r="L35" s="358" t="s">
        <v>107</v>
      </c>
      <c r="M35" s="358">
        <v>-1.1639999999999999E-2</v>
      </c>
      <c r="N35" s="358" t="s">
        <v>393</v>
      </c>
      <c r="O35" s="358" t="s">
        <v>393</v>
      </c>
      <c r="P35" s="211">
        <f t="shared" si="0"/>
        <v>-0.24924000000000002</v>
      </c>
      <c r="Q35" s="358" t="s">
        <v>107</v>
      </c>
      <c r="R35" s="208">
        <f>SUM(H35:I35,P35:Q35)</f>
        <v>1.1368599999999995</v>
      </c>
      <c r="S35" s="364">
        <v>0</v>
      </c>
      <c r="T35" s="355">
        <v>-0.22</v>
      </c>
      <c r="U35" s="321"/>
    </row>
    <row r="36" spans="2:21" s="1" customFormat="1" ht="12.5">
      <c r="B36" s="97" t="str">
        <f>INDEX(PasT,53,PasLangID)</f>
        <v>TR 4 jaar</v>
      </c>
      <c r="C36" s="58"/>
      <c r="D36" s="109">
        <v>2.0499999999999998</v>
      </c>
      <c r="E36" s="373">
        <f>or_4j</f>
        <v>2.7627999999999999</v>
      </c>
      <c r="F36" s="125">
        <f t="shared" ref="F36:F42" si="6">E36-D36</f>
        <v>0.7128000000000001</v>
      </c>
      <c r="G36" s="196">
        <v>1.2892000000000001</v>
      </c>
      <c r="H36" s="125">
        <f t="shared" si="5"/>
        <v>2.0020000000000002</v>
      </c>
      <c r="I36" s="452" t="s">
        <v>107</v>
      </c>
      <c r="J36" s="452" t="s">
        <v>107</v>
      </c>
      <c r="K36" s="458">
        <v>-0.23760000000000001</v>
      </c>
      <c r="L36" s="452" t="s">
        <v>107</v>
      </c>
      <c r="M36" s="452">
        <v>-1.1639999999999999E-2</v>
      </c>
      <c r="N36" s="452" t="s">
        <v>393</v>
      </c>
      <c r="O36" s="452" t="s">
        <v>393</v>
      </c>
      <c r="P36" s="211">
        <f t="shared" ref="P36:P42" si="7">SUM(J36:O36)</f>
        <v>-0.24924000000000002</v>
      </c>
      <c r="Q36" s="452" t="s">
        <v>107</v>
      </c>
      <c r="R36" s="208">
        <f t="shared" ref="R36:R42" si="8">SUM(H36:I36,P36:Q36)</f>
        <v>1.7527600000000003</v>
      </c>
      <c r="S36" s="364">
        <v>0</v>
      </c>
      <c r="T36" s="355">
        <v>-0.22</v>
      </c>
      <c r="U36" s="321"/>
    </row>
    <row r="37" spans="2:21" s="1" customFormat="1" ht="12.75" customHeight="1">
      <c r="B37" s="97" t="str">
        <f>INDEX(PasT,22,PasLangID)</f>
        <v>TR 5 jaar</v>
      </c>
      <c r="C37" s="22"/>
      <c r="D37" s="109">
        <v>2.1</v>
      </c>
      <c r="E37" s="373">
        <f>or_5j</f>
        <v>2.6869000000000001</v>
      </c>
      <c r="F37" s="125">
        <f t="shared" si="6"/>
        <v>0.58689999999999998</v>
      </c>
      <c r="G37" s="196">
        <v>1.3594999999999999</v>
      </c>
      <c r="H37" s="125">
        <f t="shared" si="5"/>
        <v>1.9463999999999999</v>
      </c>
      <c r="I37" s="452" t="s">
        <v>107</v>
      </c>
      <c r="J37" s="452" t="s">
        <v>107</v>
      </c>
      <c r="K37" s="458">
        <v>-0.23760000000000001</v>
      </c>
      <c r="L37" s="452" t="s">
        <v>107</v>
      </c>
      <c r="M37" s="452">
        <v>-1.1639999999999999E-2</v>
      </c>
      <c r="N37" s="452" t="s">
        <v>393</v>
      </c>
      <c r="O37" s="452" t="s">
        <v>393</v>
      </c>
      <c r="P37" s="211">
        <f t="shared" si="7"/>
        <v>-0.24924000000000002</v>
      </c>
      <c r="Q37" s="452" t="s">
        <v>107</v>
      </c>
      <c r="R37" s="208">
        <f t="shared" si="8"/>
        <v>1.6971599999999998</v>
      </c>
      <c r="S37" s="364">
        <v>0</v>
      </c>
      <c r="T37" s="355">
        <v>-0.22</v>
      </c>
      <c r="U37" s="321"/>
    </row>
    <row r="38" spans="2:21" s="1" customFormat="1" ht="12.75" customHeight="1">
      <c r="B38" s="97" t="str">
        <f>INDEX(PasT,52,PasLangID)</f>
        <v>TR 6 jaar</v>
      </c>
      <c r="C38" s="22"/>
      <c r="D38" s="453">
        <v>2.25</v>
      </c>
      <c r="E38" s="373">
        <f>or_6j</f>
        <v>2.6442000000000001</v>
      </c>
      <c r="F38" s="125">
        <f t="shared" si="6"/>
        <v>0.39420000000000011</v>
      </c>
      <c r="G38" s="196">
        <v>1.4236</v>
      </c>
      <c r="H38" s="125">
        <f t="shared" si="5"/>
        <v>1.8178000000000001</v>
      </c>
      <c r="I38" s="452" t="s">
        <v>107</v>
      </c>
      <c r="J38" s="452" t="s">
        <v>107</v>
      </c>
      <c r="K38" s="458">
        <v>-0.23760000000000001</v>
      </c>
      <c r="L38" s="452" t="s">
        <v>107</v>
      </c>
      <c r="M38" s="452">
        <v>-1.1639999999999999E-2</v>
      </c>
      <c r="N38" s="452" t="s">
        <v>393</v>
      </c>
      <c r="O38" s="452" t="s">
        <v>393</v>
      </c>
      <c r="P38" s="211">
        <f t="shared" si="7"/>
        <v>-0.24924000000000002</v>
      </c>
      <c r="Q38" s="452" t="s">
        <v>107</v>
      </c>
      <c r="R38" s="208">
        <f t="shared" si="8"/>
        <v>1.5685600000000002</v>
      </c>
      <c r="S38" s="364">
        <v>0</v>
      </c>
      <c r="T38" s="355">
        <v>-0.22</v>
      </c>
      <c r="U38" s="321"/>
    </row>
    <row r="39" spans="2:21" s="1" customFormat="1" ht="12.75" customHeight="1">
      <c r="B39" s="97" t="str">
        <f>INDEX(PasT,23,PasLangID)</f>
        <v>TR 7 jaar</v>
      </c>
      <c r="C39" s="22"/>
      <c r="D39" s="109">
        <v>2.35</v>
      </c>
      <c r="E39" s="373">
        <f>or_7j</f>
        <v>2.6221000000000001</v>
      </c>
      <c r="F39" s="125">
        <f t="shared" si="6"/>
        <v>0.27210000000000001</v>
      </c>
      <c r="G39" s="196">
        <v>1.4753000000000001</v>
      </c>
      <c r="H39" s="125">
        <f t="shared" si="5"/>
        <v>1.7474000000000001</v>
      </c>
      <c r="I39" s="452" t="s">
        <v>107</v>
      </c>
      <c r="J39" s="452" t="s">
        <v>107</v>
      </c>
      <c r="K39" s="458">
        <v>-0.23760000000000001</v>
      </c>
      <c r="L39" s="452" t="s">
        <v>107</v>
      </c>
      <c r="M39" s="452">
        <v>-1.1639999999999999E-2</v>
      </c>
      <c r="N39" s="452" t="s">
        <v>393</v>
      </c>
      <c r="O39" s="452" t="s">
        <v>393</v>
      </c>
      <c r="P39" s="211">
        <f t="shared" si="7"/>
        <v>-0.24924000000000002</v>
      </c>
      <c r="Q39" s="452" t="s">
        <v>107</v>
      </c>
      <c r="R39" s="208">
        <f t="shared" si="8"/>
        <v>1.4981599999999999</v>
      </c>
      <c r="S39" s="364">
        <v>0</v>
      </c>
      <c r="T39" s="355">
        <v>-0.22</v>
      </c>
      <c r="U39" s="321"/>
    </row>
    <row r="40" spans="2:21" s="1" customFormat="1" ht="12.75" customHeight="1">
      <c r="B40" s="97" t="str">
        <f>INDEX(PasT,54,PasLangID)</f>
        <v>TR 8 jaar</v>
      </c>
      <c r="C40" s="22"/>
      <c r="D40" s="453">
        <v>2.8</v>
      </c>
      <c r="E40" s="373">
        <f>or_8j</f>
        <v>2.6160000000000001</v>
      </c>
      <c r="F40" s="125">
        <f t="shared" si="6"/>
        <v>-0.18399999999999972</v>
      </c>
      <c r="G40" s="196">
        <v>1.5198</v>
      </c>
      <c r="H40" s="125">
        <f t="shared" si="5"/>
        <v>1.3358000000000003</v>
      </c>
      <c r="I40" s="452" t="s">
        <v>107</v>
      </c>
      <c r="J40" s="452" t="s">
        <v>107</v>
      </c>
      <c r="K40" s="458">
        <v>-0.23760000000000001</v>
      </c>
      <c r="L40" s="452" t="s">
        <v>107</v>
      </c>
      <c r="M40" s="452">
        <v>-1.1639999999999999E-2</v>
      </c>
      <c r="N40" s="452" t="s">
        <v>393</v>
      </c>
      <c r="O40" s="452" t="s">
        <v>393</v>
      </c>
      <c r="P40" s="211">
        <f t="shared" si="7"/>
        <v>-0.24924000000000002</v>
      </c>
      <c r="Q40" s="452" t="s">
        <v>107</v>
      </c>
      <c r="R40" s="208">
        <f t="shared" si="8"/>
        <v>1.0865600000000004</v>
      </c>
      <c r="S40" s="364">
        <v>0</v>
      </c>
      <c r="T40" s="355">
        <v>-0.22</v>
      </c>
      <c r="U40" s="321"/>
    </row>
    <row r="41" spans="2:21" s="1" customFormat="1" ht="12.75" customHeight="1">
      <c r="B41" s="97" t="str">
        <f>INDEX(PasT,55,PasLangID)</f>
        <v>TR 9 jaar</v>
      </c>
      <c r="C41" s="22"/>
      <c r="D41" s="453">
        <v>2.4500000000000002</v>
      </c>
      <c r="E41" s="373">
        <f>or_9j</f>
        <v>2.6206</v>
      </c>
      <c r="F41" s="125">
        <f t="shared" si="6"/>
        <v>0.17059999999999986</v>
      </c>
      <c r="G41" s="196">
        <v>1.5554000000000001</v>
      </c>
      <c r="H41" s="125">
        <f t="shared" si="5"/>
        <v>1.726</v>
      </c>
      <c r="I41" s="452" t="s">
        <v>107</v>
      </c>
      <c r="J41" s="452" t="s">
        <v>107</v>
      </c>
      <c r="K41" s="458">
        <v>-0.23760000000000001</v>
      </c>
      <c r="L41" s="452" t="s">
        <v>107</v>
      </c>
      <c r="M41" s="452">
        <v>-1.1639999999999999E-2</v>
      </c>
      <c r="N41" s="452" t="s">
        <v>393</v>
      </c>
      <c r="O41" s="452" t="s">
        <v>393</v>
      </c>
      <c r="P41" s="211">
        <f t="shared" si="7"/>
        <v>-0.24924000000000002</v>
      </c>
      <c r="Q41" s="452" t="s">
        <v>107</v>
      </c>
      <c r="R41" s="208">
        <f t="shared" si="8"/>
        <v>1.4767600000000001</v>
      </c>
      <c r="S41" s="364">
        <v>0</v>
      </c>
      <c r="T41" s="355">
        <v>-0.22</v>
      </c>
      <c r="U41" s="321"/>
    </row>
    <row r="42" spans="2:21" s="1" customFormat="1" ht="12.75" customHeight="1">
      <c r="B42" s="97" t="str">
        <f>INDEX(PasT,24,PasLangID)</f>
        <v>TR 10 jaar</v>
      </c>
      <c r="C42" s="22"/>
      <c r="D42" s="109">
        <v>2.5499999999999998</v>
      </c>
      <c r="E42" s="373">
        <f>or_10j</f>
        <v>2.6316999999999999</v>
      </c>
      <c r="F42" s="125">
        <f t="shared" si="6"/>
        <v>8.1700000000000106E-2</v>
      </c>
      <c r="G42" s="196">
        <v>1.5921000000000001</v>
      </c>
      <c r="H42" s="125">
        <f t="shared" si="5"/>
        <v>1.6738000000000002</v>
      </c>
      <c r="I42" s="452" t="s">
        <v>107</v>
      </c>
      <c r="J42" s="452" t="s">
        <v>107</v>
      </c>
      <c r="K42" s="458">
        <v>-0.23760000000000001</v>
      </c>
      <c r="L42" s="452" t="s">
        <v>107</v>
      </c>
      <c r="M42" s="452">
        <v>-1.1639999999999999E-2</v>
      </c>
      <c r="N42" s="452" t="s">
        <v>393</v>
      </c>
      <c r="O42" s="452" t="s">
        <v>393</v>
      </c>
      <c r="P42" s="211">
        <f t="shared" si="7"/>
        <v>-0.24924000000000002</v>
      </c>
      <c r="Q42" s="452" t="s">
        <v>107</v>
      </c>
      <c r="R42" s="208">
        <f t="shared" si="8"/>
        <v>1.42456</v>
      </c>
      <c r="S42" s="364">
        <v>0</v>
      </c>
      <c r="T42" s="355">
        <v>-0.22</v>
      </c>
      <c r="U42" s="321"/>
    </row>
    <row r="43" spans="2:21" s="1" customFormat="1" ht="12.5">
      <c r="B43" s="97"/>
      <c r="C43" s="58"/>
      <c r="D43" s="109"/>
      <c r="E43" s="81"/>
      <c r="F43" s="338"/>
      <c r="G43" s="203"/>
      <c r="H43" s="339"/>
      <c r="I43" s="40"/>
      <c r="J43" s="335"/>
      <c r="K43" s="40"/>
      <c r="L43" s="358"/>
      <c r="M43" s="358"/>
      <c r="N43" s="40"/>
      <c r="O43" s="40"/>
      <c r="P43" s="211"/>
      <c r="Q43" s="41"/>
      <c r="R43" s="125"/>
      <c r="S43" s="262"/>
      <c r="T43" s="211"/>
      <c r="U43" s="321"/>
    </row>
    <row r="44" spans="2:21" s="1" customFormat="1" ht="12.75" hidden="1" customHeight="1" outlineLevel="1">
      <c r="B44" s="100"/>
      <c r="C44" s="58"/>
      <c r="D44" s="109"/>
      <c r="E44" s="81"/>
      <c r="F44" s="125"/>
      <c r="G44" s="191"/>
      <c r="H44" s="125"/>
      <c r="I44" s="40"/>
      <c r="J44" s="335"/>
      <c r="K44" s="40"/>
      <c r="L44" s="358"/>
      <c r="M44" s="358"/>
      <c r="N44" s="40"/>
      <c r="O44" s="40"/>
      <c r="P44" s="211"/>
      <c r="Q44" s="41"/>
      <c r="R44" s="125"/>
      <c r="S44" s="262"/>
      <c r="T44" s="211"/>
      <c r="U44" s="321"/>
    </row>
    <row r="45" spans="2:21" s="1" customFormat="1" ht="12.5" hidden="1" outlineLevel="1">
      <c r="B45" s="263" t="str">
        <f>INDEX(PasT,23,PasLangID)&amp;" Step-up"</f>
        <v>TR 7 jaar Step-up</v>
      </c>
      <c r="C45" s="264"/>
      <c r="D45" s="251"/>
      <c r="E45" s="81"/>
      <c r="F45" s="125">
        <f>E45-D45</f>
        <v>0</v>
      </c>
      <c r="G45" s="196"/>
      <c r="H45" s="125">
        <f>SUM(F45:G45)</f>
        <v>0</v>
      </c>
      <c r="I45" s="250"/>
      <c r="J45" s="335">
        <v>-0.27</v>
      </c>
      <c r="K45" s="262" t="s">
        <v>314</v>
      </c>
      <c r="L45" s="358"/>
      <c r="M45" s="358"/>
      <c r="N45" s="250">
        <v>-0.01</v>
      </c>
      <c r="O45" s="250">
        <v>-0.02</v>
      </c>
      <c r="P45" s="211">
        <f t="shared" ref="P45" si="9">SUM(J45:O45)</f>
        <v>-0.30000000000000004</v>
      </c>
      <c r="Q45" s="41"/>
      <c r="R45" s="208">
        <f>SUM(H45:I45,P45:Q45)</f>
        <v>-0.30000000000000004</v>
      </c>
      <c r="S45" s="262">
        <v>-0.1</v>
      </c>
      <c r="T45" s="211"/>
      <c r="U45" s="321"/>
    </row>
    <row r="46" spans="2:21" s="1" customFormat="1" ht="12.5" collapsed="1">
      <c r="B46" s="265"/>
      <c r="C46" s="266"/>
      <c r="D46" s="258"/>
      <c r="E46" s="261"/>
      <c r="F46" s="252"/>
      <c r="G46" s="253"/>
      <c r="H46" s="252"/>
      <c r="I46" s="254"/>
      <c r="J46" s="254"/>
      <c r="K46" s="254"/>
      <c r="L46" s="254"/>
      <c r="M46" s="254"/>
      <c r="N46" s="254"/>
      <c r="O46" s="254"/>
      <c r="P46" s="255"/>
      <c r="Q46" s="256"/>
      <c r="R46" s="257"/>
      <c r="S46" s="254"/>
      <c r="T46" s="254"/>
      <c r="U46" s="323"/>
    </row>
    <row r="47" spans="2:21" ht="12.75" customHeight="1">
      <c r="B47" s="199" t="str">
        <f>INDEX(PasT,50,PasLangID)</f>
        <v>(*) Tarief klant en funding is het gemiddelde op portefeuille van de vorige maand (maandcijfer).</v>
      </c>
    </row>
    <row r="52" spans="10:16" ht="12.75" customHeight="1">
      <c r="J52" s="360"/>
      <c r="M52" s="360"/>
      <c r="N52" s="360"/>
      <c r="O52" s="360"/>
      <c r="P52" s="361"/>
    </row>
    <row r="53" spans="10:16" ht="12.75" customHeight="1">
      <c r="M53" s="360"/>
      <c r="N53" s="360"/>
      <c r="O53" s="360"/>
      <c r="P53" s="361"/>
    </row>
    <row r="54" spans="10:16" ht="12.75" customHeight="1">
      <c r="M54" s="360"/>
      <c r="N54" s="360"/>
      <c r="O54" s="360"/>
      <c r="P54" s="361"/>
    </row>
    <row r="55" spans="10:16" ht="12.75" customHeight="1">
      <c r="M55" s="360"/>
      <c r="N55" s="360"/>
      <c r="O55" s="360"/>
      <c r="P55" s="361"/>
    </row>
    <row r="56" spans="10:16" ht="12.75" customHeight="1">
      <c r="M56" s="360"/>
      <c r="N56" s="360"/>
      <c r="O56" s="360"/>
      <c r="P56" s="361"/>
    </row>
    <row r="57" spans="10:16" ht="12.75" customHeight="1">
      <c r="M57" s="360"/>
      <c r="N57" s="360"/>
      <c r="O57" s="360"/>
      <c r="P57" s="361"/>
    </row>
    <row r="58" spans="10:16" ht="12.75" customHeight="1">
      <c r="M58" s="360"/>
      <c r="N58" s="360"/>
      <c r="O58" s="360"/>
      <c r="P58" s="361"/>
    </row>
    <row r="59" spans="10:16" ht="12.75" customHeight="1">
      <c r="M59" s="360"/>
      <c r="N59" s="360"/>
      <c r="O59" s="360"/>
      <c r="P59" s="361"/>
    </row>
    <row r="60" spans="10:16" ht="12.75" customHeight="1">
      <c r="M60" s="360"/>
      <c r="N60" s="360"/>
      <c r="O60" s="360"/>
      <c r="P60" s="361"/>
    </row>
    <row r="61" spans="10:16" ht="12.75" customHeight="1">
      <c r="M61" s="360"/>
      <c r="N61" s="360"/>
      <c r="O61" s="360"/>
      <c r="P61" s="361"/>
    </row>
    <row r="62" spans="10:16" ht="12.75" customHeight="1">
      <c r="M62" s="360"/>
      <c r="N62" s="360"/>
      <c r="O62" s="360"/>
      <c r="P62" s="361"/>
    </row>
    <row r="63" spans="10:16" ht="12.75" customHeight="1">
      <c r="M63" s="360"/>
      <c r="N63" s="360"/>
      <c r="O63" s="360"/>
      <c r="P63" s="361"/>
    </row>
    <row r="64" spans="10:16" ht="12.75" customHeight="1">
      <c r="M64" s="360"/>
      <c r="N64" s="360"/>
      <c r="O64" s="360"/>
      <c r="P64" s="361"/>
    </row>
    <row r="65" spans="13:16" ht="12.75" customHeight="1">
      <c r="M65" s="360"/>
      <c r="N65" s="360"/>
      <c r="O65" s="360"/>
      <c r="P65" s="361"/>
    </row>
    <row r="66" spans="13:16" ht="12.75" customHeight="1">
      <c r="M66" s="360"/>
      <c r="N66" s="360"/>
      <c r="O66" s="360"/>
      <c r="P66" s="361"/>
    </row>
    <row r="67" spans="13:16" ht="12.75" customHeight="1">
      <c r="M67" s="360"/>
      <c r="N67" s="360"/>
      <c r="O67" s="360"/>
      <c r="P67" s="361"/>
    </row>
    <row r="68" spans="13:16" ht="12.75" customHeight="1">
      <c r="M68" s="360"/>
      <c r="N68" s="360"/>
      <c r="O68" s="360"/>
      <c r="P68" s="361"/>
    </row>
    <row r="69" spans="13:16" ht="12.75" customHeight="1">
      <c r="M69" s="360"/>
      <c r="N69" s="360"/>
      <c r="O69" s="360"/>
      <c r="P69" s="361"/>
    </row>
    <row r="70" spans="13:16" ht="12.75" customHeight="1">
      <c r="M70" s="360"/>
      <c r="N70" s="360"/>
      <c r="O70" s="360"/>
      <c r="P70" s="361"/>
    </row>
    <row r="71" spans="13:16" ht="12.75" customHeight="1">
      <c r="M71" s="360"/>
      <c r="N71" s="360"/>
      <c r="O71" s="360"/>
      <c r="P71" s="361"/>
    </row>
    <row r="72" spans="13:16" ht="12.75" customHeight="1">
      <c r="M72" s="360"/>
      <c r="N72" s="360"/>
      <c r="O72" s="360"/>
      <c r="P72" s="361"/>
    </row>
    <row r="73" spans="13:16" ht="12.75" customHeight="1">
      <c r="M73" s="360"/>
      <c r="N73" s="360"/>
      <c r="O73" s="360"/>
      <c r="P73" s="361"/>
    </row>
    <row r="74" spans="13:16" ht="12.75" customHeight="1">
      <c r="M74" s="360"/>
      <c r="N74" s="360"/>
      <c r="O74" s="360"/>
      <c r="P74" s="361"/>
    </row>
    <row r="75" spans="13:16" ht="12.75" customHeight="1">
      <c r="M75" s="360"/>
      <c r="N75" s="360"/>
      <c r="O75" s="360"/>
      <c r="P75" s="361"/>
    </row>
    <row r="76" spans="13:16" ht="12.75" customHeight="1">
      <c r="M76" s="360"/>
      <c r="N76" s="360"/>
      <c r="O76" s="360"/>
      <c r="P76" s="361"/>
    </row>
    <row r="77" spans="13:16" ht="12.75" customHeight="1">
      <c r="M77" s="360"/>
      <c r="N77" s="360"/>
      <c r="O77" s="360"/>
      <c r="P77" s="361"/>
    </row>
    <row r="78" spans="13:16" ht="12.75" customHeight="1">
      <c r="M78" s="360"/>
      <c r="N78" s="360"/>
      <c r="O78" s="360"/>
      <c r="P78" s="361"/>
    </row>
    <row r="79" spans="13:16" ht="12.75" customHeight="1">
      <c r="M79" s="360"/>
      <c r="N79" s="360"/>
      <c r="O79" s="360"/>
      <c r="P79" s="361"/>
    </row>
    <row r="80" spans="13:16" ht="12.75" customHeight="1">
      <c r="M80" s="360"/>
      <c r="N80" s="360"/>
      <c r="O80" s="360"/>
      <c r="P80" s="361"/>
    </row>
    <row r="81" spans="13:16" ht="12.75" customHeight="1">
      <c r="M81" s="360"/>
      <c r="N81" s="360"/>
      <c r="O81" s="360"/>
      <c r="P81" s="361"/>
    </row>
    <row r="82" spans="13:16" ht="12.75" customHeight="1">
      <c r="M82" s="360"/>
      <c r="N82" s="360"/>
      <c r="O82" s="360"/>
    </row>
    <row r="83" spans="13:16" ht="12.75" customHeight="1">
      <c r="M83" s="360"/>
    </row>
    <row r="84" spans="13:16" ht="12.75" customHeight="1">
      <c r="M84" s="360"/>
    </row>
  </sheetData>
  <mergeCells count="8">
    <mergeCell ref="D3:D4"/>
    <mergeCell ref="E3:E4"/>
    <mergeCell ref="Q3:Q4"/>
    <mergeCell ref="R3:R5"/>
    <mergeCell ref="F3:F4"/>
    <mergeCell ref="G3:G4"/>
    <mergeCell ref="J3:O4"/>
    <mergeCell ref="P3:P4"/>
  </mergeCells>
  <phoneticPr fontId="3" type="noConversion"/>
  <conditionalFormatting sqref="H5">
    <cfRule type="cellIs" dxfId="1" priority="1" stopIfTrue="1" operator="lessThan">
      <formula>0</formula>
    </cfRule>
  </conditionalFormatting>
  <printOptions horizontalCentered="1"/>
  <pageMargins left="0.19685039370078741" right="0.19685039370078741" top="0.39370078740157483" bottom="0.39370078740157483" header="0.19685039370078741" footer="0.19685039370078741"/>
  <pageSetup paperSize="9" scale="55" orientation="landscape" r:id="rId1"/>
  <headerFooter alignWithMargins="0">
    <oddFooter>&amp;LReporting&amp;R&amp;D - &amp;8&amp;T&amp;C&amp;"Arial"&amp;10&amp;K000000&amp;F - &amp;A_x000D_&amp;1#&amp;"Calibri"&amp;10&amp;K000000Internal</oddFooter>
  </headerFooter>
  <drawing r:id="rId2"/>
  <legacyDrawing r:id="rId3"/>
  <controls>
    <mc:AlternateContent xmlns:mc="http://schemas.openxmlformats.org/markup-compatibility/2006">
      <mc:Choice Requires="x14">
        <control shapeId="20594" r:id="rId4" name="PasComboLang">
          <controlPr defaultSize="0" autoLine="0" linkedCell="T!G63" listFillRange="PasLangList" r:id="rId5">
            <anchor moveWithCells="1">
              <from>
                <xdr:col>19</xdr:col>
                <xdr:colOff>228600</xdr:colOff>
                <xdr:row>0</xdr:row>
                <xdr:rowOff>76200</xdr:rowOff>
              </from>
              <to>
                <xdr:col>20</xdr:col>
                <xdr:colOff>584200</xdr:colOff>
                <xdr:row>0</xdr:row>
                <xdr:rowOff>349250</xdr:rowOff>
              </to>
            </anchor>
          </controlPr>
        </control>
      </mc:Choice>
      <mc:Fallback>
        <control shapeId="20594" r:id="rId4" name="PasComboLang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04"/>
  <dimension ref="A1:AV1112"/>
  <sheetViews>
    <sheetView zoomScale="75" workbookViewId="0">
      <pane xSplit="2" ySplit="2" topLeftCell="C627" activePane="bottomRight" state="frozen"/>
      <selection pane="topRight" activeCell="C1" sqref="C1"/>
      <selection pane="bottomLeft" activeCell="A3" sqref="A3"/>
      <selection pane="bottomRight" activeCell="C651" sqref="C651"/>
    </sheetView>
  </sheetViews>
  <sheetFormatPr defaultRowHeight="12.75" customHeight="1"/>
  <cols>
    <col min="1" max="1" width="11.54296875" bestFit="1" customWidth="1"/>
    <col min="2" max="2" width="6.1796875" customWidth="1"/>
  </cols>
  <sheetData>
    <row r="1" spans="1:48" s="7" customFormat="1" ht="12.5">
      <c r="A1" s="11" t="s">
        <v>0</v>
      </c>
      <c r="B1" s="12" t="s">
        <v>1</v>
      </c>
      <c r="C1" s="13" t="s">
        <v>2</v>
      </c>
      <c r="D1" s="13" t="s">
        <v>90</v>
      </c>
      <c r="E1" s="13" t="s">
        <v>89</v>
      </c>
      <c r="F1" s="13" t="s">
        <v>88</v>
      </c>
      <c r="G1" s="13" t="s">
        <v>101</v>
      </c>
      <c r="H1" s="13" t="s">
        <v>91</v>
      </c>
      <c r="I1" s="13" t="s">
        <v>92</v>
      </c>
      <c r="J1" s="13" t="s">
        <v>93</v>
      </c>
      <c r="K1" s="13" t="s">
        <v>94</v>
      </c>
      <c r="L1" s="13" t="s">
        <v>95</v>
      </c>
      <c r="M1" s="13" t="s">
        <v>96</v>
      </c>
      <c r="N1" s="13" t="s">
        <v>97</v>
      </c>
      <c r="O1" s="13" t="s">
        <v>98</v>
      </c>
      <c r="P1" s="13" t="s">
        <v>99</v>
      </c>
      <c r="Q1" s="13" t="s">
        <v>100</v>
      </c>
      <c r="R1" s="13" t="s">
        <v>60</v>
      </c>
      <c r="S1" s="13" t="s">
        <v>61</v>
      </c>
      <c r="T1" s="13" t="s">
        <v>62</v>
      </c>
      <c r="U1" s="13" t="s">
        <v>63</v>
      </c>
      <c r="V1" s="13" t="s">
        <v>64</v>
      </c>
      <c r="W1" s="13" t="s">
        <v>65</v>
      </c>
      <c r="X1" s="13" t="s">
        <v>66</v>
      </c>
      <c r="Y1" s="13" t="s">
        <v>67</v>
      </c>
      <c r="Z1" s="13" t="s">
        <v>68</v>
      </c>
      <c r="AA1" s="13" t="s">
        <v>69</v>
      </c>
      <c r="AB1" s="13" t="s">
        <v>70</v>
      </c>
      <c r="AC1" s="13" t="s">
        <v>71</v>
      </c>
      <c r="AD1" s="13" t="s">
        <v>72</v>
      </c>
      <c r="AE1" s="13" t="s">
        <v>73</v>
      </c>
      <c r="AF1" s="13" t="s">
        <v>74</v>
      </c>
      <c r="AG1" s="13" t="s">
        <v>75</v>
      </c>
      <c r="AH1" s="13" t="s">
        <v>76</v>
      </c>
      <c r="AI1" s="13" t="s">
        <v>77</v>
      </c>
      <c r="AJ1" s="13" t="s">
        <v>78</v>
      </c>
      <c r="AK1" s="13" t="s">
        <v>79</v>
      </c>
      <c r="AL1" s="13" t="s">
        <v>80</v>
      </c>
      <c r="AM1" s="13" t="s">
        <v>81</v>
      </c>
      <c r="AN1" s="13" t="s">
        <v>82</v>
      </c>
      <c r="AO1" s="13" t="s">
        <v>83</v>
      </c>
      <c r="AP1" s="13" t="s">
        <v>84</v>
      </c>
      <c r="AQ1" s="13" t="s">
        <v>85</v>
      </c>
      <c r="AR1" s="13" t="s">
        <v>86</v>
      </c>
      <c r="AS1" s="13" t="s">
        <v>87</v>
      </c>
      <c r="AT1" s="13" t="s">
        <v>58</v>
      </c>
      <c r="AU1" s="13" t="s">
        <v>59</v>
      </c>
    </row>
    <row r="2" spans="1:48" s="7" customFormat="1" ht="12.5"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3" t="s">
        <v>20</v>
      </c>
      <c r="L2" s="13" t="s">
        <v>21</v>
      </c>
      <c r="M2" s="13" t="s">
        <v>22</v>
      </c>
      <c r="N2" s="13" t="s">
        <v>23</v>
      </c>
      <c r="O2" s="13" t="s">
        <v>24</v>
      </c>
      <c r="P2" s="13" t="s">
        <v>25</v>
      </c>
      <c r="Q2" s="13" t="s">
        <v>26</v>
      </c>
      <c r="R2" s="13" t="s">
        <v>27</v>
      </c>
      <c r="S2" s="13" t="s">
        <v>28</v>
      </c>
      <c r="T2" s="13" t="s">
        <v>29</v>
      </c>
      <c r="U2" s="13" t="s">
        <v>30</v>
      </c>
      <c r="V2" s="13" t="s">
        <v>31</v>
      </c>
      <c r="W2" s="13" t="s">
        <v>32</v>
      </c>
      <c r="X2" s="13" t="s">
        <v>33</v>
      </c>
      <c r="Y2" s="13" t="s">
        <v>34</v>
      </c>
      <c r="Z2" s="13" t="s">
        <v>35</v>
      </c>
      <c r="AA2" s="13" t="s">
        <v>36</v>
      </c>
      <c r="AB2" s="13" t="s">
        <v>37</v>
      </c>
      <c r="AC2" s="13" t="s">
        <v>38</v>
      </c>
      <c r="AD2" s="13" t="s">
        <v>39</v>
      </c>
      <c r="AE2" s="13" t="s">
        <v>40</v>
      </c>
      <c r="AF2" s="13" t="s">
        <v>41</v>
      </c>
      <c r="AG2" s="13" t="s">
        <v>42</v>
      </c>
      <c r="AH2" s="13" t="s">
        <v>43</v>
      </c>
      <c r="AI2" s="13" t="s">
        <v>44</v>
      </c>
      <c r="AJ2" s="13" t="s">
        <v>45</v>
      </c>
      <c r="AK2" s="13" t="s">
        <v>46</v>
      </c>
      <c r="AL2" s="13" t="s">
        <v>47</v>
      </c>
      <c r="AM2" s="13" t="s">
        <v>48</v>
      </c>
      <c r="AN2" s="13" t="s">
        <v>49</v>
      </c>
      <c r="AO2" s="13" t="s">
        <v>50</v>
      </c>
      <c r="AP2" s="13" t="s">
        <v>51</v>
      </c>
      <c r="AQ2" s="13" t="s">
        <v>52</v>
      </c>
      <c r="AR2" s="13" t="s">
        <v>53</v>
      </c>
      <c r="AS2" s="13" t="s">
        <v>54</v>
      </c>
      <c r="AT2" s="13" t="s">
        <v>55</v>
      </c>
      <c r="AU2" s="13" t="s">
        <v>56</v>
      </c>
    </row>
    <row r="3" spans="1:48" ht="12.75" customHeight="1">
      <c r="A3" s="459">
        <v>40914</v>
      </c>
      <c r="B3" s="139">
        <v>1</v>
      </c>
      <c r="C3" s="162">
        <v>0.62557142856946613</v>
      </c>
      <c r="D3" s="162">
        <v>0.62557142856946613</v>
      </c>
      <c r="E3" s="162">
        <v>0.62557142856946613</v>
      </c>
      <c r="F3" s="162">
        <v>0.71685714285350899</v>
      </c>
      <c r="G3" s="162">
        <v>0.98528571427907852</v>
      </c>
      <c r="H3" s="162">
        <v>1.1489999999903375</v>
      </c>
      <c r="I3" s="162">
        <v>1.3297142857066189</v>
      </c>
      <c r="J3" s="162">
        <v>1.4125714285640112</v>
      </c>
      <c r="K3" s="162">
        <v>1.4945714285609677</v>
      </c>
      <c r="L3" s="162">
        <v>1.5949999999970064</v>
      </c>
      <c r="M3" s="162">
        <v>1.6544285714189755</v>
      </c>
      <c r="N3" s="162">
        <v>1.7158571428527856</v>
      </c>
      <c r="O3" s="162">
        <v>1.7714285714215032</v>
      </c>
      <c r="P3" s="162">
        <v>1.8227142857109095</v>
      </c>
      <c r="Q3" s="162">
        <v>1.8732857142749708</v>
      </c>
      <c r="R3" s="162">
        <v>1.9265714285616662</v>
      </c>
      <c r="S3" s="162">
        <v>1.3017857142798934</v>
      </c>
      <c r="T3" s="162">
        <v>1.3682857142807083</v>
      </c>
      <c r="U3" s="162">
        <v>1.535499999987743</v>
      </c>
      <c r="V3" s="162">
        <v>1.7323571428506901</v>
      </c>
      <c r="W3" s="162">
        <v>1.9042857142755694</v>
      </c>
      <c r="X3" s="162">
        <v>2.0762142856962909</v>
      </c>
      <c r="Y3" s="162">
        <v>2.2027428571351004</v>
      </c>
      <c r="Z3" s="162">
        <v>2.3048142857026375</v>
      </c>
      <c r="AA3" s="162">
        <v>2.40019999998289</v>
      </c>
      <c r="AB3" s="162">
        <v>2.457971428562554</v>
      </c>
      <c r="AC3" s="162">
        <v>2.5157428571339029</v>
      </c>
      <c r="AD3" s="162">
        <v>2.5735142857052518</v>
      </c>
      <c r="AE3" s="162">
        <v>2.6312857142682851</v>
      </c>
      <c r="AF3" s="162">
        <v>2.6890571428396339</v>
      </c>
      <c r="AG3" s="162">
        <v>2.6932657142668694</v>
      </c>
      <c r="AH3" s="162">
        <v>2.6974742857065781</v>
      </c>
      <c r="AI3" s="162">
        <v>2.7016828571338136</v>
      </c>
      <c r="AJ3" s="162">
        <v>2.7058914285568916</v>
      </c>
      <c r="AK3" s="162">
        <v>2.7100999999841275</v>
      </c>
      <c r="AL3" s="162">
        <v>2.6971771428444686</v>
      </c>
      <c r="AM3" s="162">
        <v>2.6842542857048102</v>
      </c>
      <c r="AN3" s="162">
        <v>2.6713314285568357</v>
      </c>
      <c r="AO3" s="162">
        <v>2.6584085714088617</v>
      </c>
      <c r="AP3" s="162">
        <v>2.6454857142692032</v>
      </c>
      <c r="AQ3" s="162">
        <v>2.6311428571427928</v>
      </c>
      <c r="AR3" s="162">
        <v>2.6167999999999467</v>
      </c>
      <c r="AS3" s="162">
        <v>2.6024571428570846</v>
      </c>
      <c r="AT3" s="162">
        <v>2.5881142857142549</v>
      </c>
      <c r="AU3" s="162">
        <v>2.5737714285713764</v>
      </c>
      <c r="AV3" s="163"/>
    </row>
    <row r="4" spans="1:48" ht="12.75" customHeight="1">
      <c r="A4" s="459">
        <v>40921</v>
      </c>
      <c r="B4" s="139">
        <v>2</v>
      </c>
      <c r="C4" s="162">
        <v>0.51828571428424242</v>
      </c>
      <c r="D4" s="162">
        <v>0.51828571428424242</v>
      </c>
      <c r="E4" s="162">
        <v>0.51828571428424242</v>
      </c>
      <c r="F4" s="162">
        <v>0.61699999999733068</v>
      </c>
      <c r="G4" s="162">
        <v>0.8845714285655828</v>
      </c>
      <c r="H4" s="162">
        <v>1.0725714285612671</v>
      </c>
      <c r="I4" s="162">
        <v>1.2587142857082654</v>
      </c>
      <c r="J4" s="162">
        <v>1.3469999999922166</v>
      </c>
      <c r="K4" s="162">
        <v>1.4355714285671377</v>
      </c>
      <c r="L4" s="162">
        <v>1.5379999999921501</v>
      </c>
      <c r="M4" s="162">
        <v>1.6001428571388323</v>
      </c>
      <c r="N4" s="162">
        <v>1.6558571428467985</v>
      </c>
      <c r="O4" s="162">
        <v>1.7151428571315981</v>
      </c>
      <c r="P4" s="162">
        <v>1.7658571428473806</v>
      </c>
      <c r="Q4" s="162">
        <v>1.815857142850291</v>
      </c>
      <c r="R4" s="162">
        <v>1.867285714285182</v>
      </c>
      <c r="S4" s="162">
        <v>1.2411428571379344</v>
      </c>
      <c r="T4" s="162">
        <v>1.3027142857089138</v>
      </c>
      <c r="U4" s="162">
        <v>1.4620714285639613</v>
      </c>
      <c r="V4" s="162">
        <v>1.6603571428547312</v>
      </c>
      <c r="W4" s="162">
        <v>1.8291071428538999</v>
      </c>
      <c r="X4" s="162">
        <v>1.9978571428447529</v>
      </c>
      <c r="Y4" s="162">
        <v>2.125642857135972</v>
      </c>
      <c r="Z4" s="162">
        <v>2.2290428571328187</v>
      </c>
      <c r="AA4" s="162">
        <v>2.3212857142664558</v>
      </c>
      <c r="AB4" s="162">
        <v>2.3782514285578924</v>
      </c>
      <c r="AC4" s="162">
        <v>2.435217142845171</v>
      </c>
      <c r="AD4" s="162">
        <v>2.4921828571366076</v>
      </c>
      <c r="AE4" s="162">
        <v>2.5491485714155715</v>
      </c>
      <c r="AF4" s="162">
        <v>2.6061142857028501</v>
      </c>
      <c r="AG4" s="162">
        <v>2.608045714275379</v>
      </c>
      <c r="AH4" s="162">
        <v>2.6099771428395924</v>
      </c>
      <c r="AI4" s="162">
        <v>2.6119085714121213</v>
      </c>
      <c r="AJ4" s="162">
        <v>2.6138399999804927</v>
      </c>
      <c r="AK4" s="162">
        <v>2.6157714285571791</v>
      </c>
      <c r="AL4" s="162">
        <v>2.6019514285601741</v>
      </c>
      <c r="AM4" s="162">
        <v>2.5881314285548536</v>
      </c>
      <c r="AN4" s="162">
        <v>2.5743114285536906</v>
      </c>
      <c r="AO4" s="162">
        <v>2.56049142854837</v>
      </c>
      <c r="AP4" s="162">
        <v>2.5466714285638381</v>
      </c>
      <c r="AQ4" s="162">
        <v>2.531257142857076</v>
      </c>
      <c r="AR4" s="162">
        <v>2.5158428571427942</v>
      </c>
      <c r="AS4" s="162">
        <v>2.5004285714285124</v>
      </c>
      <c r="AT4" s="162">
        <v>2.4850142857142306</v>
      </c>
      <c r="AU4" s="162">
        <v>2.4695999999999327</v>
      </c>
      <c r="AV4" s="163"/>
    </row>
    <row r="5" spans="1:48" ht="12.75" customHeight="1">
      <c r="A5" s="459">
        <v>40928</v>
      </c>
      <c r="B5" s="139">
        <v>3</v>
      </c>
      <c r="C5" s="162">
        <v>0.45299999999822049</v>
      </c>
      <c r="D5" s="162">
        <v>0.45299999999822049</v>
      </c>
      <c r="E5" s="162">
        <v>0.45299999999822049</v>
      </c>
      <c r="F5" s="162">
        <v>0.55099999999531835</v>
      </c>
      <c r="G5" s="162">
        <v>0.80542857142323288</v>
      </c>
      <c r="H5" s="162">
        <v>1.0079999999953932</v>
      </c>
      <c r="I5" s="162">
        <v>1.2065714285646598</v>
      </c>
      <c r="J5" s="162">
        <v>1.2995714285622981</v>
      </c>
      <c r="K5" s="162">
        <v>1.3899999999931814</v>
      </c>
      <c r="L5" s="162">
        <v>1.4898571428514384</v>
      </c>
      <c r="M5" s="162">
        <v>1.5555714285624811</v>
      </c>
      <c r="N5" s="162">
        <v>1.6119999999895558</v>
      </c>
      <c r="O5" s="162">
        <v>1.6719999999893063</v>
      </c>
      <c r="P5" s="162">
        <v>1.7211428571400964</v>
      </c>
      <c r="Q5" s="162">
        <v>1.7711428571326124</v>
      </c>
      <c r="R5" s="162">
        <v>1.821142857133444</v>
      </c>
      <c r="S5" s="162">
        <v>1.2072714285646464</v>
      </c>
      <c r="T5" s="162">
        <v>1.2681142857098684</v>
      </c>
      <c r="U5" s="162">
        <v>1.4282142857077165</v>
      </c>
      <c r="V5" s="162">
        <v>1.6174714285610077</v>
      </c>
      <c r="W5" s="162">
        <v>1.788042857134964</v>
      </c>
      <c r="X5" s="162">
        <v>1.9586142857089206</v>
      </c>
      <c r="Y5" s="162">
        <v>2.0819428571183898</v>
      </c>
      <c r="Z5" s="162">
        <v>2.1872142856965571</v>
      </c>
      <c r="AA5" s="162">
        <v>2.2823571428348908</v>
      </c>
      <c r="AB5" s="162">
        <v>2.3393371428454492</v>
      </c>
      <c r="AC5" s="162">
        <v>2.396317142839377</v>
      </c>
      <c r="AD5" s="162">
        <v>2.4532971428457779</v>
      </c>
      <c r="AE5" s="162">
        <v>2.5102771428397057</v>
      </c>
      <c r="AF5" s="162">
        <v>2.5672571428461066</v>
      </c>
      <c r="AG5" s="162">
        <v>2.5706171428443794</v>
      </c>
      <c r="AH5" s="162">
        <v>2.5739771428426526</v>
      </c>
      <c r="AI5" s="162">
        <v>2.5773371428450833</v>
      </c>
      <c r="AJ5" s="162">
        <v>2.5806971428433565</v>
      </c>
      <c r="AK5" s="162">
        <v>2.5840571428457872</v>
      </c>
      <c r="AL5" s="162">
        <v>2.5713171428360511</v>
      </c>
      <c r="AM5" s="162">
        <v>2.5585771428387876</v>
      </c>
      <c r="AN5" s="162">
        <v>2.5458371428415245</v>
      </c>
      <c r="AO5" s="162">
        <v>2.533097142848419</v>
      </c>
      <c r="AP5" s="162">
        <v>2.5203571428345248</v>
      </c>
      <c r="AQ5" s="162">
        <v>2.5072571428570751</v>
      </c>
      <c r="AR5" s="162">
        <v>2.494157142857115</v>
      </c>
      <c r="AS5" s="162">
        <v>2.4810571428570904</v>
      </c>
      <c r="AT5" s="162">
        <v>2.4679571428570819</v>
      </c>
      <c r="AU5" s="162">
        <v>2.4548571428571222</v>
      </c>
      <c r="AV5" s="163"/>
    </row>
    <row r="6" spans="1:48" ht="12.75" customHeight="1">
      <c r="A6" s="459">
        <v>40935</v>
      </c>
      <c r="B6" s="139">
        <v>4</v>
      </c>
      <c r="C6" s="162">
        <v>0.4174285714257816</v>
      </c>
      <c r="D6" s="162">
        <v>0.4174285714257816</v>
      </c>
      <c r="E6" s="162">
        <v>0.4174285714257816</v>
      </c>
      <c r="F6" s="162">
        <v>0.50928571428084979</v>
      </c>
      <c r="G6" s="162">
        <v>0.74471428570957088</v>
      </c>
      <c r="H6" s="162">
        <v>0.9495714285679111</v>
      </c>
      <c r="I6" s="162">
        <v>1.1512857142785962</v>
      </c>
      <c r="J6" s="162">
        <v>1.2497142857069514</v>
      </c>
      <c r="K6" s="162">
        <v>1.3418571428545483</v>
      </c>
      <c r="L6" s="162">
        <v>1.4464285714223348</v>
      </c>
      <c r="M6" s="162">
        <v>1.5105714285683851</v>
      </c>
      <c r="N6" s="162">
        <v>1.568857142849343</v>
      </c>
      <c r="O6" s="162">
        <v>1.6281428571403791</v>
      </c>
      <c r="P6" s="162">
        <v>1.6787142857065191</v>
      </c>
      <c r="Q6" s="162">
        <v>1.7281428571337267</v>
      </c>
      <c r="R6" s="162">
        <v>1.7798571428491932</v>
      </c>
      <c r="S6" s="162">
        <v>1.1759428571365007</v>
      </c>
      <c r="T6" s="162">
        <v>1.2579999999870779</v>
      </c>
      <c r="U6" s="162">
        <v>1.4415714285652419</v>
      </c>
      <c r="V6" s="162">
        <v>1.6499285714214367</v>
      </c>
      <c r="W6" s="162">
        <v>1.8358928571376183</v>
      </c>
      <c r="X6" s="162">
        <v>2.021857142841327</v>
      </c>
      <c r="Y6" s="162">
        <v>2.1633571428454679</v>
      </c>
      <c r="Z6" s="162">
        <v>2.2779285714204889</v>
      </c>
      <c r="AA6" s="162">
        <v>2.3785714285539661</v>
      </c>
      <c r="AB6" s="162">
        <v>2.4395428571234721</v>
      </c>
      <c r="AC6" s="162">
        <v>2.5005142857054512</v>
      </c>
      <c r="AD6" s="162">
        <v>2.5614857142749572</v>
      </c>
      <c r="AE6" s="162">
        <v>2.6224571428444632</v>
      </c>
      <c r="AF6" s="162">
        <v>2.6834285714139696</v>
      </c>
      <c r="AG6" s="162">
        <v>2.687985714271365</v>
      </c>
      <c r="AH6" s="162">
        <v>2.6925428571246028</v>
      </c>
      <c r="AI6" s="162">
        <v>2.6970999999778411</v>
      </c>
      <c r="AJ6" s="162">
        <v>2.7016571428518672</v>
      </c>
      <c r="AK6" s="162">
        <v>2.7062142857009475</v>
      </c>
      <c r="AL6" s="162">
        <v>2.6960571428478159</v>
      </c>
      <c r="AM6" s="162">
        <v>2.6858999999905269</v>
      </c>
      <c r="AN6" s="162">
        <v>2.6757428571290802</v>
      </c>
      <c r="AO6" s="162">
        <v>2.6655857142759487</v>
      </c>
      <c r="AP6" s="162">
        <v>2.6554285714186592</v>
      </c>
      <c r="AQ6" s="162">
        <v>2.6430571428570926</v>
      </c>
      <c r="AR6" s="162">
        <v>2.6306857142856512</v>
      </c>
      <c r="AS6" s="162">
        <v>2.6183142857142583</v>
      </c>
      <c r="AT6" s="162">
        <v>2.6059428571428009</v>
      </c>
      <c r="AU6" s="162">
        <v>2.5935714285713596</v>
      </c>
      <c r="AV6" s="163"/>
    </row>
    <row r="7" spans="1:48" ht="12.75" customHeight="1">
      <c r="A7" s="459">
        <v>40942</v>
      </c>
      <c r="B7" s="139">
        <v>5</v>
      </c>
      <c r="C7" s="162">
        <v>0.39771428571319639</v>
      </c>
      <c r="D7" s="162">
        <v>0.39771428571319639</v>
      </c>
      <c r="E7" s="162">
        <v>0.39771428571319639</v>
      </c>
      <c r="F7" s="162">
        <v>0.48271428571284297</v>
      </c>
      <c r="G7" s="162">
        <v>0.70514285713995506</v>
      </c>
      <c r="H7" s="162">
        <v>0.91199999999766335</v>
      </c>
      <c r="I7" s="162">
        <v>1.1189999999935805</v>
      </c>
      <c r="J7" s="162">
        <v>1.2158571428507066</v>
      </c>
      <c r="K7" s="162">
        <v>1.3095714285674538</v>
      </c>
      <c r="L7" s="162">
        <v>1.41257142856609</v>
      </c>
      <c r="M7" s="162">
        <v>1.4809999999914516</v>
      </c>
      <c r="N7" s="162">
        <v>1.5389999999918342</v>
      </c>
      <c r="O7" s="162">
        <v>1.5995714285631297</v>
      </c>
      <c r="P7" s="162">
        <v>1.6492857142771493</v>
      </c>
      <c r="Q7" s="162">
        <v>1.697714285704673</v>
      </c>
      <c r="R7" s="162">
        <v>1.7485714285638614</v>
      </c>
      <c r="S7" s="162">
        <v>1.1388571428480125</v>
      </c>
      <c r="T7" s="162">
        <v>1.1960714285648593</v>
      </c>
      <c r="U7" s="162">
        <v>1.3595714285662064</v>
      </c>
      <c r="V7" s="162">
        <v>1.5563999999909095</v>
      </c>
      <c r="W7" s="162">
        <v>1.7357357142796639</v>
      </c>
      <c r="X7" s="162">
        <v>1.9150714285663395</v>
      </c>
      <c r="Y7" s="162">
        <v>2.0543571428362544</v>
      </c>
      <c r="Z7" s="162">
        <v>2.1728285714094193</v>
      </c>
      <c r="AA7" s="162">
        <v>2.2727857142661896</v>
      </c>
      <c r="AB7" s="162">
        <v>2.3365428571331512</v>
      </c>
      <c r="AC7" s="162">
        <v>2.4002999999876398</v>
      </c>
      <c r="AD7" s="162">
        <v>2.4640571428421283</v>
      </c>
      <c r="AE7" s="162">
        <v>2.5278142856924593</v>
      </c>
      <c r="AF7" s="162">
        <v>2.5915714285635785</v>
      </c>
      <c r="AG7" s="162">
        <v>2.5987999999820852</v>
      </c>
      <c r="AH7" s="162">
        <v>2.6060285714172222</v>
      </c>
      <c r="AI7" s="162">
        <v>2.613257142835729</v>
      </c>
      <c r="AJ7" s="162">
        <v>2.620485714275024</v>
      </c>
      <c r="AK7" s="162">
        <v>2.6277142857060034</v>
      </c>
      <c r="AL7" s="162">
        <v>2.617165714269504</v>
      </c>
      <c r="AM7" s="162">
        <v>2.6066171428413196</v>
      </c>
      <c r="AN7" s="162">
        <v>2.5960685714172929</v>
      </c>
      <c r="AO7" s="162">
        <v>2.5855199999891085</v>
      </c>
      <c r="AP7" s="162">
        <v>2.5749714285650822</v>
      </c>
      <c r="AQ7" s="162">
        <v>2.5625628571428121</v>
      </c>
      <c r="AR7" s="162">
        <v>2.5501542857142079</v>
      </c>
      <c r="AS7" s="162">
        <v>2.5377457142856685</v>
      </c>
      <c r="AT7" s="162">
        <v>2.5253371428571296</v>
      </c>
      <c r="AU7" s="162">
        <v>2.512928571428509</v>
      </c>
      <c r="AV7" s="163"/>
    </row>
    <row r="8" spans="1:48" ht="12.75" customHeight="1">
      <c r="A8" s="459">
        <v>40949</v>
      </c>
      <c r="B8" s="139">
        <v>6</v>
      </c>
      <c r="C8" s="162">
        <v>0.378571428570597</v>
      </c>
      <c r="D8" s="162">
        <v>0.378571428570597</v>
      </c>
      <c r="E8" s="162">
        <v>0.378571428570597</v>
      </c>
      <c r="F8" s="162">
        <v>0.45285714285637368</v>
      </c>
      <c r="G8" s="162">
        <v>0.65699999999716441</v>
      </c>
      <c r="H8" s="162">
        <v>0.86771428570812392</v>
      </c>
      <c r="I8" s="162">
        <v>1.0789999999937467</v>
      </c>
      <c r="J8" s="162">
        <v>1.1767142857050721</v>
      </c>
      <c r="K8" s="162">
        <v>1.2707142857023945</v>
      </c>
      <c r="L8" s="162">
        <v>1.3777142857080824</v>
      </c>
      <c r="M8" s="162">
        <v>1.4452857142750872</v>
      </c>
      <c r="N8" s="162">
        <v>1.503571428568518</v>
      </c>
      <c r="O8" s="162">
        <v>1.5629999999925659</v>
      </c>
      <c r="P8" s="162">
        <v>1.6105714285679693</v>
      </c>
      <c r="Q8" s="162">
        <v>1.6598571428538498</v>
      </c>
      <c r="R8" s="162">
        <v>1.7107142857047228</v>
      </c>
      <c r="S8" s="162">
        <v>1.1583857142769765</v>
      </c>
      <c r="T8" s="162">
        <v>1.2453571428528187</v>
      </c>
      <c r="U8" s="162">
        <v>1.4189714285686412</v>
      </c>
      <c r="V8" s="162">
        <v>1.6269999999931315</v>
      </c>
      <c r="W8" s="162">
        <v>1.8144999999910525</v>
      </c>
      <c r="X8" s="162">
        <v>2.0019999999868947</v>
      </c>
      <c r="Y8" s="162">
        <v>2.1481428571278229</v>
      </c>
      <c r="Z8" s="162">
        <v>2.2728571428493263</v>
      </c>
      <c r="AA8" s="162">
        <v>2.3789285714155994</v>
      </c>
      <c r="AB8" s="162">
        <v>2.4449999999861962</v>
      </c>
      <c r="AC8" s="162">
        <v>2.5110714285526354</v>
      </c>
      <c r="AD8" s="162">
        <v>2.5771428571315482</v>
      </c>
      <c r="AE8" s="162">
        <v>2.6432142856979874</v>
      </c>
      <c r="AF8" s="162">
        <v>2.7092857142685842</v>
      </c>
      <c r="AG8" s="162">
        <v>2.7162085714184543</v>
      </c>
      <c r="AH8" s="162">
        <v>2.7231314285600092</v>
      </c>
      <c r="AI8" s="162">
        <v>2.7300542856932482</v>
      </c>
      <c r="AJ8" s="162">
        <v>2.7369771428348031</v>
      </c>
      <c r="AK8" s="162">
        <v>2.7438999999888307</v>
      </c>
      <c r="AL8" s="162">
        <v>2.7351199999933926</v>
      </c>
      <c r="AM8" s="162">
        <v>2.7263399999937974</v>
      </c>
      <c r="AN8" s="162">
        <v>2.7175599999858862</v>
      </c>
      <c r="AO8" s="162">
        <v>2.7087799999904485</v>
      </c>
      <c r="AP8" s="162">
        <v>2.6999999999866953</v>
      </c>
      <c r="AQ8" s="162">
        <v>2.6878428571428032</v>
      </c>
      <c r="AR8" s="162">
        <v>2.6756857142856916</v>
      </c>
      <c r="AS8" s="162">
        <v>2.6635285714285306</v>
      </c>
      <c r="AT8" s="162">
        <v>2.6513714285713537</v>
      </c>
      <c r="AU8" s="162">
        <v>2.6392142857142256</v>
      </c>
      <c r="AV8" s="163"/>
    </row>
    <row r="9" spans="1:48" ht="12.75" customHeight="1">
      <c r="A9" s="459">
        <v>40956</v>
      </c>
      <c r="B9" s="139">
        <v>7</v>
      </c>
      <c r="C9" s="162">
        <v>0.37185714285650256</v>
      </c>
      <c r="D9" s="162">
        <v>0.37185714285650256</v>
      </c>
      <c r="E9" s="162">
        <v>0.37185714285650256</v>
      </c>
      <c r="F9" s="162">
        <v>0.43285714285437799</v>
      </c>
      <c r="G9" s="162">
        <v>0.62157142856761172</v>
      </c>
      <c r="H9" s="162">
        <v>0.83128571428200559</v>
      </c>
      <c r="I9" s="162">
        <v>1.046714285708731</v>
      </c>
      <c r="J9" s="162">
        <v>1.1445714285634623</v>
      </c>
      <c r="K9" s="162">
        <v>1.2374285714239313</v>
      </c>
      <c r="L9" s="162">
        <v>1.3464285714206716</v>
      </c>
      <c r="M9" s="162">
        <v>1.4132857142831199</v>
      </c>
      <c r="N9" s="162">
        <v>1.4739999999915847</v>
      </c>
      <c r="O9" s="162">
        <v>1.5282857142738067</v>
      </c>
      <c r="P9" s="162">
        <v>1.5755714285665556</v>
      </c>
      <c r="Q9" s="162">
        <v>1.6234285714183767</v>
      </c>
      <c r="R9" s="162">
        <v>1.6769999999918841</v>
      </c>
      <c r="S9" s="162">
        <v>1.166428571423499</v>
      </c>
      <c r="T9" s="162">
        <v>1.2335714285623647</v>
      </c>
      <c r="U9" s="162">
        <v>1.3906428571353899</v>
      </c>
      <c r="V9" s="162">
        <v>1.5852857142786627</v>
      </c>
      <c r="W9" s="162">
        <v>1.7662499999922665</v>
      </c>
      <c r="X9" s="162">
        <v>1.9472142857058705</v>
      </c>
      <c r="Y9" s="162">
        <v>2.0867857142709125</v>
      </c>
      <c r="Z9" s="162">
        <v>2.2078571428428404</v>
      </c>
      <c r="AA9" s="162">
        <v>2.313142857131814</v>
      </c>
      <c r="AB9" s="162">
        <v>2.3774285714067185</v>
      </c>
      <c r="AC9" s="162">
        <v>2.4417142857024112</v>
      </c>
      <c r="AD9" s="162">
        <v>2.5059999999856308</v>
      </c>
      <c r="AE9" s="162">
        <v>2.570285714273008</v>
      </c>
      <c r="AF9" s="162">
        <v>2.63457142855207</v>
      </c>
      <c r="AG9" s="162">
        <v>2.6417142856932641</v>
      </c>
      <c r="AH9" s="162">
        <v>2.6488571428469312</v>
      </c>
      <c r="AI9" s="162">
        <v>2.6559999999839676</v>
      </c>
      <c r="AJ9" s="162">
        <v>2.6631428571251616</v>
      </c>
      <c r="AK9" s="162">
        <v>2.6702857142663561</v>
      </c>
      <c r="AL9" s="162">
        <v>2.6612142856964573</v>
      </c>
      <c r="AM9" s="162">
        <v>2.6521428571307166</v>
      </c>
      <c r="AN9" s="162">
        <v>2.6430714285525028</v>
      </c>
      <c r="AO9" s="162">
        <v>2.6339999999784465</v>
      </c>
      <c r="AP9" s="162">
        <v>2.6249285714168633</v>
      </c>
      <c r="AQ9" s="162">
        <v>2.6124714285713901</v>
      </c>
      <c r="AR9" s="162">
        <v>2.6000142857142237</v>
      </c>
      <c r="AS9" s="162">
        <v>2.5875571428570567</v>
      </c>
      <c r="AT9" s="162">
        <v>2.5750999999999067</v>
      </c>
      <c r="AU9" s="162">
        <v>2.562642857142805</v>
      </c>
      <c r="AV9" s="163"/>
    </row>
    <row r="10" spans="1:48" ht="12.75" customHeight="1">
      <c r="A10" s="459">
        <v>40963</v>
      </c>
      <c r="B10" s="139">
        <v>8</v>
      </c>
      <c r="C10" s="162">
        <v>0.36214285714023775</v>
      </c>
      <c r="D10" s="162">
        <v>0.36214285714023775</v>
      </c>
      <c r="E10" s="162">
        <v>0.36214285714023775</v>
      </c>
      <c r="F10" s="162">
        <v>0.41799999999784632</v>
      </c>
      <c r="G10" s="162">
        <v>0.59214285714032089</v>
      </c>
      <c r="H10" s="162">
        <v>0.79657142856636443</v>
      </c>
      <c r="I10" s="162">
        <v>1.0157142857081323</v>
      </c>
      <c r="J10" s="162">
        <v>1.1132857142781305</v>
      </c>
      <c r="K10" s="162">
        <v>1.206571428560502</v>
      </c>
      <c r="L10" s="162">
        <v>1.3108571428497919</v>
      </c>
      <c r="M10" s="162">
        <v>1.3767142857125561</v>
      </c>
      <c r="N10" s="162">
        <v>1.4377142857057541</v>
      </c>
      <c r="O10" s="162">
        <v>1.4925714285678362</v>
      </c>
      <c r="P10" s="162">
        <v>1.5399999999915182</v>
      </c>
      <c r="Q10" s="162">
        <v>1.5885714285645267</v>
      </c>
      <c r="R10" s="162">
        <v>1.6439999999939963</v>
      </c>
      <c r="S10" s="162">
        <v>1.1773571428514384</v>
      </c>
      <c r="T10" s="162">
        <v>1.2603571428460001</v>
      </c>
      <c r="U10" s="162">
        <v>1.419714285707284</v>
      </c>
      <c r="V10" s="162">
        <v>1.6124285714218525</v>
      </c>
      <c r="W10" s="162">
        <v>1.7897499999921169</v>
      </c>
      <c r="X10" s="162">
        <v>1.9670714285603026</v>
      </c>
      <c r="Y10" s="162">
        <v>2.1152142857109926</v>
      </c>
      <c r="Z10" s="162">
        <v>2.23042857141367</v>
      </c>
      <c r="AA10" s="162">
        <v>2.3313571428464326</v>
      </c>
      <c r="AB10" s="162">
        <v>2.3947285714218323</v>
      </c>
      <c r="AC10" s="162">
        <v>2.4580999999889173</v>
      </c>
      <c r="AD10" s="162">
        <v>2.5214714285643169</v>
      </c>
      <c r="AE10" s="162">
        <v>2.5848428571314015</v>
      </c>
      <c r="AF10" s="162">
        <v>2.6482142857068016</v>
      </c>
      <c r="AG10" s="162">
        <v>2.6561857142743452</v>
      </c>
      <c r="AH10" s="162">
        <v>2.6641571428377313</v>
      </c>
      <c r="AI10" s="162">
        <v>2.6721285714052749</v>
      </c>
      <c r="AJ10" s="162">
        <v>2.6800999999894493</v>
      </c>
      <c r="AK10" s="162">
        <v>2.6880714285569929</v>
      </c>
      <c r="AL10" s="162">
        <v>2.679157142839228</v>
      </c>
      <c r="AM10" s="162">
        <v>2.6702428571214631</v>
      </c>
      <c r="AN10" s="162">
        <v>2.6613285714161714</v>
      </c>
      <c r="AO10" s="162">
        <v>2.6524142857025641</v>
      </c>
      <c r="AP10" s="162">
        <v>2.6434999999806417</v>
      </c>
      <c r="AQ10" s="162">
        <v>2.6320285714285285</v>
      </c>
      <c r="AR10" s="162">
        <v>2.6205571428571046</v>
      </c>
      <c r="AS10" s="162">
        <v>2.6090857142856487</v>
      </c>
      <c r="AT10" s="162">
        <v>2.5976142857142248</v>
      </c>
      <c r="AU10" s="162">
        <v>2.5861428571428178</v>
      </c>
      <c r="AV10" s="163"/>
    </row>
    <row r="11" spans="1:48" ht="12.75" customHeight="1">
      <c r="A11" s="459">
        <v>40970</v>
      </c>
      <c r="B11" s="139">
        <v>9</v>
      </c>
      <c r="C11" s="162">
        <v>0.35371428571254776</v>
      </c>
      <c r="D11" s="162">
        <v>0.35371428571254776</v>
      </c>
      <c r="E11" s="162">
        <v>0.35371428571254776</v>
      </c>
      <c r="F11" s="162">
        <v>0.40142857142771909</v>
      </c>
      <c r="G11" s="162">
        <v>0.56171428571230664</v>
      </c>
      <c r="H11" s="162">
        <v>0.76285714285456507</v>
      </c>
      <c r="I11" s="162">
        <v>0.98057142856643098</v>
      </c>
      <c r="J11" s="162">
        <v>1.0802857142760849</v>
      </c>
      <c r="K11" s="162">
        <v>1.1769999999918841</v>
      </c>
      <c r="L11" s="162">
        <v>1.2778571428498253</v>
      </c>
      <c r="M11" s="162">
        <v>1.3414285714201728</v>
      </c>
      <c r="N11" s="162">
        <v>1.404428571423133</v>
      </c>
      <c r="O11" s="162">
        <v>1.4594285714203059</v>
      </c>
      <c r="P11" s="162">
        <v>1.5084285714193746</v>
      </c>
      <c r="Q11" s="162">
        <v>1.5591428571351571</v>
      </c>
      <c r="R11" s="162">
        <v>1.6115714285614167</v>
      </c>
      <c r="S11" s="162">
        <v>1.1098857142787892</v>
      </c>
      <c r="T11" s="162">
        <v>1.205299999993128</v>
      </c>
      <c r="U11" s="162">
        <v>1.3677857142798269</v>
      </c>
      <c r="V11" s="162">
        <v>1.5540285714211806</v>
      </c>
      <c r="W11" s="162">
        <v>1.7336071428497752</v>
      </c>
      <c r="X11" s="162">
        <v>1.9131857142742124</v>
      </c>
      <c r="Y11" s="162">
        <v>2.0554571428344515</v>
      </c>
      <c r="Z11" s="162">
        <v>2.1699714285496157</v>
      </c>
      <c r="AA11" s="162">
        <v>2.2726285714098982</v>
      </c>
      <c r="AB11" s="162">
        <v>2.3340742857045758</v>
      </c>
      <c r="AC11" s="162">
        <v>2.3955199999784651</v>
      </c>
      <c r="AD11" s="162">
        <v>2.4569657142731427</v>
      </c>
      <c r="AE11" s="162">
        <v>2.5184114285595047</v>
      </c>
      <c r="AF11" s="162">
        <v>2.5798571428417092</v>
      </c>
      <c r="AG11" s="162">
        <v>2.5897428571313084</v>
      </c>
      <c r="AH11" s="162">
        <v>2.599628571420908</v>
      </c>
      <c r="AI11" s="162">
        <v>2.609514285698034</v>
      </c>
      <c r="AJ11" s="162">
        <v>2.6193999999876332</v>
      </c>
      <c r="AK11" s="162">
        <v>2.6292857142730748</v>
      </c>
      <c r="AL11" s="162">
        <v>2.6199571428421349</v>
      </c>
      <c r="AM11" s="162">
        <v>2.610628571415353</v>
      </c>
      <c r="AN11" s="162">
        <v>2.6012999999885711</v>
      </c>
      <c r="AO11" s="162">
        <v>2.5919714285534736</v>
      </c>
      <c r="AP11" s="162">
        <v>2.5826428571266917</v>
      </c>
      <c r="AQ11" s="162">
        <v>2.5732742857142057</v>
      </c>
      <c r="AR11" s="162">
        <v>2.5639057142856894</v>
      </c>
      <c r="AS11" s="162">
        <v>2.5545371428570918</v>
      </c>
      <c r="AT11" s="162">
        <v>2.545168571428543</v>
      </c>
      <c r="AU11" s="162">
        <v>2.5357999999999619</v>
      </c>
      <c r="AV11" s="163"/>
    </row>
    <row r="12" spans="1:48" ht="12.75" customHeight="1">
      <c r="A12" s="459">
        <v>40977</v>
      </c>
      <c r="B12" s="139">
        <v>10</v>
      </c>
      <c r="C12" s="162">
        <v>0.32271428571298849</v>
      </c>
      <c r="D12" s="162">
        <v>0.32271428571298849</v>
      </c>
      <c r="E12" s="162">
        <v>0.32271428571298849</v>
      </c>
      <c r="F12" s="162">
        <v>0.360285714283756</v>
      </c>
      <c r="G12" s="162">
        <v>0.50542857142551967</v>
      </c>
      <c r="H12" s="162">
        <v>0.70271428571140859</v>
      </c>
      <c r="I12" s="162">
        <v>0.91357142856577411</v>
      </c>
      <c r="J12" s="162">
        <v>1.0229999999948112</v>
      </c>
      <c r="K12" s="162">
        <v>1.1212857142797603</v>
      </c>
      <c r="L12" s="162">
        <v>1.2221428571356228</v>
      </c>
      <c r="M12" s="162">
        <v>1.2894285714220521</v>
      </c>
      <c r="N12" s="162">
        <v>1.3491428571349906</v>
      </c>
      <c r="O12" s="162">
        <v>1.4034285714234491</v>
      </c>
      <c r="P12" s="162">
        <v>1.45128571427527</v>
      </c>
      <c r="Q12" s="162">
        <v>1.5017142857063195</v>
      </c>
      <c r="R12" s="162">
        <v>1.5534285714176284</v>
      </c>
      <c r="S12" s="162">
        <v>1.0619285714222184</v>
      </c>
      <c r="T12" s="162">
        <v>1.1582857142805421</v>
      </c>
      <c r="U12" s="162">
        <v>1.3287857142796773</v>
      </c>
      <c r="V12" s="162">
        <v>1.5195714285634623</v>
      </c>
      <c r="W12" s="162">
        <v>1.7020714285650422</v>
      </c>
      <c r="X12" s="162">
        <v>1.8845714285645434</v>
      </c>
      <c r="Y12" s="162">
        <v>2.028071428561816</v>
      </c>
      <c r="Z12" s="162">
        <v>2.1451428571266917</v>
      </c>
      <c r="AA12" s="162">
        <v>2.2463571428504236</v>
      </c>
      <c r="AB12" s="162">
        <v>2.3094285714157321</v>
      </c>
      <c r="AC12" s="162">
        <v>2.3724999999893561</v>
      </c>
      <c r="AD12" s="162">
        <v>2.435571428550507</v>
      </c>
      <c r="AE12" s="162">
        <v>2.4986428571282886</v>
      </c>
      <c r="AF12" s="162">
        <v>2.561714285693597</v>
      </c>
      <c r="AG12" s="162">
        <v>2.5724428571328253</v>
      </c>
      <c r="AH12" s="162">
        <v>2.5831714285554228</v>
      </c>
      <c r="AI12" s="162">
        <v>2.5938999999780208</v>
      </c>
      <c r="AJ12" s="162">
        <v>2.6046285714130915</v>
      </c>
      <c r="AK12" s="162">
        <v>2.6153571428398465</v>
      </c>
      <c r="AL12" s="162">
        <v>2.6078857142669478</v>
      </c>
      <c r="AM12" s="162">
        <v>2.6004142857065222</v>
      </c>
      <c r="AN12" s="162">
        <v>2.5929428571253084</v>
      </c>
      <c r="AO12" s="162">
        <v>2.5854714285524096</v>
      </c>
      <c r="AP12" s="162">
        <v>2.577999999987826</v>
      </c>
      <c r="AQ12" s="162">
        <v>2.568771428571397</v>
      </c>
      <c r="AR12" s="162">
        <v>2.5595428571427874</v>
      </c>
      <c r="AS12" s="162">
        <v>2.5503142857142587</v>
      </c>
      <c r="AT12" s="162">
        <v>2.5410857142856651</v>
      </c>
      <c r="AU12" s="162">
        <v>2.5318571428570715</v>
      </c>
      <c r="AV12" s="163"/>
    </row>
    <row r="13" spans="1:48" ht="12.75" customHeight="1">
      <c r="A13" s="459">
        <v>40984</v>
      </c>
      <c r="B13" s="139">
        <v>11</v>
      </c>
      <c r="C13" s="162">
        <v>0.31785714285641525</v>
      </c>
      <c r="D13" s="162">
        <v>0.31785714285641525</v>
      </c>
      <c r="E13" s="162">
        <v>0.31785714285641525</v>
      </c>
      <c r="F13" s="162">
        <v>0.34814285714102355</v>
      </c>
      <c r="G13" s="162">
        <v>0.4729999999976176</v>
      </c>
      <c r="H13" s="162">
        <v>0.66271428571157487</v>
      </c>
      <c r="I13" s="162">
        <v>0.87228571428152324</v>
      </c>
      <c r="J13" s="162">
        <v>0.98171428570952091</v>
      </c>
      <c r="K13" s="162">
        <v>1.079571428563213</v>
      </c>
      <c r="L13" s="162">
        <v>1.1791428571367368</v>
      </c>
      <c r="M13" s="162">
        <v>1.2497142857048726</v>
      </c>
      <c r="N13" s="162">
        <v>1.3095714285653748</v>
      </c>
      <c r="O13" s="162">
        <v>1.3634285714194576</v>
      </c>
      <c r="P13" s="162">
        <v>1.4114285714167636</v>
      </c>
      <c r="Q13" s="162">
        <v>1.4612857142762679</v>
      </c>
      <c r="R13" s="162">
        <v>1.5147142857042906</v>
      </c>
      <c r="S13" s="162">
        <v>1.1077142857081654</v>
      </c>
      <c r="T13" s="162">
        <v>1.197928571419782</v>
      </c>
      <c r="U13" s="162">
        <v>1.3657142857056377</v>
      </c>
      <c r="V13" s="162">
        <v>1.5957857142763843</v>
      </c>
      <c r="W13" s="162">
        <v>1.7657857142787958</v>
      </c>
      <c r="X13" s="162">
        <v>1.9357857142749708</v>
      </c>
      <c r="Y13" s="162">
        <v>2.0790714285581737</v>
      </c>
      <c r="Z13" s="162">
        <v>2.2084999999871275</v>
      </c>
      <c r="AA13" s="162">
        <v>2.3114285714151004</v>
      </c>
      <c r="AB13" s="162">
        <v>2.3745428571253013</v>
      </c>
      <c r="AC13" s="162">
        <v>2.4376571428355027</v>
      </c>
      <c r="AD13" s="162">
        <v>2.5007714285540192</v>
      </c>
      <c r="AE13" s="162">
        <v>2.5638857142766938</v>
      </c>
      <c r="AF13" s="162">
        <v>2.6269999999910523</v>
      </c>
      <c r="AG13" s="162">
        <v>2.6393999999896289</v>
      </c>
      <c r="AH13" s="162">
        <v>2.6517999999882051</v>
      </c>
      <c r="AI13" s="162">
        <v>2.6641999999826238</v>
      </c>
      <c r="AJ13" s="162">
        <v>2.6765999999812005</v>
      </c>
      <c r="AK13" s="162">
        <v>2.6889999999797767</v>
      </c>
      <c r="AL13" s="162">
        <v>2.6816999999906068</v>
      </c>
      <c r="AM13" s="162">
        <v>2.6743999999848058</v>
      </c>
      <c r="AN13" s="162">
        <v>2.6670999999831628</v>
      </c>
      <c r="AO13" s="162">
        <v>2.659799999989835</v>
      </c>
      <c r="AP13" s="162">
        <v>2.652499999988192</v>
      </c>
      <c r="AQ13" s="162">
        <v>2.6413999999999431</v>
      </c>
      <c r="AR13" s="162">
        <v>2.6302999999999361</v>
      </c>
      <c r="AS13" s="162">
        <v>2.6191999999999616</v>
      </c>
      <c r="AT13" s="162">
        <v>2.6080999999999381</v>
      </c>
      <c r="AU13" s="162">
        <v>2.5969999999999636</v>
      </c>
      <c r="AV13" s="163"/>
    </row>
    <row r="14" spans="1:48" ht="12.75" customHeight="1">
      <c r="A14" s="459">
        <v>40991</v>
      </c>
      <c r="B14" s="139">
        <v>12</v>
      </c>
      <c r="C14" s="162">
        <v>0.31928571428527769</v>
      </c>
      <c r="D14" s="162">
        <v>0.31928571428527769</v>
      </c>
      <c r="E14" s="162">
        <v>0.31928571428527769</v>
      </c>
      <c r="F14" s="162">
        <v>0.34585714285484365</v>
      </c>
      <c r="G14" s="162">
        <v>0.44171428571176613</v>
      </c>
      <c r="H14" s="162">
        <v>0.62185714285338423</v>
      </c>
      <c r="I14" s="162">
        <v>0.82399999999636608</v>
      </c>
      <c r="J14" s="162">
        <v>0.93414285713931478</v>
      </c>
      <c r="K14" s="162">
        <v>1.0295714285665389</v>
      </c>
      <c r="L14" s="162">
        <v>1.1279999999948942</v>
      </c>
      <c r="M14" s="162">
        <v>1.1978571428439213</v>
      </c>
      <c r="N14" s="162">
        <v>1.2595714285624644</v>
      </c>
      <c r="O14" s="162">
        <v>1.3118571428515549</v>
      </c>
      <c r="P14" s="162">
        <v>1.3627142857065855</v>
      </c>
      <c r="Q14" s="162">
        <v>1.4108571428472974</v>
      </c>
      <c r="R14" s="162">
        <v>1.464714285703459</v>
      </c>
      <c r="S14" s="162">
        <v>1.1166428571367368</v>
      </c>
      <c r="T14" s="162">
        <v>1.2789999999929151</v>
      </c>
      <c r="U14" s="162">
        <v>1.4659285714213701</v>
      </c>
      <c r="V14" s="162">
        <v>1.6689999999944121</v>
      </c>
      <c r="W14" s="162">
        <v>1.8448571428473639</v>
      </c>
      <c r="X14" s="162">
        <v>2.0207142857044733</v>
      </c>
      <c r="Y14" s="162">
        <v>2.1764999999889239</v>
      </c>
      <c r="Z14" s="162">
        <v>2.2899285714166968</v>
      </c>
      <c r="AA14" s="162">
        <v>2.3885714285508062</v>
      </c>
      <c r="AB14" s="162">
        <v>2.4523142857069615</v>
      </c>
      <c r="AC14" s="162">
        <v>2.5160571428423282</v>
      </c>
      <c r="AD14" s="162">
        <v>2.57979999998601</v>
      </c>
      <c r="AE14" s="162">
        <v>2.6435428571338497</v>
      </c>
      <c r="AF14" s="162">
        <v>2.7072857142733739</v>
      </c>
      <c r="AG14" s="162">
        <v>2.7188428571347942</v>
      </c>
      <c r="AH14" s="162">
        <v>2.7303999999795838</v>
      </c>
      <c r="AI14" s="162">
        <v>2.7419571428451617</v>
      </c>
      <c r="AJ14" s="162">
        <v>2.7535142857024244</v>
      </c>
      <c r="AK14" s="162">
        <v>2.7650714285513716</v>
      </c>
      <c r="AL14" s="162">
        <v>2.7555714285616495</v>
      </c>
      <c r="AM14" s="162">
        <v>2.7460714285552967</v>
      </c>
      <c r="AN14" s="162">
        <v>2.7365714285531011</v>
      </c>
      <c r="AO14" s="162">
        <v>2.727071428563379</v>
      </c>
      <c r="AP14" s="162">
        <v>2.7175714285570263</v>
      </c>
      <c r="AQ14" s="162">
        <v>2.7053142857142314</v>
      </c>
      <c r="AR14" s="162">
        <v>2.6930571428570631</v>
      </c>
      <c r="AS14" s="162">
        <v>2.6807999999999277</v>
      </c>
      <c r="AT14" s="162">
        <v>2.6685428571428083</v>
      </c>
      <c r="AU14" s="162">
        <v>2.65628571428564</v>
      </c>
      <c r="AV14" s="163"/>
    </row>
    <row r="15" spans="1:48" ht="12.75" customHeight="1">
      <c r="A15" s="459">
        <v>40998</v>
      </c>
      <c r="B15" s="139">
        <v>13</v>
      </c>
      <c r="C15" s="162">
        <v>0.31871428571373273</v>
      </c>
      <c r="D15" s="162">
        <v>0.31871428571373273</v>
      </c>
      <c r="E15" s="162">
        <v>0.31871428571373273</v>
      </c>
      <c r="F15" s="162">
        <v>0.34171428571114248</v>
      </c>
      <c r="G15" s="162">
        <v>0.42399999999802923</v>
      </c>
      <c r="H15" s="162">
        <v>0.59485714285360047</v>
      </c>
      <c r="I15" s="162">
        <v>0.79014285713908194</v>
      </c>
      <c r="J15" s="162">
        <v>0.8998571428549309</v>
      </c>
      <c r="K15" s="162">
        <v>0.99671428570893883</v>
      </c>
      <c r="L15" s="162">
        <v>1.0924285714198567</v>
      </c>
      <c r="M15" s="162">
        <v>1.1634285714182104</v>
      </c>
      <c r="N15" s="162">
        <v>1.2252857142739231</v>
      </c>
      <c r="O15" s="162">
        <v>1.2751428571334273</v>
      </c>
      <c r="P15" s="162">
        <v>1.3274285714204388</v>
      </c>
      <c r="Q15" s="162">
        <v>1.3755714285673872</v>
      </c>
      <c r="R15" s="162">
        <v>1.428571428565192</v>
      </c>
      <c r="S15" s="162">
        <v>1.0785714285614501</v>
      </c>
      <c r="T15" s="162">
        <v>1.2141428571339929</v>
      </c>
      <c r="U15" s="162">
        <v>1.3981428571382171</v>
      </c>
      <c r="V15" s="162">
        <v>1.5948571428494427</v>
      </c>
      <c r="W15" s="162">
        <v>1.7722499999924495</v>
      </c>
      <c r="X15" s="162">
        <v>1.9496428571333775</v>
      </c>
      <c r="Y15" s="162">
        <v>2.095071428551039</v>
      </c>
      <c r="Z15" s="162">
        <v>2.2093571428392478</v>
      </c>
      <c r="AA15" s="162">
        <v>2.3110571428385027</v>
      </c>
      <c r="AB15" s="162">
        <v>2.3772685714107604</v>
      </c>
      <c r="AC15" s="162">
        <v>2.4434799999788601</v>
      </c>
      <c r="AD15" s="162">
        <v>2.5096914285594329</v>
      </c>
      <c r="AE15" s="162">
        <v>2.5759028571358482</v>
      </c>
      <c r="AF15" s="162">
        <v>2.6421142856956323</v>
      </c>
      <c r="AG15" s="162">
        <v>2.6504685714150709</v>
      </c>
      <c r="AH15" s="162">
        <v>2.6588228571261943</v>
      </c>
      <c r="AI15" s="162">
        <v>2.6671771428414752</v>
      </c>
      <c r="AJ15" s="162">
        <v>2.6755314285567562</v>
      </c>
      <c r="AK15" s="162">
        <v>2.6838857142761947</v>
      </c>
      <c r="AL15" s="162">
        <v>2.6745942856983413</v>
      </c>
      <c r="AM15" s="162">
        <v>2.6653028571288031</v>
      </c>
      <c r="AN15" s="162">
        <v>2.6560114285509497</v>
      </c>
      <c r="AO15" s="162">
        <v>2.6467199999897275</v>
      </c>
      <c r="AP15" s="162">
        <v>2.6374285714160317</v>
      </c>
      <c r="AQ15" s="162">
        <v>2.624385714285657</v>
      </c>
      <c r="AR15" s="162">
        <v>2.6113428571428097</v>
      </c>
      <c r="AS15" s="162">
        <v>2.5982999999999459</v>
      </c>
      <c r="AT15" s="162">
        <v>2.5852571428570656</v>
      </c>
      <c r="AU15" s="162">
        <v>2.5722142857142507</v>
      </c>
      <c r="AV15" s="163"/>
    </row>
    <row r="16" spans="1:48" ht="12.75" customHeight="1">
      <c r="A16" s="459">
        <v>41004</v>
      </c>
      <c r="B16" s="139">
        <v>14</v>
      </c>
      <c r="C16" s="162">
        <v>0.31714285714198398</v>
      </c>
      <c r="D16" s="162">
        <v>0.31799999999930151</v>
      </c>
      <c r="E16" s="162">
        <v>0.31757142857064274</v>
      </c>
      <c r="F16" s="162">
        <v>0.33771428571240641</v>
      </c>
      <c r="G16" s="202">
        <v>0.31299999999999994</v>
      </c>
      <c r="H16" s="162">
        <v>0.57342857142378167</v>
      </c>
      <c r="I16" s="162">
        <v>0.76757142856721261</v>
      </c>
      <c r="J16" s="162">
        <v>0.87699999999832856</v>
      </c>
      <c r="K16" s="162">
        <v>0.97357142856864287</v>
      </c>
      <c r="L16" s="162">
        <v>1.0664285714239148</v>
      </c>
      <c r="M16" s="162">
        <v>1.136571428568069</v>
      </c>
      <c r="N16" s="162">
        <v>1.196142857133444</v>
      </c>
      <c r="O16" s="162">
        <v>1.2489999999920005</v>
      </c>
      <c r="P16" s="162">
        <v>1.3007142857095459</v>
      </c>
      <c r="Q16" s="162">
        <v>1.3498571428520205</v>
      </c>
      <c r="R16" s="162">
        <v>1.4047142857037085</v>
      </c>
      <c r="S16" s="162">
        <v>1.0785714285614501</v>
      </c>
      <c r="T16" s="162">
        <v>1.2215714285640777</v>
      </c>
      <c r="U16" s="162">
        <v>1.3745714285656243</v>
      </c>
      <c r="V16" s="162">
        <v>1.5627142857119907</v>
      </c>
      <c r="W16" s="162">
        <v>1.7414999999891734</v>
      </c>
      <c r="X16" s="162">
        <v>1.920285714278829</v>
      </c>
      <c r="Y16" s="162">
        <v>2.0659285714209545</v>
      </c>
      <c r="Z16" s="162">
        <v>2.1821428571212369</v>
      </c>
      <c r="AA16" s="162">
        <v>2.2882857142789619</v>
      </c>
      <c r="AB16" s="162">
        <v>2.3533428571328319</v>
      </c>
      <c r="AC16" s="162">
        <v>2.4183999999825443</v>
      </c>
      <c r="AD16" s="162">
        <v>2.4834571428405718</v>
      </c>
      <c r="AE16" s="162">
        <v>2.548514285706915</v>
      </c>
      <c r="AF16" s="162">
        <v>2.6135714285566269</v>
      </c>
      <c r="AG16" s="162">
        <v>2.6247714285522563</v>
      </c>
      <c r="AH16" s="162">
        <v>2.6359714285645168</v>
      </c>
      <c r="AI16" s="162">
        <v>2.6471714285601462</v>
      </c>
      <c r="AJ16" s="162">
        <v>2.6583714285557756</v>
      </c>
      <c r="AK16" s="162">
        <v>2.6695714285472474</v>
      </c>
      <c r="AL16" s="162">
        <v>2.6601714285581171</v>
      </c>
      <c r="AM16" s="162">
        <v>2.650771428552356</v>
      </c>
      <c r="AN16" s="162">
        <v>2.6413714285590686</v>
      </c>
      <c r="AO16" s="162">
        <v>2.6319714285533076</v>
      </c>
      <c r="AP16" s="162">
        <v>2.6225714285600197</v>
      </c>
      <c r="AQ16" s="162">
        <v>2.6162285714284832</v>
      </c>
      <c r="AR16" s="162">
        <v>2.6098857142856264</v>
      </c>
      <c r="AS16" s="162">
        <v>2.6035428571427701</v>
      </c>
      <c r="AT16" s="162">
        <v>2.5971999999999134</v>
      </c>
      <c r="AU16" s="162">
        <v>2.5908571428570566</v>
      </c>
      <c r="AV16" s="163"/>
    </row>
    <row r="17" spans="1:48" ht="12.75" customHeight="1">
      <c r="A17" s="459">
        <v>41012</v>
      </c>
      <c r="B17" s="139">
        <v>15</v>
      </c>
      <c r="C17" s="162">
        <v>0.31571428571312155</v>
      </c>
      <c r="D17" s="162">
        <v>0.31571428571312155</v>
      </c>
      <c r="E17" s="162">
        <v>0.31571428571312155</v>
      </c>
      <c r="F17" s="162">
        <v>0.33614285714221681</v>
      </c>
      <c r="G17" s="162">
        <v>0.35314285713996335</v>
      </c>
      <c r="H17" s="162">
        <v>0.56628571428154828</v>
      </c>
      <c r="I17" s="162">
        <v>0.76057142856838511</v>
      </c>
      <c r="J17" s="162">
        <v>0.8709999999971062</v>
      </c>
      <c r="K17" s="162">
        <v>0.9644285714270413</v>
      </c>
      <c r="L17" s="162">
        <v>1.0572857142833527</v>
      </c>
      <c r="M17" s="162">
        <v>1.1278571428494095</v>
      </c>
      <c r="N17" s="162">
        <v>1.1862857142800098</v>
      </c>
      <c r="O17" s="162">
        <v>1.2379999999892397</v>
      </c>
      <c r="P17" s="162">
        <v>1.2907142857064691</v>
      </c>
      <c r="Q17" s="162">
        <v>1.3395714285621318</v>
      </c>
      <c r="R17" s="162">
        <v>1.3928571428446697</v>
      </c>
      <c r="S17" s="162">
        <v>1.0383999999903608</v>
      </c>
      <c r="T17" s="162">
        <v>1.1460571428511424</v>
      </c>
      <c r="U17" s="162">
        <v>1.3171857142775218</v>
      </c>
      <c r="V17" s="162">
        <v>1.5071428571370362</v>
      </c>
      <c r="W17" s="162">
        <v>1.6870928571318342</v>
      </c>
      <c r="X17" s="162">
        <v>1.8670428571349476</v>
      </c>
      <c r="Y17" s="162">
        <v>2.0094714285660302</v>
      </c>
      <c r="Z17" s="162">
        <v>2.1341428571239311</v>
      </c>
      <c r="AA17" s="162">
        <v>2.2390714285554294</v>
      </c>
      <c r="AB17" s="162">
        <v>2.3040571428386358</v>
      </c>
      <c r="AC17" s="162">
        <v>2.3690428571343154</v>
      </c>
      <c r="AD17" s="162">
        <v>2.4340285714175218</v>
      </c>
      <c r="AE17" s="162">
        <v>2.4990142857007283</v>
      </c>
      <c r="AF17" s="162">
        <v>2.5639999999797767</v>
      </c>
      <c r="AG17" s="162">
        <v>2.5741057142648578</v>
      </c>
      <c r="AH17" s="162">
        <v>2.5842114285665696</v>
      </c>
      <c r="AI17" s="162">
        <v>2.5943171428474927</v>
      </c>
      <c r="AJ17" s="162">
        <v>2.6044228571284163</v>
      </c>
      <c r="AK17" s="162">
        <v>2.6145285714093394</v>
      </c>
      <c r="AL17" s="162">
        <v>2.6064514285618703</v>
      </c>
      <c r="AM17" s="162">
        <v>2.5983742857019281</v>
      </c>
      <c r="AN17" s="162">
        <v>2.5902971428378283</v>
      </c>
      <c r="AO17" s="162">
        <v>2.5822199999862017</v>
      </c>
      <c r="AP17" s="162">
        <v>2.574142857134575</v>
      </c>
      <c r="AQ17" s="162">
        <v>2.5654857142856304</v>
      </c>
      <c r="AR17" s="162">
        <v>2.5568285714285168</v>
      </c>
      <c r="AS17" s="162">
        <v>2.5481714285713548</v>
      </c>
      <c r="AT17" s="162">
        <v>2.5395142857142248</v>
      </c>
      <c r="AU17" s="162">
        <v>2.5308571428570628</v>
      </c>
      <c r="AV17" s="163"/>
    </row>
    <row r="18" spans="1:48" ht="12.75" customHeight="1">
      <c r="A18" s="459">
        <v>41019</v>
      </c>
      <c r="B18" s="139">
        <v>16</v>
      </c>
      <c r="C18" s="162">
        <v>0.31685714285621153</v>
      </c>
      <c r="D18" s="162">
        <v>0.31685714285621153</v>
      </c>
      <c r="E18" s="162">
        <v>0.31685714285621153</v>
      </c>
      <c r="F18" s="162">
        <v>0.33657142857087557</v>
      </c>
      <c r="G18" s="162">
        <v>0.40799999999944703</v>
      </c>
      <c r="H18" s="162">
        <v>0.55071428570954595</v>
      </c>
      <c r="I18" s="162">
        <v>0.74228571428102441</v>
      </c>
      <c r="J18" s="162">
        <v>0.85471428571223174</v>
      </c>
      <c r="K18" s="162">
        <v>0.94514285713895718</v>
      </c>
      <c r="L18" s="162">
        <v>1.0381428571355562</v>
      </c>
      <c r="M18" s="162">
        <v>1.1029999999903208</v>
      </c>
      <c r="N18" s="162">
        <v>1.1621428571379511</v>
      </c>
      <c r="O18" s="162">
        <v>1.2117142857106435</v>
      </c>
      <c r="P18" s="162">
        <v>1.2639999999934972</v>
      </c>
      <c r="Q18" s="162">
        <v>1.3119999999887242</v>
      </c>
      <c r="R18" s="162">
        <v>1.3649999999906868</v>
      </c>
      <c r="S18" s="162">
        <v>1.0285714285606185</v>
      </c>
      <c r="T18" s="162">
        <v>1.1334285714235321</v>
      </c>
      <c r="U18" s="162">
        <v>1.3069999999923829</v>
      </c>
      <c r="V18" s="162">
        <v>1.4939999999935805</v>
      </c>
      <c r="W18" s="162">
        <v>1.6684499999932345</v>
      </c>
      <c r="X18" s="162">
        <v>1.8428999999908098</v>
      </c>
      <c r="Y18" s="162">
        <v>1.9847857142802758</v>
      </c>
      <c r="Z18" s="162">
        <v>2.1016857142718175</v>
      </c>
      <c r="AA18" s="162">
        <v>2.2061857142710193</v>
      </c>
      <c r="AB18" s="162">
        <v>2.2715199999843856</v>
      </c>
      <c r="AC18" s="162">
        <v>2.3368542856935943</v>
      </c>
      <c r="AD18" s="162">
        <v>2.4021885714194338</v>
      </c>
      <c r="AE18" s="162">
        <v>2.4675228571328001</v>
      </c>
      <c r="AF18" s="162">
        <v>2.5328571428420088</v>
      </c>
      <c r="AG18" s="162">
        <v>2.5408085714152548</v>
      </c>
      <c r="AH18" s="162">
        <v>2.5487599999760278</v>
      </c>
      <c r="AI18" s="162">
        <v>2.5567114285575889</v>
      </c>
      <c r="AJ18" s="162">
        <v>2.5646628571266774</v>
      </c>
      <c r="AK18" s="162">
        <v>2.572614285704081</v>
      </c>
      <c r="AL18" s="162">
        <v>2.5654857142653782</v>
      </c>
      <c r="AM18" s="162">
        <v>2.5583571428433061</v>
      </c>
      <c r="AN18" s="162">
        <v>2.5512285714087608</v>
      </c>
      <c r="AO18" s="162">
        <v>2.5440999999825307</v>
      </c>
      <c r="AP18" s="162">
        <v>2.5369714285604585</v>
      </c>
      <c r="AQ18" s="162">
        <v>2.5264485714285292</v>
      </c>
      <c r="AR18" s="162">
        <v>2.5159257142856695</v>
      </c>
      <c r="AS18" s="162">
        <v>2.5054028571428262</v>
      </c>
      <c r="AT18" s="162">
        <v>2.4948799999999336</v>
      </c>
      <c r="AU18" s="162">
        <v>2.4843571428570739</v>
      </c>
      <c r="AV18" s="163"/>
    </row>
    <row r="19" spans="1:48" ht="12.75" customHeight="1">
      <c r="A19" s="459">
        <v>41026</v>
      </c>
      <c r="B19" s="139">
        <v>17</v>
      </c>
      <c r="C19" s="162">
        <v>0.31757142857064274</v>
      </c>
      <c r="D19" s="162">
        <v>0.31757142857064274</v>
      </c>
      <c r="E19" s="162">
        <v>0.31757142857064274</v>
      </c>
      <c r="F19" s="162">
        <v>0.33599999999933061</v>
      </c>
      <c r="G19" s="162">
        <v>0.40414285714151832</v>
      </c>
      <c r="H19" s="162">
        <v>0.53357142856943285</v>
      </c>
      <c r="I19" s="162">
        <v>0.72299999999709785</v>
      </c>
      <c r="J19" s="162">
        <v>0.83428571428001819</v>
      </c>
      <c r="K19" s="162">
        <v>0.92557142856613994</v>
      </c>
      <c r="L19" s="162">
        <v>1.0169999999946282</v>
      </c>
      <c r="M19" s="162">
        <v>1.076571428562082</v>
      </c>
      <c r="N19" s="162">
        <v>1.1344285714211373</v>
      </c>
      <c r="O19" s="162">
        <v>1.1849999999935139</v>
      </c>
      <c r="P19" s="162">
        <v>1.2355714285658905</v>
      </c>
      <c r="Q19" s="162">
        <v>1.2837142857066022</v>
      </c>
      <c r="R19" s="162">
        <v>1.3342857142810576</v>
      </c>
      <c r="S19" s="162">
        <v>1.0147142857105271</v>
      </c>
      <c r="T19" s="162">
        <v>1.1474285714211874</v>
      </c>
      <c r="U19" s="162">
        <v>1.3157857142754696</v>
      </c>
      <c r="V19" s="162">
        <v>1.5092857142756526</v>
      </c>
      <c r="W19" s="162">
        <v>1.6856071428503907</v>
      </c>
      <c r="X19" s="162">
        <v>1.8619285714188922</v>
      </c>
      <c r="Y19" s="162">
        <v>2.010214285706752</v>
      </c>
      <c r="Z19" s="162">
        <v>2.1253571428366866</v>
      </c>
      <c r="AA19" s="162">
        <v>2.2323571428382167</v>
      </c>
      <c r="AB19" s="162">
        <v>2.299314285699178</v>
      </c>
      <c r="AC19" s="162">
        <v>2.3662714285601396</v>
      </c>
      <c r="AD19" s="162">
        <v>2.4332285714086277</v>
      </c>
      <c r="AE19" s="162">
        <v>2.5001857142695889</v>
      </c>
      <c r="AF19" s="162">
        <v>2.5671428571347077</v>
      </c>
      <c r="AG19" s="162">
        <v>2.5763142857010406</v>
      </c>
      <c r="AH19" s="162">
        <v>2.5854857142756891</v>
      </c>
      <c r="AI19" s="162">
        <v>2.594657142842022</v>
      </c>
      <c r="AJ19" s="162">
        <v>2.603828571420828</v>
      </c>
      <c r="AK19" s="162">
        <v>2.6129999999830034</v>
      </c>
      <c r="AL19" s="162">
        <v>2.605471428558563</v>
      </c>
      <c r="AM19" s="162">
        <v>2.5979428571216494</v>
      </c>
      <c r="AN19" s="162">
        <v>2.5904142857013666</v>
      </c>
      <c r="AO19" s="162">
        <v>2.5828857142644535</v>
      </c>
      <c r="AP19" s="162">
        <v>2.5753571428441706</v>
      </c>
      <c r="AQ19" s="162">
        <v>2.5614571428570798</v>
      </c>
      <c r="AR19" s="162">
        <v>2.5475571428570931</v>
      </c>
      <c r="AS19" s="162">
        <v>2.5336571428571069</v>
      </c>
      <c r="AT19" s="162">
        <v>2.5197571428571042</v>
      </c>
      <c r="AU19" s="162">
        <v>2.5058571428570855</v>
      </c>
      <c r="AV19" s="163"/>
    </row>
    <row r="20" spans="1:48" ht="12.75" customHeight="1">
      <c r="A20" s="459">
        <v>41033</v>
      </c>
      <c r="B20" s="139">
        <v>18</v>
      </c>
      <c r="C20" s="162">
        <v>0.31685714285621153</v>
      </c>
      <c r="D20" s="162">
        <v>0.31685714285621153</v>
      </c>
      <c r="E20" s="162">
        <v>0.31685714285621153</v>
      </c>
      <c r="F20" s="162">
        <v>0.33399999999892316</v>
      </c>
      <c r="G20" s="162">
        <v>0.3997142857120447</v>
      </c>
      <c r="H20" s="162">
        <v>0.51485714285289363</v>
      </c>
      <c r="I20" s="162">
        <v>0.70399999999790452</v>
      </c>
      <c r="J20" s="162">
        <v>0.80942857142404778</v>
      </c>
      <c r="K20" s="162">
        <v>0.90242857142480448</v>
      </c>
      <c r="L20" s="162">
        <v>0.9928571428556876</v>
      </c>
      <c r="M20" s="162">
        <v>1.0498571428532677</v>
      </c>
      <c r="N20" s="162">
        <v>1.1042857142788955</v>
      </c>
      <c r="O20" s="162">
        <v>1.1548571428491932</v>
      </c>
      <c r="P20" s="162">
        <v>1.2039999999979045</v>
      </c>
      <c r="Q20" s="162">
        <v>1.2528571428535671</v>
      </c>
      <c r="R20" s="162">
        <v>1.302999999993647</v>
      </c>
      <c r="S20" s="162">
        <v>0.93328571428095786</v>
      </c>
      <c r="T20" s="162">
        <v>1.0347142857042073</v>
      </c>
      <c r="U20" s="162">
        <v>1.2112857142825044</v>
      </c>
      <c r="V20" s="162">
        <v>1.3933285714177015</v>
      </c>
      <c r="W20" s="162">
        <v>1.5804714285643837</v>
      </c>
      <c r="X20" s="162">
        <v>1.7676142857048294</v>
      </c>
      <c r="Y20" s="162">
        <v>1.9195714285617993</v>
      </c>
      <c r="Z20" s="162">
        <v>2.0412142857031927</v>
      </c>
      <c r="AA20" s="162">
        <v>2.1504999999846661</v>
      </c>
      <c r="AB20" s="162">
        <v>2.2210285714203821</v>
      </c>
      <c r="AC20" s="162">
        <v>2.291557142843625</v>
      </c>
      <c r="AD20" s="162">
        <v>2.362085714279341</v>
      </c>
      <c r="AE20" s="162">
        <v>2.4326142857025843</v>
      </c>
      <c r="AF20" s="162">
        <v>2.5031428571383003</v>
      </c>
      <c r="AG20" s="162">
        <v>2.5159428571309292</v>
      </c>
      <c r="AH20" s="162">
        <v>2.5287428571235586</v>
      </c>
      <c r="AI20" s="162">
        <v>2.5415428571286611</v>
      </c>
      <c r="AJ20" s="162">
        <v>2.5543428571337632</v>
      </c>
      <c r="AK20" s="162">
        <v>2.5671428571305501</v>
      </c>
      <c r="AL20" s="162">
        <v>2.5587285714115877</v>
      </c>
      <c r="AM20" s="162">
        <v>2.5503142856926257</v>
      </c>
      <c r="AN20" s="162">
        <v>2.5418999999861365</v>
      </c>
      <c r="AO20" s="162">
        <v>2.5334857142713316</v>
      </c>
      <c r="AP20" s="162">
        <v>2.5250714285648428</v>
      </c>
      <c r="AQ20" s="162">
        <v>2.5141857142856612</v>
      </c>
      <c r="AR20" s="162">
        <v>2.5032999999999346</v>
      </c>
      <c r="AS20" s="162">
        <v>2.4924142857142408</v>
      </c>
      <c r="AT20" s="162">
        <v>2.4815285714285142</v>
      </c>
      <c r="AU20" s="162">
        <v>2.4706428571428041</v>
      </c>
      <c r="AV20" s="163"/>
    </row>
    <row r="21" spans="1:48" ht="12.75" customHeight="1">
      <c r="A21" s="459">
        <v>41040</v>
      </c>
      <c r="B21" s="139">
        <v>19</v>
      </c>
      <c r="C21" s="162">
        <v>0.31742857142775649</v>
      </c>
      <c r="D21" s="162">
        <v>0.31742857142775649</v>
      </c>
      <c r="E21" s="162">
        <v>0.31742857142775649</v>
      </c>
      <c r="F21" s="162">
        <v>0.33542857142778559</v>
      </c>
      <c r="G21" s="162">
        <v>0.3978571428545235</v>
      </c>
      <c r="H21" s="162">
        <v>0.50599999999706458</v>
      </c>
      <c r="I21" s="162">
        <v>0.69157142856732068</v>
      </c>
      <c r="J21" s="162">
        <v>0.79699999999762172</v>
      </c>
      <c r="K21" s="162">
        <v>0.88814285714033758</v>
      </c>
      <c r="L21" s="162">
        <v>0.97885714285387482</v>
      </c>
      <c r="M21" s="162">
        <v>1.0289999999949941</v>
      </c>
      <c r="N21" s="162">
        <v>1.083999999990088</v>
      </c>
      <c r="O21" s="162">
        <v>1.1328571428457508</v>
      </c>
      <c r="P21" s="162">
        <v>1.1819999999923829</v>
      </c>
      <c r="Q21" s="162">
        <v>1.2289999999920838</v>
      </c>
      <c r="R21" s="162">
        <v>1.2787142857061033</v>
      </c>
      <c r="S21" s="162">
        <v>0.94121428571088472</v>
      </c>
      <c r="T21" s="162">
        <v>1.0293285714256593</v>
      </c>
      <c r="U21" s="162">
        <v>1.1913571428490934</v>
      </c>
      <c r="V21" s="162">
        <v>1.3552571428507298</v>
      </c>
      <c r="W21" s="162">
        <v>1.5255214285654282</v>
      </c>
      <c r="X21" s="162">
        <v>1.6957857142780475</v>
      </c>
      <c r="Y21" s="162">
        <v>1.8357571428537733</v>
      </c>
      <c r="Z21" s="162">
        <v>1.9469285714252951</v>
      </c>
      <c r="AA21" s="162">
        <v>2.0653285714090868</v>
      </c>
      <c r="AB21" s="162">
        <v>2.1326999999915381</v>
      </c>
      <c r="AC21" s="162">
        <v>2.2000714285532013</v>
      </c>
      <c r="AD21" s="162">
        <v>2.2674428571273371</v>
      </c>
      <c r="AE21" s="162">
        <v>2.3348142857056309</v>
      </c>
      <c r="AF21" s="162">
        <v>2.402185714267294</v>
      </c>
      <c r="AG21" s="162">
        <v>2.4129771428373972</v>
      </c>
      <c r="AH21" s="162">
        <v>2.4237685714158159</v>
      </c>
      <c r="AI21" s="162">
        <v>2.4345599999859195</v>
      </c>
      <c r="AJ21" s="162">
        <v>2.4453514285560232</v>
      </c>
      <c r="AK21" s="162">
        <v>2.4561428571261263</v>
      </c>
      <c r="AL21" s="162">
        <v>2.4493142857058303</v>
      </c>
      <c r="AM21" s="162">
        <v>2.4424857142730616</v>
      </c>
      <c r="AN21" s="162">
        <v>2.4356571428486076</v>
      </c>
      <c r="AO21" s="162">
        <v>2.4288285714199964</v>
      </c>
      <c r="AP21" s="162">
        <v>2.4219999999913853</v>
      </c>
      <c r="AQ21" s="162">
        <v>2.4108142857142281</v>
      </c>
      <c r="AR21" s="162">
        <v>2.3996285714285119</v>
      </c>
      <c r="AS21" s="162">
        <v>2.3884428571428118</v>
      </c>
      <c r="AT21" s="162">
        <v>2.3772571428570957</v>
      </c>
      <c r="AU21" s="162">
        <v>2.366071428571396</v>
      </c>
      <c r="AV21" s="163"/>
    </row>
    <row r="22" spans="1:48" ht="12.75" customHeight="1">
      <c r="A22" s="459">
        <v>41047</v>
      </c>
      <c r="B22" s="139">
        <v>20</v>
      </c>
      <c r="C22" s="162">
        <v>0.31714285714198398</v>
      </c>
      <c r="D22" s="162">
        <v>0.31714285714198398</v>
      </c>
      <c r="E22" s="162">
        <v>0.31714285714198398</v>
      </c>
      <c r="F22" s="162">
        <v>0.33528571428489934</v>
      </c>
      <c r="G22" s="162">
        <v>0.39642857142566101</v>
      </c>
      <c r="H22" s="162">
        <v>0.50057142857050552</v>
      </c>
      <c r="I22" s="162">
        <v>0.68771428571199067</v>
      </c>
      <c r="J22" s="162">
        <v>0.79199999999712278</v>
      </c>
      <c r="K22" s="162">
        <v>0.88457142856974047</v>
      </c>
      <c r="L22" s="162">
        <v>0.97571428571245633</v>
      </c>
      <c r="M22" s="162">
        <v>1.025285714280991</v>
      </c>
      <c r="N22" s="162">
        <v>1.077999999989905</v>
      </c>
      <c r="O22" s="162">
        <v>1.1269999999889737</v>
      </c>
      <c r="P22" s="162">
        <v>1.1761428571314483</v>
      </c>
      <c r="Q22" s="162">
        <v>1.2221428571335438</v>
      </c>
      <c r="R22" s="162">
        <v>1.2731428571402958</v>
      </c>
      <c r="S22" s="162">
        <v>0.98771428571178277</v>
      </c>
      <c r="T22" s="162">
        <v>1.0624285714230999</v>
      </c>
      <c r="U22" s="162">
        <v>1.2012857142794278</v>
      </c>
      <c r="V22" s="162">
        <v>1.3555714285612339</v>
      </c>
      <c r="W22" s="162">
        <v>1.5046428571388657</v>
      </c>
      <c r="X22" s="162">
        <v>1.6537142857081821</v>
      </c>
      <c r="Y22" s="162">
        <v>1.7772857142803591</v>
      </c>
      <c r="Z22" s="162">
        <v>1.8818571428460666</v>
      </c>
      <c r="AA22" s="162">
        <v>1.9737142857026939</v>
      </c>
      <c r="AB22" s="162">
        <v>2.0344571428473239</v>
      </c>
      <c r="AC22" s="162">
        <v>2.0951999999815598</v>
      </c>
      <c r="AD22" s="162">
        <v>2.1559428571324259</v>
      </c>
      <c r="AE22" s="162">
        <v>2.2166857142666618</v>
      </c>
      <c r="AF22" s="162">
        <v>2.277428571421686</v>
      </c>
      <c r="AG22" s="162">
        <v>2.2839142856911554</v>
      </c>
      <c r="AH22" s="162">
        <v>2.2903999999772555</v>
      </c>
      <c r="AI22" s="162">
        <v>2.2968857142675132</v>
      </c>
      <c r="AJ22" s="162">
        <v>2.3033714285577713</v>
      </c>
      <c r="AK22" s="162">
        <v>2.3098571428438714</v>
      </c>
      <c r="AL22" s="162">
        <v>2.3007999999806215</v>
      </c>
      <c r="AM22" s="162">
        <v>2.2917428571340026</v>
      </c>
      <c r="AN22" s="162">
        <v>2.2826857142707531</v>
      </c>
      <c r="AO22" s="162">
        <v>2.2736285714075035</v>
      </c>
      <c r="AP22" s="162">
        <v>2.2645714285608847</v>
      </c>
      <c r="AQ22" s="162">
        <v>2.25085714285709</v>
      </c>
      <c r="AR22" s="162">
        <v>2.237142857142755</v>
      </c>
      <c r="AS22" s="162">
        <v>2.2234285714285176</v>
      </c>
      <c r="AT22" s="162">
        <v>2.2097142857141825</v>
      </c>
      <c r="AU22" s="162">
        <v>2.1959999999999451</v>
      </c>
      <c r="AV22" s="163"/>
    </row>
    <row r="23" spans="1:48" ht="12.75" customHeight="1">
      <c r="A23" s="459">
        <v>41054</v>
      </c>
      <c r="B23" s="139">
        <v>21</v>
      </c>
      <c r="C23" s="162">
        <v>0.317714285713529</v>
      </c>
      <c r="D23" s="162">
        <v>0.317714285713529</v>
      </c>
      <c r="E23" s="162">
        <v>0.317714285713529</v>
      </c>
      <c r="F23" s="162">
        <v>0.33514285714201308</v>
      </c>
      <c r="G23" s="162">
        <v>0.39114285714146846</v>
      </c>
      <c r="H23" s="162">
        <v>0.49357142857011888</v>
      </c>
      <c r="I23" s="162">
        <v>0.67971428570932135</v>
      </c>
      <c r="J23" s="162">
        <v>0.78157142856902539</v>
      </c>
      <c r="K23" s="162">
        <v>0.8712857142839181</v>
      </c>
      <c r="L23" s="162">
        <v>0.96442857142600191</v>
      </c>
      <c r="M23" s="162">
        <v>1.0144285714216363</v>
      </c>
      <c r="N23" s="162">
        <v>1.0654285714242306</v>
      </c>
      <c r="O23" s="162">
        <v>1.1131428571368034</v>
      </c>
      <c r="P23" s="162">
        <v>1.1614285714188424</v>
      </c>
      <c r="Q23" s="162">
        <v>1.2084285714227008</v>
      </c>
      <c r="R23" s="162">
        <v>1.2561428571394311</v>
      </c>
      <c r="S23" s="162">
        <v>0.93907142856707126</v>
      </c>
      <c r="T23" s="162">
        <v>1.0211428571378096</v>
      </c>
      <c r="U23" s="162">
        <v>1.152099999996218</v>
      </c>
      <c r="V23" s="162">
        <v>1.3057857142807083</v>
      </c>
      <c r="W23" s="162">
        <v>1.4530857142796905</v>
      </c>
      <c r="X23" s="162">
        <v>1.6003857142765938</v>
      </c>
      <c r="Y23" s="162">
        <v>1.7195428571327023</v>
      </c>
      <c r="Z23" s="162">
        <v>1.8242857142759021</v>
      </c>
      <c r="AA23" s="162">
        <v>1.911614285707141</v>
      </c>
      <c r="AB23" s="162">
        <v>1.9671171428490197</v>
      </c>
      <c r="AC23" s="162">
        <v>2.0226199999888195</v>
      </c>
      <c r="AD23" s="162">
        <v>2.07812285712654</v>
      </c>
      <c r="AE23" s="162">
        <v>2.1336257142704977</v>
      </c>
      <c r="AF23" s="162">
        <v>2.1891285714186126</v>
      </c>
      <c r="AG23" s="162">
        <v>2.1944742856971318</v>
      </c>
      <c r="AH23" s="162">
        <v>2.1998199999922816</v>
      </c>
      <c r="AI23" s="162">
        <v>2.2051657142749588</v>
      </c>
      <c r="AJ23" s="162">
        <v>2.2105114285576355</v>
      </c>
      <c r="AK23" s="162">
        <v>2.2158571428444702</v>
      </c>
      <c r="AL23" s="162">
        <v>2.2061228571235132</v>
      </c>
      <c r="AM23" s="162">
        <v>2.1963885714150297</v>
      </c>
      <c r="AN23" s="162">
        <v>2.1866542856940732</v>
      </c>
      <c r="AO23" s="162">
        <v>2.1769199999897473</v>
      </c>
      <c r="AP23" s="162">
        <v>2.1671857142812638</v>
      </c>
      <c r="AQ23" s="162">
        <v>2.154959999999976</v>
      </c>
      <c r="AR23" s="162">
        <v>2.1427342857142384</v>
      </c>
      <c r="AS23" s="162">
        <v>2.1305085714285332</v>
      </c>
      <c r="AT23" s="162">
        <v>2.1182828571427956</v>
      </c>
      <c r="AU23" s="162">
        <v>2.1060571428570904</v>
      </c>
      <c r="AV23" s="163"/>
    </row>
    <row r="24" spans="1:48" ht="12.75" customHeight="1">
      <c r="A24" s="459">
        <v>41061</v>
      </c>
      <c r="B24" s="139">
        <v>22</v>
      </c>
      <c r="C24" s="162">
        <v>0.31757142857064274</v>
      </c>
      <c r="D24" s="162">
        <v>0.31757142857064274</v>
      </c>
      <c r="E24" s="162">
        <v>0.31757142857064274</v>
      </c>
      <c r="F24" s="162">
        <v>0.3338571428560369</v>
      </c>
      <c r="G24" s="162">
        <v>0.38571428571283051</v>
      </c>
      <c r="H24" s="162">
        <v>0.48757142856889651</v>
      </c>
      <c r="I24" s="162">
        <v>0.66942857142359047</v>
      </c>
      <c r="J24" s="162">
        <v>0.76942857142629295</v>
      </c>
      <c r="K24" s="162">
        <v>0.85771428571024444</v>
      </c>
      <c r="L24" s="162">
        <v>0.94857142856926657</v>
      </c>
      <c r="M24" s="162">
        <v>0.99914285713956419</v>
      </c>
      <c r="N24" s="162">
        <v>1.0484285714212871</v>
      </c>
      <c r="O24" s="162">
        <v>1.0957142857098785</v>
      </c>
      <c r="P24" s="162">
        <v>1.1434285714182935</v>
      </c>
      <c r="Q24" s="162">
        <v>1.1914285714218358</v>
      </c>
      <c r="R24" s="162">
        <v>1.2354285714204056</v>
      </c>
      <c r="S24" s="162">
        <v>0.87907142856836018</v>
      </c>
      <c r="T24" s="162">
        <v>0.94537142856799095</v>
      </c>
      <c r="U24" s="162">
        <v>1.0613999999914085</v>
      </c>
      <c r="V24" s="162">
        <v>1.2082999999921802</v>
      </c>
      <c r="W24" s="162">
        <v>1.3403857142797537</v>
      </c>
      <c r="X24" s="162">
        <v>1.4724714285590119</v>
      </c>
      <c r="Y24" s="162">
        <v>1.5795428571332844</v>
      </c>
      <c r="Z24" s="162">
        <v>1.6737857142787624</v>
      </c>
      <c r="AA24" s="162">
        <v>1.7548285714209277</v>
      </c>
      <c r="AB24" s="162">
        <v>1.8045657142772271</v>
      </c>
      <c r="AC24" s="162">
        <v>1.8543028571376843</v>
      </c>
      <c r="AD24" s="162">
        <v>1.9040399999898259</v>
      </c>
      <c r="AE24" s="162">
        <v>1.9537771428440465</v>
      </c>
      <c r="AF24" s="162">
        <v>2.0035142857086612</v>
      </c>
      <c r="AG24" s="162">
        <v>2.0065571428463693</v>
      </c>
      <c r="AH24" s="162">
        <v>2.0095999999944718</v>
      </c>
      <c r="AI24" s="162">
        <v>2.0126428571363375</v>
      </c>
      <c r="AJ24" s="162">
        <v>2.0156857142740461</v>
      </c>
      <c r="AK24" s="162">
        <v>2.0187285714179906</v>
      </c>
      <c r="AL24" s="162">
        <v>2.0117257142680627</v>
      </c>
      <c r="AM24" s="162">
        <v>2.0047228571326867</v>
      </c>
      <c r="AN24" s="162">
        <v>1.9977199999848381</v>
      </c>
      <c r="AO24" s="162">
        <v>1.9907171428432255</v>
      </c>
      <c r="AP24" s="162">
        <v>1.9837142857057706</v>
      </c>
      <c r="AQ24" s="162">
        <v>1.9737599999999782</v>
      </c>
      <c r="AR24" s="162">
        <v>1.9638057142856837</v>
      </c>
      <c r="AS24" s="162">
        <v>1.9538514285713973</v>
      </c>
      <c r="AT24" s="162">
        <v>1.9438971428571108</v>
      </c>
      <c r="AU24" s="162">
        <v>1.9339428571428079</v>
      </c>
      <c r="AV24" s="163"/>
    </row>
    <row r="25" spans="1:48" ht="12.75" customHeight="1">
      <c r="A25" s="459">
        <v>41068</v>
      </c>
      <c r="B25" s="139">
        <v>23</v>
      </c>
      <c r="C25" s="162">
        <v>0.31842857142796022</v>
      </c>
      <c r="D25" s="162">
        <v>0.31842857142796022</v>
      </c>
      <c r="E25" s="162">
        <v>0.31842857142796022</v>
      </c>
      <c r="F25" s="162">
        <v>0.33442857142758187</v>
      </c>
      <c r="G25" s="162">
        <v>0.38228571428356056</v>
      </c>
      <c r="H25" s="162">
        <v>0.48457142856828533</v>
      </c>
      <c r="I25" s="162">
        <v>0.6632857142800016</v>
      </c>
      <c r="J25" s="162">
        <v>0.76214285713961405</v>
      </c>
      <c r="K25" s="162">
        <v>0.85057142856697143</v>
      </c>
      <c r="L25" s="162">
        <v>0.94014285713949763</v>
      </c>
      <c r="M25" s="162">
        <v>0.98857142856806079</v>
      </c>
      <c r="N25" s="162">
        <v>1.0385714285616163</v>
      </c>
      <c r="O25" s="162">
        <v>1.0867142857127223</v>
      </c>
      <c r="P25" s="162">
        <v>1.1334285714193746</v>
      </c>
      <c r="Q25" s="162">
        <v>1.1814285714166803</v>
      </c>
      <c r="R25" s="162">
        <v>1.2229999999939796</v>
      </c>
      <c r="S25" s="162">
        <v>0.8832142857105022</v>
      </c>
      <c r="T25" s="162">
        <v>0.96185714285197066</v>
      </c>
      <c r="U25" s="162">
        <v>1.0939285714245799</v>
      </c>
      <c r="V25" s="162">
        <v>1.2418571428528853</v>
      </c>
      <c r="W25" s="162">
        <v>1.3664642857100779</v>
      </c>
      <c r="X25" s="162">
        <v>1.491071428565192</v>
      </c>
      <c r="Y25" s="162">
        <v>1.5923571428533509</v>
      </c>
      <c r="Z25" s="162">
        <v>1.6801428571343422</v>
      </c>
      <c r="AA25" s="162">
        <v>1.7551428571355894</v>
      </c>
      <c r="AB25" s="162">
        <v>1.797451428561804</v>
      </c>
      <c r="AC25" s="162">
        <v>1.8397599999921761</v>
      </c>
      <c r="AD25" s="162">
        <v>1.8820685714183907</v>
      </c>
      <c r="AE25" s="162">
        <v>1.9243771428529206</v>
      </c>
      <c r="AF25" s="162">
        <v>1.966685714281214</v>
      </c>
      <c r="AG25" s="162">
        <v>1.9680714285599865</v>
      </c>
      <c r="AH25" s="162">
        <v>1.969457142853311</v>
      </c>
      <c r="AI25" s="162">
        <v>1.9708428571300047</v>
      </c>
      <c r="AJ25" s="162">
        <v>1.9722285714108563</v>
      </c>
      <c r="AK25" s="162">
        <v>1.973614285702102</v>
      </c>
      <c r="AL25" s="162">
        <v>1.9703342857101234</v>
      </c>
      <c r="AM25" s="162">
        <v>1.9670542856973561</v>
      </c>
      <c r="AN25" s="162">
        <v>1.9637742857032987</v>
      </c>
      <c r="AO25" s="162">
        <v>1.9604942857071623</v>
      </c>
      <c r="AP25" s="162">
        <v>1.957214285711026</v>
      </c>
      <c r="AQ25" s="162">
        <v>1.9524285714285512</v>
      </c>
      <c r="AR25" s="162">
        <v>1.9476428571428284</v>
      </c>
      <c r="AS25" s="162">
        <v>1.9428571428571053</v>
      </c>
      <c r="AT25" s="162">
        <v>1.9380714285713907</v>
      </c>
      <c r="AU25" s="162">
        <v>1.9332857142856676</v>
      </c>
      <c r="AV25" s="163"/>
    </row>
    <row r="26" spans="1:48" ht="12.75" customHeight="1">
      <c r="A26" s="459">
        <v>41075</v>
      </c>
      <c r="B26" s="139">
        <v>24</v>
      </c>
      <c r="C26" s="162">
        <v>0.31999999999970896</v>
      </c>
      <c r="D26" s="162">
        <v>0.31999999999970896</v>
      </c>
      <c r="E26" s="162">
        <v>0.31999999999970896</v>
      </c>
      <c r="F26" s="162">
        <v>0.33728571428530679</v>
      </c>
      <c r="G26" s="162">
        <v>0.38271428571221933</v>
      </c>
      <c r="H26" s="162">
        <v>0.4832857142823091</v>
      </c>
      <c r="I26" s="162">
        <v>0.66214285713795107</v>
      </c>
      <c r="J26" s="162">
        <v>0.76028571428157321</v>
      </c>
      <c r="K26" s="162">
        <v>0.84914285713914839</v>
      </c>
      <c r="L26" s="162">
        <v>0.9389999999984866</v>
      </c>
      <c r="M26" s="162">
        <v>0.98814285713784289</v>
      </c>
      <c r="N26" s="162">
        <v>1.0377142857074171</v>
      </c>
      <c r="O26" s="162">
        <v>1.0867142857106435</v>
      </c>
      <c r="P26" s="162">
        <v>1.1337142857061864</v>
      </c>
      <c r="Q26" s="162">
        <v>1.1822857142791949</v>
      </c>
      <c r="R26" s="162">
        <v>1.2245714285652085</v>
      </c>
      <c r="S26" s="162">
        <v>0.91721428571223174</v>
      </c>
      <c r="T26" s="162">
        <v>1.0204999999904039</v>
      </c>
      <c r="U26" s="162">
        <v>1.1710428571365938</v>
      </c>
      <c r="V26" s="162">
        <v>1.3421142857051953</v>
      </c>
      <c r="W26" s="162">
        <v>1.4822928571333509</v>
      </c>
      <c r="X26" s="162">
        <v>1.6224714285656643</v>
      </c>
      <c r="Y26" s="162">
        <v>1.7299857142747246</v>
      </c>
      <c r="Z26" s="162">
        <v>1.8251999999920372</v>
      </c>
      <c r="AA26" s="162">
        <v>1.9002714285618691</v>
      </c>
      <c r="AB26" s="162">
        <v>1.9511857142725992</v>
      </c>
      <c r="AC26" s="162">
        <v>2.0020999999854081</v>
      </c>
      <c r="AD26" s="162">
        <v>2.0530142857023748</v>
      </c>
      <c r="AE26" s="162">
        <v>2.1039285714131046</v>
      </c>
      <c r="AF26" s="162">
        <v>2.1548428571259137</v>
      </c>
      <c r="AG26" s="162">
        <v>2.1596657142758233</v>
      </c>
      <c r="AH26" s="162">
        <v>2.1644885714174178</v>
      </c>
      <c r="AI26" s="162">
        <v>2.1693114285506971</v>
      </c>
      <c r="AJ26" s="162">
        <v>2.1741342857006072</v>
      </c>
      <c r="AK26" s="162">
        <v>2.1789571428422017</v>
      </c>
      <c r="AL26" s="162">
        <v>2.1792999999888707</v>
      </c>
      <c r="AM26" s="162">
        <v>2.1796428571272242</v>
      </c>
      <c r="AN26" s="162">
        <v>2.1799857142655776</v>
      </c>
      <c r="AO26" s="162">
        <v>2.1803285714164042</v>
      </c>
      <c r="AP26" s="162">
        <v>2.1806714285568365</v>
      </c>
      <c r="AQ26" s="162">
        <v>2.1804342857142189</v>
      </c>
      <c r="AR26" s="162">
        <v>2.1801971428570903</v>
      </c>
      <c r="AS26" s="162">
        <v>2.1799599999999453</v>
      </c>
      <c r="AT26" s="162">
        <v>2.1797228571428162</v>
      </c>
      <c r="AU26" s="162">
        <v>2.1794857142856876</v>
      </c>
      <c r="AV26" s="163"/>
    </row>
    <row r="27" spans="1:48" ht="12.75" customHeight="1">
      <c r="A27" s="459">
        <v>41082</v>
      </c>
      <c r="B27" s="139">
        <v>25</v>
      </c>
      <c r="C27" s="162">
        <v>0.32257142856958254</v>
      </c>
      <c r="D27" s="162">
        <v>0.32257142856958254</v>
      </c>
      <c r="E27" s="162">
        <v>0.32257142856958254</v>
      </c>
      <c r="F27" s="162">
        <v>0.33785714285685181</v>
      </c>
      <c r="G27" s="162">
        <v>0.37928571428294938</v>
      </c>
      <c r="H27" s="162">
        <v>0.48042857142770246</v>
      </c>
      <c r="I27" s="162">
        <v>0.6571428571416098</v>
      </c>
      <c r="J27" s="162">
        <v>0.75414285713694484</v>
      </c>
      <c r="K27" s="162">
        <v>0.84285714285215363</v>
      </c>
      <c r="L27" s="162">
        <v>0.9314285714239563</v>
      </c>
      <c r="M27" s="162">
        <v>0.98028571428169786</v>
      </c>
      <c r="N27" s="162">
        <v>1.0295714285623814</v>
      </c>
      <c r="O27" s="162">
        <v>1.0788571428482618</v>
      </c>
      <c r="P27" s="162">
        <v>1.1255714285632294</v>
      </c>
      <c r="Q27" s="162">
        <v>1.1735714285605354</v>
      </c>
      <c r="R27" s="162">
        <v>1.2167142857069848</v>
      </c>
      <c r="S27" s="162">
        <v>0.86314285713784289</v>
      </c>
      <c r="T27" s="162">
        <v>0.96057142856859301</v>
      </c>
      <c r="U27" s="162">
        <v>1.12535714284916</v>
      </c>
      <c r="V27" s="162">
        <v>1.3082857142809579</v>
      </c>
      <c r="W27" s="162">
        <v>1.4621071428534507</v>
      </c>
      <c r="X27" s="162">
        <v>1.6159285714217859</v>
      </c>
      <c r="Y27" s="162">
        <v>1.7338571428533343</v>
      </c>
      <c r="Z27" s="162">
        <v>1.8382142857070511</v>
      </c>
      <c r="AA27" s="162">
        <v>1.9261428571397636</v>
      </c>
      <c r="AB27" s="162">
        <v>1.9790142857070478</v>
      </c>
      <c r="AC27" s="162">
        <v>2.0318857142743321</v>
      </c>
      <c r="AD27" s="162">
        <v>2.0847571428333009</v>
      </c>
      <c r="AE27" s="162">
        <v>2.1376285714089005</v>
      </c>
      <c r="AF27" s="162">
        <v>2.1904999999886576</v>
      </c>
      <c r="AG27" s="162">
        <v>2.1920942857063239</v>
      </c>
      <c r="AH27" s="162">
        <v>2.1936885714156751</v>
      </c>
      <c r="AI27" s="162">
        <v>2.1952828571208682</v>
      </c>
      <c r="AJ27" s="162">
        <v>2.1968771428510081</v>
      </c>
      <c r="AK27" s="162">
        <v>2.1984714285562013</v>
      </c>
      <c r="AL27" s="162">
        <v>2.1982342857019308</v>
      </c>
      <c r="AM27" s="162">
        <v>2.1979971428351872</v>
      </c>
      <c r="AN27" s="162">
        <v>2.1977599999850748</v>
      </c>
      <c r="AO27" s="162">
        <v>2.1975228571308043</v>
      </c>
      <c r="AP27" s="162">
        <v>2.1972857142723763</v>
      </c>
      <c r="AQ27" s="162">
        <v>2.1939142857142344</v>
      </c>
      <c r="AR27" s="162">
        <v>2.1905428571427916</v>
      </c>
      <c r="AS27" s="162">
        <v>2.1871714285713648</v>
      </c>
      <c r="AT27" s="162">
        <v>2.183799999999938</v>
      </c>
      <c r="AU27" s="162">
        <v>2.1804285714284948</v>
      </c>
      <c r="AV27" s="163"/>
    </row>
    <row r="28" spans="1:48" ht="12.75" customHeight="1">
      <c r="A28" s="459">
        <v>41089</v>
      </c>
      <c r="B28" s="139">
        <v>26</v>
      </c>
      <c r="C28" s="162">
        <v>0.32214285714092378</v>
      </c>
      <c r="D28" s="162">
        <v>0.32214285714092378</v>
      </c>
      <c r="E28" s="162">
        <v>0.32214285714092378</v>
      </c>
      <c r="F28" s="162">
        <v>0.33657142857087557</v>
      </c>
      <c r="G28" s="162">
        <v>0.37514285714080736</v>
      </c>
      <c r="H28" s="162">
        <v>0.47571428571297603</v>
      </c>
      <c r="I28" s="162">
        <v>0.65285714285502239</v>
      </c>
      <c r="J28" s="162">
        <v>0.74871428571038579</v>
      </c>
      <c r="K28" s="162">
        <v>0.83785714285373347</v>
      </c>
      <c r="L28" s="162">
        <v>0.92785714285543819</v>
      </c>
      <c r="M28" s="162">
        <v>0.97571428571037744</v>
      </c>
      <c r="N28" s="162">
        <v>1.025285714280991</v>
      </c>
      <c r="O28" s="162">
        <v>1.0744285714234656</v>
      </c>
      <c r="P28" s="162">
        <v>1.1237142857093463</v>
      </c>
      <c r="Q28" s="162">
        <v>1.1688571428510059</v>
      </c>
      <c r="R28" s="162">
        <v>1.2127142857061699</v>
      </c>
      <c r="S28" s="162">
        <v>0.84057142856805245</v>
      </c>
      <c r="T28" s="162">
        <v>0.93378571428183932</v>
      </c>
      <c r="U28" s="162">
        <v>1.1002857142822384</v>
      </c>
      <c r="V28" s="162">
        <v>1.2917857142788955</v>
      </c>
      <c r="W28" s="162">
        <v>1.4486071428483618</v>
      </c>
      <c r="X28" s="162">
        <v>1.6054285714219856</v>
      </c>
      <c r="Y28" s="162">
        <v>1.7307857142773821</v>
      </c>
      <c r="Z28" s="162">
        <v>1.8379285714202394</v>
      </c>
      <c r="AA28" s="162">
        <v>1.9383571428521202</v>
      </c>
      <c r="AB28" s="162">
        <v>1.9939714285594943</v>
      </c>
      <c r="AC28" s="162">
        <v>2.0495857142689471</v>
      </c>
      <c r="AD28" s="162">
        <v>2.105199999986715</v>
      </c>
      <c r="AE28" s="162">
        <v>2.1608142856982466</v>
      </c>
      <c r="AF28" s="162">
        <v>2.2164285714139362</v>
      </c>
      <c r="AG28" s="162">
        <v>2.2181428571348079</v>
      </c>
      <c r="AH28" s="162">
        <v>2.2198571428432059</v>
      </c>
      <c r="AI28" s="162">
        <v>2.2215714285640775</v>
      </c>
      <c r="AJ28" s="162">
        <v>2.223285714272476</v>
      </c>
      <c r="AK28" s="162">
        <v>2.2249999999850321</v>
      </c>
      <c r="AL28" s="162">
        <v>2.2242999999850452</v>
      </c>
      <c r="AM28" s="162">
        <v>2.223599999993374</v>
      </c>
      <c r="AN28" s="162">
        <v>2.222899999985072</v>
      </c>
      <c r="AO28" s="162">
        <v>2.2221999999850852</v>
      </c>
      <c r="AP28" s="162">
        <v>2.2214999999892564</v>
      </c>
      <c r="AQ28" s="162">
        <v>2.219699999999956</v>
      </c>
      <c r="AR28" s="162">
        <v>2.2178999999999207</v>
      </c>
      <c r="AS28" s="162">
        <v>2.2160999999999502</v>
      </c>
      <c r="AT28" s="162">
        <v>2.2142999999999313</v>
      </c>
      <c r="AU28" s="162">
        <v>2.2124999999999608</v>
      </c>
      <c r="AV28" s="163"/>
    </row>
    <row r="29" spans="1:48" ht="12.75" customHeight="1">
      <c r="A29" s="459">
        <v>41096</v>
      </c>
      <c r="B29" s="139">
        <v>27</v>
      </c>
      <c r="C29" s="162">
        <v>0.27085714285619489</v>
      </c>
      <c r="D29" s="162">
        <v>0.27085714285619489</v>
      </c>
      <c r="E29" s="162">
        <v>0.27085714285619489</v>
      </c>
      <c r="F29" s="162">
        <v>0.28071428571326706</v>
      </c>
      <c r="G29" s="162">
        <v>0.32014285714103607</v>
      </c>
      <c r="H29" s="162">
        <v>0.42414285714091549</v>
      </c>
      <c r="I29" s="162">
        <v>0.60571428571087638</v>
      </c>
      <c r="J29" s="162">
        <v>0.70428571428263753</v>
      </c>
      <c r="K29" s="162">
        <v>0.79357142856835183</v>
      </c>
      <c r="L29" s="162">
        <v>0.88471428571314648</v>
      </c>
      <c r="M29" s="162">
        <v>0.93471428571189918</v>
      </c>
      <c r="N29" s="162">
        <v>0.98414285713598859</v>
      </c>
      <c r="O29" s="162">
        <v>1.033428571423948</v>
      </c>
      <c r="P29" s="162">
        <v>1.0801428571347578</v>
      </c>
      <c r="Q29" s="162">
        <v>1.1284285714188755</v>
      </c>
      <c r="R29" s="162">
        <v>1.1698571428465323</v>
      </c>
      <c r="S29" s="162">
        <v>0.79307142856850987</v>
      </c>
      <c r="T29" s="162">
        <v>0.8785428571375502</v>
      </c>
      <c r="U29" s="162">
        <v>1.016642857140271</v>
      </c>
      <c r="V29" s="162">
        <v>1.1982857142803758</v>
      </c>
      <c r="W29" s="162">
        <v>1.3663785714202925</v>
      </c>
      <c r="X29" s="162">
        <v>1.5344714285664458</v>
      </c>
      <c r="Y29" s="162">
        <v>1.6698571428506901</v>
      </c>
      <c r="Z29" s="162">
        <v>1.7901428571370031</v>
      </c>
      <c r="AA29" s="162">
        <v>1.8962142857074338</v>
      </c>
      <c r="AB29" s="162">
        <v>1.9627999999897188</v>
      </c>
      <c r="AC29" s="162">
        <v>2.0293857142720038</v>
      </c>
      <c r="AD29" s="162">
        <v>2.0959714285563678</v>
      </c>
      <c r="AE29" s="162">
        <v>2.1625571428448893</v>
      </c>
      <c r="AF29" s="162">
        <v>2.2291428571292529</v>
      </c>
      <c r="AG29" s="162">
        <v>2.2359571428470577</v>
      </c>
      <c r="AH29" s="162">
        <v>2.242771428556547</v>
      </c>
      <c r="AI29" s="162">
        <v>2.2495857142701943</v>
      </c>
      <c r="AJ29" s="162">
        <v>2.2563999999921567</v>
      </c>
      <c r="AK29" s="162">
        <v>2.263214285701646</v>
      </c>
      <c r="AL29" s="162">
        <v>2.2663857142657173</v>
      </c>
      <c r="AM29" s="162">
        <v>2.2695571428381038</v>
      </c>
      <c r="AN29" s="162">
        <v>2.2727285714188055</v>
      </c>
      <c r="AO29" s="162">
        <v>2.2758999999870344</v>
      </c>
      <c r="AP29" s="162">
        <v>2.2790714285594209</v>
      </c>
      <c r="AQ29" s="162">
        <v>2.2806857142856769</v>
      </c>
      <c r="AR29" s="162">
        <v>2.2822999999999309</v>
      </c>
      <c r="AS29" s="162">
        <v>2.2839142857142503</v>
      </c>
      <c r="AT29" s="162">
        <v>2.2855285714285043</v>
      </c>
      <c r="AU29" s="162">
        <v>2.2871428571427743</v>
      </c>
      <c r="AV29" s="163"/>
    </row>
    <row r="30" spans="1:48" ht="12.75" customHeight="1">
      <c r="A30" s="459">
        <v>41103</v>
      </c>
      <c r="B30" s="139">
        <v>28</v>
      </c>
      <c r="C30" s="162">
        <v>0.1435714285702748</v>
      </c>
      <c r="D30" s="162">
        <v>0.1435714285702748</v>
      </c>
      <c r="E30" s="162">
        <v>0.1435714285702748</v>
      </c>
      <c r="F30" s="162">
        <v>0.1569999999992433</v>
      </c>
      <c r="G30" s="162">
        <v>0.20928571428521536</v>
      </c>
      <c r="H30" s="162">
        <v>0.32257142856958254</v>
      </c>
      <c r="I30" s="162">
        <v>0.50399999999613743</v>
      </c>
      <c r="J30" s="162">
        <v>0.60185714285242797</v>
      </c>
      <c r="K30" s="162">
        <v>0.69142857142703307</v>
      </c>
      <c r="L30" s="162">
        <v>0.78671428571085145</v>
      </c>
      <c r="M30" s="162">
        <v>0.84028571428227994</v>
      </c>
      <c r="N30" s="162">
        <v>0.88957142856816063</v>
      </c>
      <c r="O30" s="162">
        <v>0.93942857142454672</v>
      </c>
      <c r="P30" s="162">
        <v>0.98614285713743544</v>
      </c>
      <c r="Q30" s="162">
        <v>1.0319999999919673</v>
      </c>
      <c r="R30" s="162">
        <v>1.0745714285606351</v>
      </c>
      <c r="S30" s="162">
        <v>0.73464285713998834</v>
      </c>
      <c r="T30" s="162">
        <v>0.80207142856670544</v>
      </c>
      <c r="U30" s="162">
        <v>0.9381428571370114</v>
      </c>
      <c r="V30" s="162">
        <v>1.105714285702561</v>
      </c>
      <c r="W30" s="162">
        <v>1.2705714285652252</v>
      </c>
      <c r="X30" s="162">
        <v>1.435428571421653</v>
      </c>
      <c r="Y30" s="162">
        <v>1.5678571428517378</v>
      </c>
      <c r="Z30" s="162">
        <v>1.6833571428516214</v>
      </c>
      <c r="AA30" s="162">
        <v>1.7877142857074171</v>
      </c>
      <c r="AB30" s="162">
        <v>1.8554857142776848</v>
      </c>
      <c r="AC30" s="162">
        <v>1.9232571428500314</v>
      </c>
      <c r="AD30" s="162">
        <v>1.9910285714119837</v>
      </c>
      <c r="AE30" s="162">
        <v>2.0587999999822513</v>
      </c>
      <c r="AF30" s="162">
        <v>2.1265714285587558</v>
      </c>
      <c r="AG30" s="162">
        <v>2.1355142857022913</v>
      </c>
      <c r="AH30" s="162">
        <v>2.1444571428375117</v>
      </c>
      <c r="AI30" s="162">
        <v>2.1533999999852051</v>
      </c>
      <c r="AJ30" s="162">
        <v>2.1623428571287406</v>
      </c>
      <c r="AK30" s="162">
        <v>2.171285714263961</v>
      </c>
      <c r="AL30" s="162">
        <v>2.1759142857044935</v>
      </c>
      <c r="AM30" s="162">
        <v>2.18054285713671</v>
      </c>
      <c r="AN30" s="162">
        <v>2.1851714285564539</v>
      </c>
      <c r="AO30" s="162">
        <v>2.1897999999845132</v>
      </c>
      <c r="AP30" s="162">
        <v>2.1944285714084146</v>
      </c>
      <c r="AQ30" s="162">
        <v>2.1970714285713484</v>
      </c>
      <c r="AR30" s="162">
        <v>2.1997142857142564</v>
      </c>
      <c r="AS30" s="162">
        <v>2.2023571428571</v>
      </c>
      <c r="AT30" s="162">
        <v>2.2049999999999272</v>
      </c>
      <c r="AU30" s="162">
        <v>2.2076428571428028</v>
      </c>
      <c r="AV30" s="163"/>
    </row>
    <row r="31" spans="1:48" ht="12.75" customHeight="1">
      <c r="A31" s="459">
        <v>41110</v>
      </c>
      <c r="B31" s="139">
        <v>29</v>
      </c>
      <c r="C31" s="162">
        <v>0.11671428571363711</v>
      </c>
      <c r="D31" s="162">
        <v>0.11671428571363711</v>
      </c>
      <c r="E31" s="162">
        <v>0.11671428571363711</v>
      </c>
      <c r="F31" s="162">
        <v>0.13157142857068849</v>
      </c>
      <c r="G31" s="162">
        <v>0.17971428571373896</v>
      </c>
      <c r="H31" s="162">
        <v>0.28985714285590802</v>
      </c>
      <c r="I31" s="162">
        <v>0.46114285714065772</v>
      </c>
      <c r="J31" s="162">
        <v>0.55942857142612668</v>
      </c>
      <c r="K31" s="162">
        <v>0.649571428568119</v>
      </c>
      <c r="L31" s="162">
        <v>0.7451428571366705</v>
      </c>
      <c r="M31" s="162">
        <v>0.79785714285286036</v>
      </c>
      <c r="N31" s="162">
        <v>0.84799999999605846</v>
      </c>
      <c r="O31" s="162">
        <v>0.89457142856762006</v>
      </c>
      <c r="P31" s="162">
        <v>0.94171428570968729</v>
      </c>
      <c r="Q31" s="162">
        <v>0.98399999999466148</v>
      </c>
      <c r="R31" s="162">
        <v>1.0242857142813071</v>
      </c>
      <c r="S31" s="162">
        <v>0.67897142856756021</v>
      </c>
      <c r="T31" s="162">
        <v>0.7540714285652419</v>
      </c>
      <c r="U31" s="162">
        <v>0.88501428570868612</v>
      </c>
      <c r="V31" s="162">
        <v>1.0615714285647428</v>
      </c>
      <c r="W31" s="162">
        <v>1.2279714285603922</v>
      </c>
      <c r="X31" s="162">
        <v>1.3943714285643571</v>
      </c>
      <c r="Y31" s="162">
        <v>1.5339285714227506</v>
      </c>
      <c r="Z31" s="162">
        <v>1.6525142857010775</v>
      </c>
      <c r="AA31" s="162">
        <v>1.7547714285631497</v>
      </c>
      <c r="AB31" s="162">
        <v>1.8236028571305463</v>
      </c>
      <c r="AC31" s="162">
        <v>1.8924342857083372</v>
      </c>
      <c r="AD31" s="162">
        <v>1.9612657142778125</v>
      </c>
      <c r="AE31" s="162">
        <v>2.0300971428431303</v>
      </c>
      <c r="AF31" s="162">
        <v>2.098928571408448</v>
      </c>
      <c r="AG31" s="162">
        <v>2.1097828571260573</v>
      </c>
      <c r="AH31" s="162">
        <v>2.1206371428436666</v>
      </c>
      <c r="AI31" s="162">
        <v>2.1314914285488027</v>
      </c>
      <c r="AJ31" s="162">
        <v>2.142345714266412</v>
      </c>
      <c r="AK31" s="162">
        <v>2.1531999999840208</v>
      </c>
      <c r="AL31" s="162">
        <v>2.1578885714116041</v>
      </c>
      <c r="AM31" s="162">
        <v>2.162577142847502</v>
      </c>
      <c r="AN31" s="162">
        <v>2.1672657142667697</v>
      </c>
      <c r="AO31" s="162">
        <v>2.1719542856985101</v>
      </c>
      <c r="AP31" s="162">
        <v>2.176642857130251</v>
      </c>
      <c r="AQ31" s="162">
        <v>2.1797285714285408</v>
      </c>
      <c r="AR31" s="162">
        <v>2.182814285714211</v>
      </c>
      <c r="AS31" s="162">
        <v>2.1858999999999305</v>
      </c>
      <c r="AT31" s="162">
        <v>2.1889857142856659</v>
      </c>
      <c r="AU31" s="162">
        <v>2.192071428571353</v>
      </c>
      <c r="AV31" s="163"/>
    </row>
    <row r="32" spans="1:48" ht="12.75" customHeight="1">
      <c r="A32" s="459">
        <v>41117</v>
      </c>
      <c r="B32" s="139">
        <v>30</v>
      </c>
      <c r="C32" s="162">
        <v>0.10885714285697239</v>
      </c>
      <c r="D32" s="162">
        <v>0.10885714285697239</v>
      </c>
      <c r="E32" s="162">
        <v>0.10885714285697239</v>
      </c>
      <c r="F32" s="162">
        <v>0.12114285714246112</v>
      </c>
      <c r="G32" s="162">
        <v>0.16414285714225635</v>
      </c>
      <c r="H32" s="162">
        <v>0.26271428571219851</v>
      </c>
      <c r="I32" s="162">
        <v>0.42428571428328199</v>
      </c>
      <c r="J32" s="162">
        <v>0.5244285714257525</v>
      </c>
      <c r="K32" s="162">
        <v>0.61714285713761841</v>
      </c>
      <c r="L32" s="162">
        <v>0.70928571428313647</v>
      </c>
      <c r="M32" s="162">
        <v>0.75899999999715606</v>
      </c>
      <c r="N32" s="162">
        <v>0.80542857142531177</v>
      </c>
      <c r="O32" s="162">
        <v>0.8529999999965574</v>
      </c>
      <c r="P32" s="162">
        <v>0.90099999999698144</v>
      </c>
      <c r="Q32" s="162">
        <v>0.94399999999690665</v>
      </c>
      <c r="R32" s="162">
        <v>0.98457142856828528</v>
      </c>
      <c r="S32" s="162">
        <v>0.67135714285333437</v>
      </c>
      <c r="T32" s="162">
        <v>0.74328571428278722</v>
      </c>
      <c r="U32" s="162">
        <v>0.88492857142409775</v>
      </c>
      <c r="V32" s="162">
        <v>1.0587857142807997</v>
      </c>
      <c r="W32" s="162">
        <v>1.228964285706752</v>
      </c>
      <c r="X32" s="162">
        <v>1.3991428571337434</v>
      </c>
      <c r="Y32" s="162">
        <v>1.5337857142793445</v>
      </c>
      <c r="Z32" s="162">
        <v>1.652614285707906</v>
      </c>
      <c r="AA32" s="162">
        <v>1.7656428571333109</v>
      </c>
      <c r="AB32" s="162">
        <v>1.8335142857041709</v>
      </c>
      <c r="AC32" s="162">
        <v>1.9013857142812671</v>
      </c>
      <c r="AD32" s="162">
        <v>1.9692571428458905</v>
      </c>
      <c r="AE32" s="162">
        <v>2.03712857141675</v>
      </c>
      <c r="AF32" s="162">
        <v>2.1049999999772155</v>
      </c>
      <c r="AG32" s="162">
        <v>2.1177142856925326</v>
      </c>
      <c r="AH32" s="162">
        <v>2.1304285714120068</v>
      </c>
      <c r="AI32" s="162">
        <v>2.1431428571273239</v>
      </c>
      <c r="AJ32" s="162">
        <v>2.1558571428426405</v>
      </c>
      <c r="AK32" s="162">
        <v>2.1685714285537996</v>
      </c>
      <c r="AL32" s="162">
        <v>2.1742428571326724</v>
      </c>
      <c r="AM32" s="162">
        <v>2.1799142856949141</v>
      </c>
      <c r="AN32" s="162">
        <v>2.1855857142696289</v>
      </c>
      <c r="AO32" s="162">
        <v>2.1912571428401861</v>
      </c>
      <c r="AP32" s="162">
        <v>2.1969285714190585</v>
      </c>
      <c r="AQ32" s="162">
        <v>2.2009714285713438</v>
      </c>
      <c r="AR32" s="162">
        <v>2.205014285714209</v>
      </c>
      <c r="AS32" s="162">
        <v>2.2090571428570747</v>
      </c>
      <c r="AT32" s="162">
        <v>2.2130999999999403</v>
      </c>
      <c r="AU32" s="162">
        <v>2.2171428571428056</v>
      </c>
      <c r="AV32" s="163"/>
    </row>
    <row r="33" spans="1:48" ht="12.75" customHeight="1">
      <c r="A33" s="459">
        <v>41124</v>
      </c>
      <c r="B33" s="139">
        <v>31</v>
      </c>
      <c r="C33" s="162">
        <v>9.942857142816916E-2</v>
      </c>
      <c r="D33" s="162">
        <v>9.942857142816916E-2</v>
      </c>
      <c r="E33" s="162">
        <v>9.942857142816916E-2</v>
      </c>
      <c r="F33" s="162">
        <v>0.10871428571395621</v>
      </c>
      <c r="G33" s="162">
        <v>0.14385714285604728</v>
      </c>
      <c r="H33" s="162">
        <v>0.23314285714176158</v>
      </c>
      <c r="I33" s="162">
        <v>0.38242857142748626</v>
      </c>
      <c r="J33" s="162">
        <v>0.48128571428450023</v>
      </c>
      <c r="K33" s="162">
        <v>0.57257142856646426</v>
      </c>
      <c r="L33" s="162">
        <v>0.66514285714012134</v>
      </c>
      <c r="M33" s="162">
        <v>0.71214285713774317</v>
      </c>
      <c r="N33" s="162">
        <v>0.75671428570993671</v>
      </c>
      <c r="O33" s="162">
        <v>0.80528571428190576</v>
      </c>
      <c r="P33" s="162">
        <v>0.85042857142564432</v>
      </c>
      <c r="Q33" s="162">
        <v>0.89614285713884911</v>
      </c>
      <c r="R33" s="162">
        <v>0.93799999999568429</v>
      </c>
      <c r="S33" s="162">
        <v>0.60885714285229497</v>
      </c>
      <c r="T33" s="162">
        <v>0.69949999999828694</v>
      </c>
      <c r="U33" s="162">
        <v>0.85057142856801093</v>
      </c>
      <c r="V33" s="162">
        <v>1.0374285714247629</v>
      </c>
      <c r="W33" s="162">
        <v>1.2197857142808579</v>
      </c>
      <c r="X33" s="162">
        <v>1.4021428571369532</v>
      </c>
      <c r="Y33" s="162">
        <v>1.5469714285614566</v>
      </c>
      <c r="Z33" s="162">
        <v>1.6787142857044401</v>
      </c>
      <c r="AA33" s="162">
        <v>1.7817857142799767</v>
      </c>
      <c r="AB33" s="162">
        <v>1.8528285714211441</v>
      </c>
      <c r="AC33" s="162">
        <v>1.9238714285623115</v>
      </c>
      <c r="AD33" s="162">
        <v>1.9949142857014002</v>
      </c>
      <c r="AE33" s="162">
        <v>2.0659571428467252</v>
      </c>
      <c r="AF33" s="162">
        <v>2.1369999999920504</v>
      </c>
      <c r="AG33" s="162">
        <v>2.1478714285476599</v>
      </c>
      <c r="AH33" s="162">
        <v>2.1587428571240577</v>
      </c>
      <c r="AI33" s="162">
        <v>2.1696142856962979</v>
      </c>
      <c r="AJ33" s="162">
        <v>2.1804857142726957</v>
      </c>
      <c r="AK33" s="162">
        <v>2.1913571428449359</v>
      </c>
      <c r="AL33" s="162">
        <v>2.195771428552689</v>
      </c>
      <c r="AM33" s="162">
        <v>2.2001857142729149</v>
      </c>
      <c r="AN33" s="162">
        <v>2.204599999980668</v>
      </c>
      <c r="AO33" s="162">
        <v>2.2090142856967367</v>
      </c>
      <c r="AP33" s="162">
        <v>2.2134285714128055</v>
      </c>
      <c r="AQ33" s="162">
        <v>2.2155285714285027</v>
      </c>
      <c r="AR33" s="162">
        <v>2.217628571428528</v>
      </c>
      <c r="AS33" s="162">
        <v>2.2197285714285044</v>
      </c>
      <c r="AT33" s="162">
        <v>2.2218285714285293</v>
      </c>
      <c r="AU33" s="162">
        <v>2.2239285714285058</v>
      </c>
      <c r="AV33" s="163"/>
    </row>
    <row r="34" spans="1:48" ht="12.75" customHeight="1">
      <c r="A34" s="459">
        <v>41131</v>
      </c>
      <c r="B34" s="139">
        <v>32</v>
      </c>
      <c r="C34" s="162">
        <v>9.5999999999548891E-2</v>
      </c>
      <c r="D34" s="162">
        <v>9.5999999999548891E-2</v>
      </c>
      <c r="E34" s="162">
        <v>9.5999999999548891E-2</v>
      </c>
      <c r="F34" s="162">
        <v>0.10628571428553965</v>
      </c>
      <c r="G34" s="162">
        <v>0.13842857142766921</v>
      </c>
      <c r="H34" s="162">
        <v>0.22285714285629052</v>
      </c>
      <c r="I34" s="162">
        <v>0.36485714285507648</v>
      </c>
      <c r="J34" s="162">
        <v>0.46271428571292611</v>
      </c>
      <c r="K34" s="162">
        <v>0.55342857142490431</v>
      </c>
      <c r="L34" s="162">
        <v>0.64628571428329451</v>
      </c>
      <c r="M34" s="162">
        <v>0.69257142856596532</v>
      </c>
      <c r="N34" s="162">
        <v>0.73699999999891064</v>
      </c>
      <c r="O34" s="162">
        <v>0.78342857142394806</v>
      </c>
      <c r="P34" s="162">
        <v>0.82999999999343077</v>
      </c>
      <c r="Q34" s="162">
        <v>0.87357142857009806</v>
      </c>
      <c r="R34" s="162">
        <v>0.91599999999639936</v>
      </c>
      <c r="S34" s="162">
        <v>0.61521428571099279</v>
      </c>
      <c r="T34" s="162">
        <v>0.71899999999524355</v>
      </c>
      <c r="U34" s="162">
        <v>0.88418571428129711</v>
      </c>
      <c r="V34" s="162">
        <v>1.082971428566712</v>
      </c>
      <c r="W34" s="162">
        <v>1.2734499999953965</v>
      </c>
      <c r="X34" s="162">
        <v>1.4639285714178445</v>
      </c>
      <c r="Y34" s="162">
        <v>1.6193571428510558</v>
      </c>
      <c r="Z34" s="162">
        <v>1.752399999991342</v>
      </c>
      <c r="AA34" s="162">
        <v>1.8686857142830766</v>
      </c>
      <c r="AB34" s="162">
        <v>1.9397771428526278</v>
      </c>
      <c r="AC34" s="162">
        <v>2.0108685714180212</v>
      </c>
      <c r="AD34" s="162">
        <v>2.0819599999854939</v>
      </c>
      <c r="AE34" s="162">
        <v>2.1530514285592028</v>
      </c>
      <c r="AF34" s="162">
        <v>2.2241428571245963</v>
      </c>
      <c r="AG34" s="162">
        <v>2.2372857142763678</v>
      </c>
      <c r="AH34" s="162">
        <v>2.2504285714115082</v>
      </c>
      <c r="AI34" s="162">
        <v>2.2635714285632793</v>
      </c>
      <c r="AJ34" s="162">
        <v>2.2767142856984197</v>
      </c>
      <c r="AK34" s="162">
        <v>2.2898571428501908</v>
      </c>
      <c r="AL34" s="162">
        <v>2.2926142856969296</v>
      </c>
      <c r="AM34" s="162">
        <v>2.2953714285519835</v>
      </c>
      <c r="AN34" s="162">
        <v>2.298128571415353</v>
      </c>
      <c r="AO34" s="162">
        <v>2.3008857142662493</v>
      </c>
      <c r="AP34" s="162">
        <v>2.3036428571337764</v>
      </c>
      <c r="AQ34" s="162">
        <v>2.3058714285713706</v>
      </c>
      <c r="AR34" s="162">
        <v>2.3080999999999676</v>
      </c>
      <c r="AS34" s="162">
        <v>2.3103285714285318</v>
      </c>
      <c r="AT34" s="162">
        <v>2.3125571428571119</v>
      </c>
      <c r="AU34" s="162">
        <v>2.3147857142856925</v>
      </c>
      <c r="AV34" s="163"/>
    </row>
    <row r="35" spans="1:48" ht="12.75" customHeight="1">
      <c r="A35" s="459">
        <v>41138</v>
      </c>
      <c r="B35" s="139">
        <v>33</v>
      </c>
      <c r="C35" s="162">
        <v>9.6857142856606515E-2</v>
      </c>
      <c r="D35" s="162">
        <v>9.6857142856606515E-2</v>
      </c>
      <c r="E35" s="162">
        <v>9.6857142856606515E-2</v>
      </c>
      <c r="F35" s="162">
        <v>0.10371428571384707</v>
      </c>
      <c r="G35" s="162">
        <v>0.13271428571377847</v>
      </c>
      <c r="H35" s="162">
        <v>0.20842857142711829</v>
      </c>
      <c r="I35" s="162">
        <v>0.34199999999899383</v>
      </c>
      <c r="J35" s="162">
        <v>0.43471428571293858</v>
      </c>
      <c r="K35" s="162">
        <v>0.52528571428203052</v>
      </c>
      <c r="L35" s="162">
        <v>0.61499999999588384</v>
      </c>
      <c r="M35" s="162">
        <v>0.66271428571157487</v>
      </c>
      <c r="N35" s="162">
        <v>0.7062857142809662</v>
      </c>
      <c r="O35" s="162">
        <v>0.7529999999969732</v>
      </c>
      <c r="P35" s="162">
        <v>0.79714285713790944</v>
      </c>
      <c r="Q35" s="162">
        <v>0.8425714285694994</v>
      </c>
      <c r="R35" s="162">
        <v>0.88428571428500746</v>
      </c>
      <c r="S35" s="162">
        <v>0.58957142856732903</v>
      </c>
      <c r="T35" s="162">
        <v>0.69985714285264422</v>
      </c>
      <c r="U35" s="162">
        <v>0.8742857142808913</v>
      </c>
      <c r="V35" s="162">
        <v>1.077714285705172</v>
      </c>
      <c r="W35" s="162">
        <v>1.2694999999927987</v>
      </c>
      <c r="X35" s="162">
        <v>1.4612857142783469</v>
      </c>
      <c r="Y35" s="162">
        <v>1.6174285714244303</v>
      </c>
      <c r="Z35" s="162">
        <v>1.7502857142764177</v>
      </c>
      <c r="AA35" s="162">
        <v>1.8681428571352234</v>
      </c>
      <c r="AB35" s="162">
        <v>1.9408285714203624</v>
      </c>
      <c r="AC35" s="162">
        <v>2.0135142856992645</v>
      </c>
      <c r="AD35" s="162">
        <v>2.0861999999823246</v>
      </c>
      <c r="AE35" s="162">
        <v>2.1588857142695423</v>
      </c>
      <c r="AF35" s="162">
        <v>2.2315714285609176</v>
      </c>
      <c r="AG35" s="162">
        <v>2.2460285714062462</v>
      </c>
      <c r="AH35" s="162">
        <v>2.2604857142723631</v>
      </c>
      <c r="AI35" s="162">
        <v>2.2749428571176913</v>
      </c>
      <c r="AJ35" s="162">
        <v>2.2893999999921233</v>
      </c>
      <c r="AK35" s="162">
        <v>2.3038571428374519</v>
      </c>
      <c r="AL35" s="162">
        <v>2.3060571428380041</v>
      </c>
      <c r="AM35" s="162">
        <v>2.308257142851029</v>
      </c>
      <c r="AN35" s="162">
        <v>2.3104571428474237</v>
      </c>
      <c r="AO35" s="162">
        <v>2.3126571428438183</v>
      </c>
      <c r="AP35" s="162">
        <v>2.3148571428443701</v>
      </c>
      <c r="AQ35" s="162">
        <v>2.3177428571427914</v>
      </c>
      <c r="AR35" s="162">
        <v>2.3206285714285286</v>
      </c>
      <c r="AS35" s="162">
        <v>2.323514285714233</v>
      </c>
      <c r="AT35" s="162">
        <v>2.3263999999999374</v>
      </c>
      <c r="AU35" s="162">
        <v>2.3292857142856582</v>
      </c>
      <c r="AV35" s="163"/>
    </row>
    <row r="36" spans="1:48" ht="12.75" customHeight="1">
      <c r="A36" s="459">
        <v>41145</v>
      </c>
      <c r="B36" s="139">
        <v>34</v>
      </c>
      <c r="C36" s="162">
        <v>9.2999999999457419E-2</v>
      </c>
      <c r="D36" s="162">
        <v>9.2999999999457419E-2</v>
      </c>
      <c r="E36" s="162">
        <v>9.2999999999457419E-2</v>
      </c>
      <c r="F36" s="162">
        <v>0.10114285714215449</v>
      </c>
      <c r="G36" s="162">
        <v>0.12671428571359553</v>
      </c>
      <c r="H36" s="162">
        <v>0.19199999999883791</v>
      </c>
      <c r="I36" s="162">
        <v>0.30828571428459584</v>
      </c>
      <c r="J36" s="162">
        <v>0.39871428571340012</v>
      </c>
      <c r="K36" s="162">
        <v>0.49128571428341922</v>
      </c>
      <c r="L36" s="162">
        <v>0.57899999999582563</v>
      </c>
      <c r="M36" s="162">
        <v>0.62799999999489431</v>
      </c>
      <c r="N36" s="162">
        <v>0.67185714285213693</v>
      </c>
      <c r="O36" s="162">
        <v>0.71671428571114248</v>
      </c>
      <c r="P36" s="162">
        <v>0.76014285713712781</v>
      </c>
      <c r="Q36" s="162">
        <v>0.80557142856975716</v>
      </c>
      <c r="R36" s="162">
        <v>0.84957142856728751</v>
      </c>
      <c r="S36" s="162">
        <v>0.54562857142445864</v>
      </c>
      <c r="T36" s="162">
        <v>0.64962857142381836</v>
      </c>
      <c r="U36" s="162">
        <v>0.82478571428405945</v>
      </c>
      <c r="V36" s="162">
        <v>1.0238571428521286</v>
      </c>
      <c r="W36" s="162">
        <v>1.2155285714210808</v>
      </c>
      <c r="X36" s="162">
        <v>1.4071999999931513</v>
      </c>
      <c r="Y36" s="162">
        <v>1.5649857142790486</v>
      </c>
      <c r="Z36" s="162">
        <v>1.7002857142797438</v>
      </c>
      <c r="AA36" s="162">
        <v>1.8155571428464359</v>
      </c>
      <c r="AB36" s="162">
        <v>1.8902571428542223</v>
      </c>
      <c r="AC36" s="162">
        <v>1.964957142847457</v>
      </c>
      <c r="AD36" s="162">
        <v>2.0396571428448493</v>
      </c>
      <c r="AE36" s="162">
        <v>2.1143571428380836</v>
      </c>
      <c r="AF36" s="162">
        <v>2.1890571428437915</v>
      </c>
      <c r="AG36" s="162">
        <v>2.2037714285543188</v>
      </c>
      <c r="AH36" s="162">
        <v>2.2184857142690033</v>
      </c>
      <c r="AI36" s="162">
        <v>2.2331999999836882</v>
      </c>
      <c r="AJ36" s="162">
        <v>2.2479142856983731</v>
      </c>
      <c r="AK36" s="162">
        <v>2.2626285714089005</v>
      </c>
      <c r="AL36" s="162">
        <v>2.2656028571239273</v>
      </c>
      <c r="AM36" s="162">
        <v>2.2685771428389541</v>
      </c>
      <c r="AN36" s="162">
        <v>2.2715514285539808</v>
      </c>
      <c r="AO36" s="162">
        <v>2.2745257142690076</v>
      </c>
      <c r="AP36" s="162">
        <v>2.2774999999798764</v>
      </c>
      <c r="AQ36" s="162">
        <v>2.2794285714284763</v>
      </c>
      <c r="AR36" s="162">
        <v>2.2813571428570669</v>
      </c>
      <c r="AS36" s="162">
        <v>2.283285714285658</v>
      </c>
      <c r="AT36" s="162">
        <v>2.2852142857142486</v>
      </c>
      <c r="AU36" s="162">
        <v>2.2871428571427743</v>
      </c>
      <c r="AV36" s="163"/>
    </row>
    <row r="37" spans="1:48" ht="12.75" customHeight="1">
      <c r="A37" s="459">
        <v>41152</v>
      </c>
      <c r="B37" s="139">
        <v>35</v>
      </c>
      <c r="C37" s="162">
        <v>9.1428571428098487E-2</v>
      </c>
      <c r="D37" s="162">
        <v>9.1428571428098487E-2</v>
      </c>
      <c r="E37" s="162">
        <v>9.1428571428098487E-2</v>
      </c>
      <c r="F37" s="162">
        <v>9.8428571428225295E-2</v>
      </c>
      <c r="G37" s="162">
        <v>0.12142857142784383</v>
      </c>
      <c r="H37" s="162">
        <v>0.18042857142713078</v>
      </c>
      <c r="I37" s="162">
        <v>0.28614285714138532</v>
      </c>
      <c r="J37" s="162">
        <v>0.36885714285537163</v>
      </c>
      <c r="K37" s="162">
        <v>0.46442857142704136</v>
      </c>
      <c r="L37" s="162">
        <v>0.54799999999626636</v>
      </c>
      <c r="M37" s="162">
        <v>0.59885714285233649</v>
      </c>
      <c r="N37" s="162">
        <v>0.64414285714052044</v>
      </c>
      <c r="O37" s="162">
        <v>0.68842857142590219</v>
      </c>
      <c r="P37" s="162">
        <v>0.72971428571223174</v>
      </c>
      <c r="Q37" s="162">
        <v>0.77199999999616653</v>
      </c>
      <c r="R37" s="162">
        <v>0.81771428571145011</v>
      </c>
      <c r="S37" s="162">
        <v>0.5119285714255446</v>
      </c>
      <c r="T37" s="162">
        <v>0.60528571428273736</v>
      </c>
      <c r="U37" s="162">
        <v>0.76364285714017954</v>
      </c>
      <c r="V37" s="162">
        <v>0.95149999999869439</v>
      </c>
      <c r="W37" s="162">
        <v>1.1351428571340094</v>
      </c>
      <c r="X37" s="162">
        <v>1.3187857142745216</v>
      </c>
      <c r="Y37" s="162">
        <v>1.472642857136504</v>
      </c>
      <c r="Z37" s="162">
        <v>1.6044285714243804</v>
      </c>
      <c r="AA37" s="162">
        <v>1.7202142857110758</v>
      </c>
      <c r="AB37" s="162">
        <v>1.7946857142752768</v>
      </c>
      <c r="AC37" s="162">
        <v>1.8691571428498719</v>
      </c>
      <c r="AD37" s="162">
        <v>1.9436285714203092</v>
      </c>
      <c r="AE37" s="162">
        <v>2.0180999999907465</v>
      </c>
      <c r="AF37" s="162">
        <v>2.0925714285487107</v>
      </c>
      <c r="AG37" s="162">
        <v>2.1059857142681722</v>
      </c>
      <c r="AH37" s="162">
        <v>2.1193999999876332</v>
      </c>
      <c r="AI37" s="162">
        <v>2.1328142856987791</v>
      </c>
      <c r="AJ37" s="162">
        <v>2.1462285714140825</v>
      </c>
      <c r="AK37" s="162">
        <v>2.159642857129386</v>
      </c>
      <c r="AL37" s="162">
        <v>2.1633228571320484</v>
      </c>
      <c r="AM37" s="162">
        <v>2.1670028571263953</v>
      </c>
      <c r="AN37" s="162">
        <v>2.1706828571207422</v>
      </c>
      <c r="AO37" s="162">
        <v>2.1743628571275622</v>
      </c>
      <c r="AP37" s="162">
        <v>2.178042857121909</v>
      </c>
      <c r="AQ37" s="162">
        <v>2.1786199999999258</v>
      </c>
      <c r="AR37" s="162">
        <v>2.1791971428570895</v>
      </c>
      <c r="AS37" s="162">
        <v>2.1797742857142532</v>
      </c>
      <c r="AT37" s="162">
        <v>2.1803514285713681</v>
      </c>
      <c r="AU37" s="162">
        <v>2.1809285714284994</v>
      </c>
      <c r="AV37" s="163"/>
    </row>
    <row r="38" spans="1:48" ht="12.75" customHeight="1">
      <c r="A38" s="459">
        <v>41159</v>
      </c>
      <c r="B38" s="139">
        <v>36</v>
      </c>
      <c r="C38" s="162">
        <v>8.885714285679569E-2</v>
      </c>
      <c r="D38" s="162">
        <v>8.885714285679569E-2</v>
      </c>
      <c r="E38" s="162">
        <v>8.885714285679569E-2</v>
      </c>
      <c r="F38" s="162">
        <v>9.7285714285525099E-2</v>
      </c>
      <c r="G38" s="162">
        <v>0.12128571428495757</v>
      </c>
      <c r="H38" s="162">
        <v>0.17699999999941998</v>
      </c>
      <c r="I38" s="162">
        <v>0.26842857142712867</v>
      </c>
      <c r="J38" s="162">
        <v>0.34885714285493508</v>
      </c>
      <c r="K38" s="162">
        <v>0.44114285714074086</v>
      </c>
      <c r="L38" s="162">
        <v>0.52071428571174949</v>
      </c>
      <c r="M38" s="162">
        <v>0.57014285713791779</v>
      </c>
      <c r="N38" s="162">
        <v>0.61457142856566593</v>
      </c>
      <c r="O38" s="162">
        <v>0.6568571428537584</v>
      </c>
      <c r="P38" s="162">
        <v>0.69671428571226501</v>
      </c>
      <c r="Q38" s="162">
        <v>0.74028571428061696</v>
      </c>
      <c r="R38" s="162">
        <v>0.78085714285303498</v>
      </c>
      <c r="S38" s="162">
        <v>0.51614285713835018</v>
      </c>
      <c r="T38" s="162">
        <v>0.61871428570988685</v>
      </c>
      <c r="U38" s="162">
        <v>0.78807142856801093</v>
      </c>
      <c r="V38" s="162">
        <v>0.98468571428280216</v>
      </c>
      <c r="W38" s="162">
        <v>1.1746142857071908</v>
      </c>
      <c r="X38" s="162">
        <v>1.364542857134698</v>
      </c>
      <c r="Y38" s="162">
        <v>1.5233571428502077</v>
      </c>
      <c r="Z38" s="162">
        <v>1.6602857142778311</v>
      </c>
      <c r="AA38" s="162">
        <v>1.7821142857096024</v>
      </c>
      <c r="AB38" s="162">
        <v>1.8590857142782105</v>
      </c>
      <c r="AC38" s="162">
        <v>1.9360571428530549</v>
      </c>
      <c r="AD38" s="162">
        <v>2.0130285714195839</v>
      </c>
      <c r="AE38" s="162">
        <v>2.0899999999840344</v>
      </c>
      <c r="AF38" s="162">
        <v>2.1669714285568</v>
      </c>
      <c r="AG38" s="162">
        <v>2.1840628571267837</v>
      </c>
      <c r="AH38" s="162">
        <v>2.2011542857050825</v>
      </c>
      <c r="AI38" s="162">
        <v>2.2182457142667511</v>
      </c>
      <c r="AJ38" s="162">
        <v>2.2353371428492079</v>
      </c>
      <c r="AK38" s="162">
        <v>2.252428571410876</v>
      </c>
      <c r="AL38" s="162">
        <v>2.257522857128476</v>
      </c>
      <c r="AM38" s="162">
        <v>2.262617142846076</v>
      </c>
      <c r="AN38" s="162">
        <v>2.2677114285553603</v>
      </c>
      <c r="AO38" s="162">
        <v>2.2728057142771179</v>
      </c>
      <c r="AP38" s="162">
        <v>2.2778999999864027</v>
      </c>
      <c r="AQ38" s="162">
        <v>2.2804342857142172</v>
      </c>
      <c r="AR38" s="162">
        <v>2.2829685714284875</v>
      </c>
      <c r="AS38" s="162">
        <v>2.2855028571428386</v>
      </c>
      <c r="AT38" s="162">
        <v>2.2880371428571085</v>
      </c>
      <c r="AU38" s="162">
        <v>2.2905714285713947</v>
      </c>
      <c r="AV38" s="163"/>
    </row>
    <row r="39" spans="1:48" ht="12.75" customHeight="1">
      <c r="A39" s="459">
        <v>41166</v>
      </c>
      <c r="B39" s="139">
        <v>37</v>
      </c>
      <c r="C39" s="162">
        <v>8.728571428530682E-2</v>
      </c>
      <c r="D39" s="162">
        <v>8.728571428530682E-2</v>
      </c>
      <c r="E39" s="162">
        <v>8.728571428530682E-2</v>
      </c>
      <c r="F39" s="162">
        <v>9.5857142856662636E-2</v>
      </c>
      <c r="G39" s="162">
        <v>0.12014285714264718</v>
      </c>
      <c r="H39" s="162">
        <v>0.17399999999906868</v>
      </c>
      <c r="I39" s="162">
        <v>0.25471428571316729</v>
      </c>
      <c r="J39" s="162">
        <v>0.32928571428315728</v>
      </c>
      <c r="K39" s="162">
        <v>0.41942857142618906</v>
      </c>
      <c r="L39" s="162">
        <v>0.49557142856948688</v>
      </c>
      <c r="M39" s="162">
        <v>0.54485714285380837</v>
      </c>
      <c r="N39" s="162">
        <v>0.58928571428259602</v>
      </c>
      <c r="O39" s="162">
        <v>0.63228571428356051</v>
      </c>
      <c r="P39" s="162">
        <v>0.67228571428131545</v>
      </c>
      <c r="Q39" s="162">
        <v>0.71357142856764499</v>
      </c>
      <c r="R39" s="162">
        <v>0.75371428571192411</v>
      </c>
      <c r="S39" s="162">
        <v>0.52102857142693071</v>
      </c>
      <c r="T39" s="162">
        <v>0.6395428571413504</v>
      </c>
      <c r="U39" s="162">
        <v>0.82814285713746871</v>
      </c>
      <c r="V39" s="162">
        <v>1.0347571428480606</v>
      </c>
      <c r="W39" s="162">
        <v>1.2300928571369565</v>
      </c>
      <c r="X39" s="162">
        <v>1.4254285714227339</v>
      </c>
      <c r="Y39" s="162">
        <v>1.5892571428495492</v>
      </c>
      <c r="Z39" s="162">
        <v>1.730714285702561</v>
      </c>
      <c r="AA39" s="162">
        <v>1.8527142857035088</v>
      </c>
      <c r="AB39" s="162">
        <v>1.935528571422245</v>
      </c>
      <c r="AC39" s="162">
        <v>2.0183428571285078</v>
      </c>
      <c r="AD39" s="162">
        <v>2.1011571428514015</v>
      </c>
      <c r="AE39" s="162">
        <v>2.1839714285576646</v>
      </c>
      <c r="AF39" s="162">
        <v>2.2667857142639276</v>
      </c>
      <c r="AG39" s="162">
        <v>2.2867485714128373</v>
      </c>
      <c r="AH39" s="162">
        <v>2.3067114285492734</v>
      </c>
      <c r="AI39" s="162">
        <v>2.326674285698183</v>
      </c>
      <c r="AJ39" s="162">
        <v>2.3466371428387771</v>
      </c>
      <c r="AK39" s="162">
        <v>2.3665999999793712</v>
      </c>
      <c r="AL39" s="162">
        <v>2.3737514285561958</v>
      </c>
      <c r="AM39" s="162">
        <v>2.3809028571330209</v>
      </c>
      <c r="AN39" s="162">
        <v>2.3880542856973728</v>
      </c>
      <c r="AO39" s="162">
        <v>2.3952057142741978</v>
      </c>
      <c r="AP39" s="162">
        <v>2.4023571428385493</v>
      </c>
      <c r="AQ39" s="162">
        <v>2.4059199999999397</v>
      </c>
      <c r="AR39" s="162">
        <v>2.4094828571427991</v>
      </c>
      <c r="AS39" s="162">
        <v>2.4130457142856421</v>
      </c>
      <c r="AT39" s="162">
        <v>2.4166085714285339</v>
      </c>
      <c r="AU39" s="162">
        <v>2.4201714285713445</v>
      </c>
      <c r="AV39" s="163"/>
    </row>
    <row r="40" spans="1:48" ht="12.75" customHeight="1">
      <c r="A40" s="459">
        <v>41173</v>
      </c>
      <c r="B40" s="139">
        <v>38</v>
      </c>
      <c r="C40" s="162">
        <v>8.4571428570987844E-2</v>
      </c>
      <c r="D40" s="162">
        <v>8.4571428570987844E-2</v>
      </c>
      <c r="E40" s="162">
        <v>8.4571428570987844E-2</v>
      </c>
      <c r="F40" s="162">
        <v>9.2857142856701103E-2</v>
      </c>
      <c r="G40" s="162">
        <v>0.11685714285691313</v>
      </c>
      <c r="H40" s="162">
        <v>0.16671428571316937</v>
      </c>
      <c r="I40" s="162">
        <v>0.23528571428479542</v>
      </c>
      <c r="J40" s="162">
        <v>0.30557142857027686</v>
      </c>
      <c r="K40" s="162">
        <v>0.39542857142701643</v>
      </c>
      <c r="L40" s="162">
        <v>0.46657142856981537</v>
      </c>
      <c r="M40" s="162">
        <v>0.51528571428311154</v>
      </c>
      <c r="N40" s="162">
        <v>0.55914285714035417</v>
      </c>
      <c r="O40" s="162">
        <v>0.60128571428192246</v>
      </c>
      <c r="P40" s="162">
        <v>0.64157142856752858</v>
      </c>
      <c r="Q40" s="162">
        <v>0.68199999999758021</v>
      </c>
      <c r="R40" s="162">
        <v>0.72242857142451344</v>
      </c>
      <c r="S40" s="162">
        <v>0.4830714285677199</v>
      </c>
      <c r="T40" s="162">
        <v>0.61099999999610832</v>
      </c>
      <c r="U40" s="162">
        <v>0.79571428570904701</v>
      </c>
      <c r="V40" s="162">
        <v>1.0095714285676616</v>
      </c>
      <c r="W40" s="162">
        <v>1.2111071428475302</v>
      </c>
      <c r="X40" s="162">
        <v>1.4126428571367535</v>
      </c>
      <c r="Y40" s="162">
        <v>1.5811428571365207</v>
      </c>
      <c r="Z40" s="162">
        <v>1.7275428571384899</v>
      </c>
      <c r="AA40" s="162">
        <v>1.854499999995044</v>
      </c>
      <c r="AB40" s="162">
        <v>1.9387714285611373</v>
      </c>
      <c r="AC40" s="162">
        <v>2.0230428571355459</v>
      </c>
      <c r="AD40" s="162">
        <v>2.1073142856974818</v>
      </c>
      <c r="AE40" s="162">
        <v>2.1915857142635753</v>
      </c>
      <c r="AF40" s="162">
        <v>2.275857142850457</v>
      </c>
      <c r="AG40" s="162">
        <v>2.2963514285594488</v>
      </c>
      <c r="AH40" s="162">
        <v>2.3168457142684407</v>
      </c>
      <c r="AI40" s="162">
        <v>2.33733999998159</v>
      </c>
      <c r="AJ40" s="162">
        <v>2.3578342856947399</v>
      </c>
      <c r="AK40" s="162">
        <v>2.3783285714203624</v>
      </c>
      <c r="AL40" s="162">
        <v>2.3849771428379296</v>
      </c>
      <c r="AM40" s="162">
        <v>2.3916257142721276</v>
      </c>
      <c r="AN40" s="162">
        <v>2.3982742856938524</v>
      </c>
      <c r="AO40" s="162">
        <v>2.4049228571322079</v>
      </c>
      <c r="AP40" s="162">
        <v>2.4115714285664058</v>
      </c>
      <c r="AQ40" s="162">
        <v>2.4160371428571188</v>
      </c>
      <c r="AR40" s="162">
        <v>2.4205028571427807</v>
      </c>
      <c r="AS40" s="162">
        <v>2.4249685714285079</v>
      </c>
      <c r="AT40" s="162">
        <v>2.4294342857142182</v>
      </c>
      <c r="AU40" s="162">
        <v>2.4338999999999613</v>
      </c>
      <c r="AV40" s="163"/>
    </row>
    <row r="41" spans="1:48" ht="12.75" customHeight="1">
      <c r="A41" s="459">
        <v>41180</v>
      </c>
      <c r="B41" s="139">
        <v>39</v>
      </c>
      <c r="C41" s="162">
        <v>8.4142857142199184E-2</v>
      </c>
      <c r="D41" s="162">
        <v>8.4142857142199184E-2</v>
      </c>
      <c r="E41" s="162">
        <v>8.4142857142199184E-2</v>
      </c>
      <c r="F41" s="162">
        <v>9.1285714285602018E-2</v>
      </c>
      <c r="G41" s="162">
        <v>0.11599999999959566</v>
      </c>
      <c r="H41" s="162">
        <v>0.15985714285592881</v>
      </c>
      <c r="I41" s="162">
        <v>0.22157142857083401</v>
      </c>
      <c r="J41" s="162">
        <v>0.28842857142704553</v>
      </c>
      <c r="K41" s="162">
        <v>0.37414285714060364</v>
      </c>
      <c r="L41" s="162">
        <v>0.44328571428403457</v>
      </c>
      <c r="M41" s="162">
        <v>0.49157142856971142</v>
      </c>
      <c r="N41" s="162">
        <v>0.53342857142290856</v>
      </c>
      <c r="O41" s="162">
        <v>0.57285714285431555</v>
      </c>
      <c r="P41" s="162">
        <v>0.61357142857013969</v>
      </c>
      <c r="Q41" s="162">
        <v>0.6525714285671711</v>
      </c>
      <c r="R41" s="162">
        <v>0.69142857142287539</v>
      </c>
      <c r="S41" s="162">
        <v>0.46299999999817892</v>
      </c>
      <c r="T41" s="162">
        <v>0.57628571428046726</v>
      </c>
      <c r="U41" s="162">
        <v>0.74728571428048385</v>
      </c>
      <c r="V41" s="162">
        <v>0.94657142856781962</v>
      </c>
      <c r="W41" s="162">
        <v>1.1417857142784797</v>
      </c>
      <c r="X41" s="162">
        <v>1.3369999999953766</v>
      </c>
      <c r="Y41" s="162">
        <v>1.5015714285629136</v>
      </c>
      <c r="Z41" s="162">
        <v>1.6427142857054213</v>
      </c>
      <c r="AA41" s="162">
        <v>1.7682857142811241</v>
      </c>
      <c r="AB41" s="162">
        <v>1.8519428571390952</v>
      </c>
      <c r="AC41" s="162">
        <v>1.9355999999970663</v>
      </c>
      <c r="AD41" s="162">
        <v>2.0192571428508796</v>
      </c>
      <c r="AE41" s="162">
        <v>2.102914285704693</v>
      </c>
      <c r="AF41" s="162">
        <v>2.1865714285564275</v>
      </c>
      <c r="AG41" s="162">
        <v>2.2071714285578179</v>
      </c>
      <c r="AH41" s="162">
        <v>2.2277714285508927</v>
      </c>
      <c r="AI41" s="162">
        <v>2.2483714285564407</v>
      </c>
      <c r="AJ41" s="162">
        <v>2.2689714285536735</v>
      </c>
      <c r="AK41" s="162">
        <v>2.2895714285509059</v>
      </c>
      <c r="AL41" s="162">
        <v>2.2977999999878063</v>
      </c>
      <c r="AM41" s="162">
        <v>2.3060285714122331</v>
      </c>
      <c r="AN41" s="162">
        <v>2.3142571428408178</v>
      </c>
      <c r="AO41" s="162">
        <v>2.3224857142652451</v>
      </c>
      <c r="AP41" s="162">
        <v>2.3307142856896719</v>
      </c>
      <c r="AQ41" s="162">
        <v>2.3337714285713673</v>
      </c>
      <c r="AR41" s="162">
        <v>2.336828571428522</v>
      </c>
      <c r="AS41" s="162">
        <v>2.3398857142856611</v>
      </c>
      <c r="AT41" s="162">
        <v>2.3429428571428161</v>
      </c>
      <c r="AU41" s="162">
        <v>2.3459999999999548</v>
      </c>
      <c r="AV41" s="163"/>
    </row>
    <row r="42" spans="1:48" ht="12.75" customHeight="1">
      <c r="A42" s="459">
        <v>41187</v>
      </c>
      <c r="B42" s="139">
        <v>40</v>
      </c>
      <c r="C42" s="162">
        <v>8.1857142856538945E-2</v>
      </c>
      <c r="D42" s="162">
        <v>8.1857142856538945E-2</v>
      </c>
      <c r="E42" s="162">
        <v>8.1857142856538945E-2</v>
      </c>
      <c r="F42" s="162">
        <v>8.9285714285454426E-2</v>
      </c>
      <c r="G42" s="162">
        <v>0.11328571428514675</v>
      </c>
      <c r="H42" s="162">
        <v>0.15628571428481206</v>
      </c>
      <c r="I42" s="162">
        <v>0.21742857142739272</v>
      </c>
      <c r="J42" s="162">
        <v>0.28128571428429233</v>
      </c>
      <c r="K42" s="162">
        <v>0.36157142857025193</v>
      </c>
      <c r="L42" s="162">
        <v>0.42985714285532595</v>
      </c>
      <c r="M42" s="162">
        <v>0.47557142856957008</v>
      </c>
      <c r="N42" s="162">
        <v>0.51785714285402451</v>
      </c>
      <c r="O42" s="162">
        <v>0.55657142856840169</v>
      </c>
      <c r="P42" s="162">
        <v>0.59814285713946447</v>
      </c>
      <c r="Q42" s="162">
        <v>0.63685714285280215</v>
      </c>
      <c r="R42" s="162">
        <v>0.67542857142585222</v>
      </c>
      <c r="S42" s="162">
        <v>0.46714285714084064</v>
      </c>
      <c r="T42" s="162">
        <v>0.57914285713819214</v>
      </c>
      <c r="U42" s="162">
        <v>0.74614285714051221</v>
      </c>
      <c r="V42" s="162">
        <v>0.94385714285350064</v>
      </c>
      <c r="W42" s="162">
        <v>1.1355357142768168</v>
      </c>
      <c r="X42" s="162">
        <v>1.3272142857042906</v>
      </c>
      <c r="Y42" s="162">
        <v>1.4916428571346581</v>
      </c>
      <c r="Z42" s="162">
        <v>1.6307857142819557</v>
      </c>
      <c r="AA42" s="162">
        <v>1.7574999999945118</v>
      </c>
      <c r="AB42" s="162">
        <v>1.8416714285620919</v>
      </c>
      <c r="AC42" s="162">
        <v>1.9258428571359087</v>
      </c>
      <c r="AD42" s="162">
        <v>2.0100142856993313</v>
      </c>
      <c r="AE42" s="162">
        <v>2.0941857142773057</v>
      </c>
      <c r="AF42" s="162">
        <v>2.1783571428344914</v>
      </c>
      <c r="AG42" s="162">
        <v>2.202199999991405</v>
      </c>
      <c r="AH42" s="162">
        <v>2.2260428571316879</v>
      </c>
      <c r="AI42" s="162">
        <v>2.2498857142719704</v>
      </c>
      <c r="AJ42" s="162">
        <v>2.2737285714164108</v>
      </c>
      <c r="AK42" s="162">
        <v>2.2975714285525357</v>
      </c>
      <c r="AL42" s="162">
        <v>2.3039428571230798</v>
      </c>
      <c r="AM42" s="162">
        <v>2.310314285701939</v>
      </c>
      <c r="AN42" s="162">
        <v>2.3166857142724826</v>
      </c>
      <c r="AO42" s="162">
        <v>2.3230571428471842</v>
      </c>
      <c r="AP42" s="162">
        <v>2.3294285714177279</v>
      </c>
      <c r="AQ42" s="162">
        <v>2.3334571428571116</v>
      </c>
      <c r="AR42" s="162">
        <v>2.3374857142856462</v>
      </c>
      <c r="AS42" s="162">
        <v>2.3415142857142133</v>
      </c>
      <c r="AT42" s="162">
        <v>2.3455428571428127</v>
      </c>
      <c r="AU42" s="162">
        <v>2.3495714285713638</v>
      </c>
      <c r="AV42" s="163"/>
    </row>
    <row r="43" spans="1:48" ht="12.75" customHeight="1">
      <c r="A43" s="459">
        <v>41194</v>
      </c>
      <c r="B43" s="139">
        <v>41</v>
      </c>
      <c r="C43" s="162">
        <v>8.0999999999221473E-2</v>
      </c>
      <c r="D43" s="162">
        <v>8.0999999999221473E-2</v>
      </c>
      <c r="E43" s="162">
        <v>8.0999999999221473E-2</v>
      </c>
      <c r="F43" s="162">
        <v>8.8571428571283042E-2</v>
      </c>
      <c r="G43" s="162">
        <v>0.11114285714263263</v>
      </c>
      <c r="H43" s="162">
        <v>0.15485714285594959</v>
      </c>
      <c r="I43" s="162">
        <v>0.21099999999933061</v>
      </c>
      <c r="J43" s="162">
        <v>0.27428571428338594</v>
      </c>
      <c r="K43" s="162">
        <v>0.35171428571317975</v>
      </c>
      <c r="L43" s="162">
        <v>0.4174285714263013</v>
      </c>
      <c r="M43" s="162">
        <v>0.46071428571303841</v>
      </c>
      <c r="N43" s="162">
        <v>0.50328571428170621</v>
      </c>
      <c r="O43" s="162">
        <v>0.53942857142309153</v>
      </c>
      <c r="P43" s="162">
        <v>0.58057142856913346</v>
      </c>
      <c r="Q43" s="162">
        <v>0.61885714285433224</v>
      </c>
      <c r="R43" s="162">
        <v>0.65771428571107593</v>
      </c>
      <c r="S43" s="162">
        <v>0.45871428571263095</v>
      </c>
      <c r="T43" s="162">
        <v>0.56699999999649919</v>
      </c>
      <c r="U43" s="162">
        <v>0.73199999999737231</v>
      </c>
      <c r="V43" s="162">
        <v>0.92649999999412103</v>
      </c>
      <c r="W43" s="162">
        <v>1.1227499999970729</v>
      </c>
      <c r="X43" s="162">
        <v>1.3189999999927489</v>
      </c>
      <c r="Y43" s="162">
        <v>1.4855714285617327</v>
      </c>
      <c r="Z43" s="162">
        <v>1.6308571428505403</v>
      </c>
      <c r="AA43" s="162">
        <v>1.7588571428516713</v>
      </c>
      <c r="AB43" s="162">
        <v>1.8443428571315181</v>
      </c>
      <c r="AC43" s="162">
        <v>1.9298285714259171</v>
      </c>
      <c r="AD43" s="162">
        <v>2.0153142856974484</v>
      </c>
      <c r="AE43" s="162">
        <v>2.1007999999856111</v>
      </c>
      <c r="AF43" s="162">
        <v>2.1862857142654577</v>
      </c>
      <c r="AG43" s="162">
        <v>2.2099428571236786</v>
      </c>
      <c r="AH43" s="162">
        <v>2.2335999999860565</v>
      </c>
      <c r="AI43" s="162">
        <v>2.2572571428442769</v>
      </c>
      <c r="AJ43" s="162">
        <v>2.2809142857066553</v>
      </c>
      <c r="AK43" s="162">
        <v>2.304571428548245</v>
      </c>
      <c r="AL43" s="162">
        <v>2.311999999992882</v>
      </c>
      <c r="AM43" s="162">
        <v>2.3194285714084146</v>
      </c>
      <c r="AN43" s="162">
        <v>2.3268571428405784</v>
      </c>
      <c r="AO43" s="162">
        <v>2.3342857142768998</v>
      </c>
      <c r="AP43" s="162">
        <v>2.341714285700748</v>
      </c>
      <c r="AQ43" s="162">
        <v>2.3439428571427761</v>
      </c>
      <c r="AR43" s="162">
        <v>2.3461714285713726</v>
      </c>
      <c r="AS43" s="162">
        <v>2.3483999999999696</v>
      </c>
      <c r="AT43" s="162">
        <v>2.3506285714284849</v>
      </c>
      <c r="AU43" s="162">
        <v>2.3528571428570979</v>
      </c>
      <c r="AV43" s="163"/>
    </row>
    <row r="44" spans="1:48" ht="12.75" customHeight="1">
      <c r="A44" s="459">
        <v>41201</v>
      </c>
      <c r="B44" s="139">
        <v>42</v>
      </c>
      <c r="C44" s="162">
        <v>7.9285714285495995E-2</v>
      </c>
      <c r="D44" s="162">
        <v>7.9285714285495995E-2</v>
      </c>
      <c r="E44" s="162">
        <v>7.9285714285495995E-2</v>
      </c>
      <c r="F44" s="162">
        <v>8.7428571428193075E-2</v>
      </c>
      <c r="G44" s="162">
        <v>0.11042857142833132</v>
      </c>
      <c r="H44" s="162">
        <v>0.15142857142771909</v>
      </c>
      <c r="I44" s="162">
        <v>0.20585714285646514</v>
      </c>
      <c r="J44" s="162">
        <v>0.27171428571143352</v>
      </c>
      <c r="K44" s="162">
        <v>0.34542857142618488</v>
      </c>
      <c r="L44" s="162">
        <v>0.40814285714129384</v>
      </c>
      <c r="M44" s="162">
        <v>0.44957142856843085</v>
      </c>
      <c r="N44" s="162">
        <v>0.49242857142702889</v>
      </c>
      <c r="O44" s="162">
        <v>0.52742857142584398</v>
      </c>
      <c r="P44" s="162">
        <v>0.56914285714031254</v>
      </c>
      <c r="Q44" s="162">
        <v>0.60685714285292691</v>
      </c>
      <c r="R44" s="162">
        <v>0.64528571428153159</v>
      </c>
      <c r="S44" s="162">
        <v>0.50075714285464656</v>
      </c>
      <c r="T44" s="162">
        <v>0.63175714285379003</v>
      </c>
      <c r="U44" s="162">
        <v>0.79478571428314482</v>
      </c>
      <c r="V44" s="162">
        <v>0.99749999999455341</v>
      </c>
      <c r="W44" s="162">
        <v>1.1910285714236253</v>
      </c>
      <c r="X44" s="162">
        <v>1.3845571428475003</v>
      </c>
      <c r="Y44" s="162">
        <v>1.5521285714203259</v>
      </c>
      <c r="Z44" s="162">
        <v>1.6964714285630698</v>
      </c>
      <c r="AA44" s="162">
        <v>1.8239999999911689</v>
      </c>
      <c r="AB44" s="162">
        <v>1.9109799999964057</v>
      </c>
      <c r="AC44" s="162">
        <v>1.9979599999912481</v>
      </c>
      <c r="AD44" s="162">
        <v>2.0849399999840115</v>
      </c>
      <c r="AE44" s="162">
        <v>2.1719199999892482</v>
      </c>
      <c r="AF44" s="162">
        <v>2.2588999999861699</v>
      </c>
      <c r="AG44" s="162">
        <v>2.2848571428455342</v>
      </c>
      <c r="AH44" s="162">
        <v>2.3108142857007414</v>
      </c>
      <c r="AI44" s="162">
        <v>2.3367714285559487</v>
      </c>
      <c r="AJ44" s="162">
        <v>2.3627285714111554</v>
      </c>
      <c r="AK44" s="162">
        <v>2.3886857142788358</v>
      </c>
      <c r="AL44" s="162">
        <v>2.3936714285643701</v>
      </c>
      <c r="AM44" s="162">
        <v>2.3986571428374317</v>
      </c>
      <c r="AN44" s="162">
        <v>2.4036428571229664</v>
      </c>
      <c r="AO44" s="162">
        <v>2.4086285714085012</v>
      </c>
      <c r="AP44" s="162">
        <v>2.4136142856981935</v>
      </c>
      <c r="AQ44" s="162">
        <v>2.4181428571427626</v>
      </c>
      <c r="AR44" s="162">
        <v>2.4226714285713666</v>
      </c>
      <c r="AS44" s="162">
        <v>2.4271999999999379</v>
      </c>
      <c r="AT44" s="162">
        <v>2.4317285714284935</v>
      </c>
      <c r="AU44" s="162">
        <v>2.4362571428570812</v>
      </c>
      <c r="AV44" s="163"/>
    </row>
    <row r="45" spans="1:48" ht="12.75" customHeight="1">
      <c r="A45" s="459">
        <v>41208</v>
      </c>
      <c r="B45" s="139">
        <v>43</v>
      </c>
      <c r="C45" s="162">
        <v>7.999999999992724E-2</v>
      </c>
      <c r="D45" s="162">
        <v>7.999999999992724E-2</v>
      </c>
      <c r="E45" s="162">
        <v>7.999999999992724E-2</v>
      </c>
      <c r="F45" s="162">
        <v>8.7142857142420579E-2</v>
      </c>
      <c r="G45" s="162">
        <v>0.10999999999967258</v>
      </c>
      <c r="H45" s="162">
        <v>0.14942857142809121</v>
      </c>
      <c r="I45" s="162">
        <v>0.20099999999911233</v>
      </c>
      <c r="J45" s="162">
        <v>0.2659999999985822</v>
      </c>
      <c r="K45" s="162">
        <v>0.33799999999869862</v>
      </c>
      <c r="L45" s="162">
        <v>0.39885714285472723</v>
      </c>
      <c r="M45" s="162">
        <v>0.44028571428446278</v>
      </c>
      <c r="N45" s="162">
        <v>0.48071428571295521</v>
      </c>
      <c r="O45" s="162">
        <v>0.51785714285402451</v>
      </c>
      <c r="P45" s="162">
        <v>0.55928571428168128</v>
      </c>
      <c r="Q45" s="162">
        <v>0.5952857142807001</v>
      </c>
      <c r="R45" s="162">
        <v>0.63199999999570922</v>
      </c>
      <c r="S45" s="162">
        <v>0.50285714285512628</v>
      </c>
      <c r="T45" s="162">
        <v>0.64032857142384658</v>
      </c>
      <c r="U45" s="162">
        <v>0.8141428571408531</v>
      </c>
      <c r="V45" s="162">
        <v>1.013399999995142</v>
      </c>
      <c r="W45" s="162">
        <v>1.2071999999919041</v>
      </c>
      <c r="X45" s="162">
        <v>1.4009999999897054</v>
      </c>
      <c r="Y45" s="162">
        <v>1.5671571428496722</v>
      </c>
      <c r="Z45" s="162">
        <v>1.7113285714190818</v>
      </c>
      <c r="AA45" s="162">
        <v>1.840571428561816</v>
      </c>
      <c r="AB45" s="162">
        <v>1.9250742857049252</v>
      </c>
      <c r="AC45" s="162">
        <v>2.0095771428397189</v>
      </c>
      <c r="AD45" s="162">
        <v>2.0940799999765916</v>
      </c>
      <c r="AE45" s="162">
        <v>2.1785828571259374</v>
      </c>
      <c r="AF45" s="162">
        <v>2.263085714266968</v>
      </c>
      <c r="AG45" s="162">
        <v>2.2876342856990437</v>
      </c>
      <c r="AH45" s="162">
        <v>2.3121828571311198</v>
      </c>
      <c r="AI45" s="162">
        <v>2.3367314285590379</v>
      </c>
      <c r="AJ45" s="162">
        <v>2.3612799999911136</v>
      </c>
      <c r="AK45" s="162">
        <v>2.3858285714065586</v>
      </c>
      <c r="AL45" s="162">
        <v>2.3903742857011299</v>
      </c>
      <c r="AM45" s="162">
        <v>2.394919999983228</v>
      </c>
      <c r="AN45" s="162">
        <v>2.3994657142694837</v>
      </c>
      <c r="AO45" s="162">
        <v>2.4040114285557395</v>
      </c>
      <c r="AP45" s="162">
        <v>2.4085571428461532</v>
      </c>
      <c r="AQ45" s="162">
        <v>2.4110485714285232</v>
      </c>
      <c r="AR45" s="162">
        <v>2.4135399999999465</v>
      </c>
      <c r="AS45" s="162">
        <v>2.4160314285713538</v>
      </c>
      <c r="AT45" s="162">
        <v>2.4185228571427775</v>
      </c>
      <c r="AU45" s="162">
        <v>2.42101428571425</v>
      </c>
      <c r="AV45" s="163"/>
    </row>
    <row r="46" spans="1:48" ht="12.75" customHeight="1">
      <c r="A46" s="459">
        <v>41215</v>
      </c>
      <c r="B46" s="139">
        <v>44</v>
      </c>
      <c r="C46" s="162">
        <v>7.8999999999723514E-2</v>
      </c>
      <c r="D46" s="162">
        <v>7.8999999999723514E-2</v>
      </c>
      <c r="E46" s="162">
        <v>7.8999999999723514E-2</v>
      </c>
      <c r="F46" s="162">
        <v>8.6571428570875589E-2</v>
      </c>
      <c r="G46" s="162">
        <v>0.10999999999967258</v>
      </c>
      <c r="H46" s="162">
        <v>0.14814285714211498</v>
      </c>
      <c r="I46" s="162">
        <v>0.19699999999855727</v>
      </c>
      <c r="J46" s="162">
        <v>0.25771428571221933</v>
      </c>
      <c r="K46" s="162">
        <v>0.32599999999729334</v>
      </c>
      <c r="L46" s="162">
        <v>0.38828571428426323</v>
      </c>
      <c r="M46" s="162">
        <v>0.42871428571223597</v>
      </c>
      <c r="N46" s="162">
        <v>0.47085714285484365</v>
      </c>
      <c r="O46" s="162">
        <v>0.5064285714252037</v>
      </c>
      <c r="P46" s="162">
        <v>0.54757142856916674</v>
      </c>
      <c r="Q46" s="162">
        <v>0.57914285713819214</v>
      </c>
      <c r="R46" s="162">
        <v>0.61628571428237977</v>
      </c>
      <c r="S46" s="162">
        <v>0.46459999999777729</v>
      </c>
      <c r="T46" s="162">
        <v>0.58632857142323958</v>
      </c>
      <c r="U46" s="162">
        <v>0.75702857142563773</v>
      </c>
      <c r="V46" s="162">
        <v>0.95351428571094787</v>
      </c>
      <c r="W46" s="162">
        <v>1.1478214285619157</v>
      </c>
      <c r="X46" s="162">
        <v>1.3421285714222384</v>
      </c>
      <c r="Y46" s="162">
        <v>1.5079857142783502</v>
      </c>
      <c r="Z46" s="162">
        <v>1.6529142857096821</v>
      </c>
      <c r="AA46" s="162">
        <v>1.7794857142809113</v>
      </c>
      <c r="AB46" s="162">
        <v>1.8635771428463548</v>
      </c>
      <c r="AC46" s="162">
        <v>1.9476685714221924</v>
      </c>
      <c r="AD46" s="162">
        <v>2.031759999995951</v>
      </c>
      <c r="AE46" s="162">
        <v>2.1158514285593157</v>
      </c>
      <c r="AF46" s="162">
        <v>2.199942857126838</v>
      </c>
      <c r="AG46" s="162">
        <v>2.2241514285643849</v>
      </c>
      <c r="AH46" s="162">
        <v>2.248359999985301</v>
      </c>
      <c r="AI46" s="162">
        <v>2.2725685714103747</v>
      </c>
      <c r="AJ46" s="162">
        <v>2.2967771428437636</v>
      </c>
      <c r="AK46" s="162">
        <v>2.3209857142688373</v>
      </c>
      <c r="AL46" s="162">
        <v>2.3270228571283429</v>
      </c>
      <c r="AM46" s="162">
        <v>2.3330599999878485</v>
      </c>
      <c r="AN46" s="162">
        <v>2.3390971428431966</v>
      </c>
      <c r="AO46" s="162">
        <v>2.3451342857068602</v>
      </c>
      <c r="AP46" s="162">
        <v>2.3511714285663659</v>
      </c>
      <c r="AQ46" s="162">
        <v>2.3514514285713921</v>
      </c>
      <c r="AR46" s="162">
        <v>2.3517314285713837</v>
      </c>
      <c r="AS46" s="162">
        <v>2.3520114285713749</v>
      </c>
      <c r="AT46" s="162">
        <v>2.3522914285713665</v>
      </c>
      <c r="AU46" s="162">
        <v>2.3525714285713901</v>
      </c>
      <c r="AV46" s="163"/>
    </row>
    <row r="47" spans="1:48" ht="12.75" customHeight="1">
      <c r="A47" s="459">
        <v>41222</v>
      </c>
      <c r="B47" s="139">
        <v>45</v>
      </c>
      <c r="C47" s="162">
        <v>7.8857142856837259E-2</v>
      </c>
      <c r="D47" s="162">
        <v>7.8857142856837259E-2</v>
      </c>
      <c r="E47" s="162">
        <v>7.8857142856837259E-2</v>
      </c>
      <c r="F47" s="162">
        <v>8.4999999999126885E-2</v>
      </c>
      <c r="G47" s="162">
        <v>0.10899999999946886</v>
      </c>
      <c r="H47" s="162">
        <v>0.14485714285573131</v>
      </c>
      <c r="I47" s="162">
        <v>0.19442857142816397</v>
      </c>
      <c r="J47" s="162">
        <v>0.24871428571246462</v>
      </c>
      <c r="K47" s="162">
        <v>0.31242857142673786</v>
      </c>
      <c r="L47" s="162">
        <v>0.37157142856969061</v>
      </c>
      <c r="M47" s="162">
        <v>0.41271428571261431</v>
      </c>
      <c r="N47" s="162">
        <v>0.453142857140587</v>
      </c>
      <c r="O47" s="162">
        <v>0.48728571428468315</v>
      </c>
      <c r="P47" s="162">
        <v>0.52914285713943943</v>
      </c>
      <c r="Q47" s="162">
        <v>0.55971428571085968</v>
      </c>
      <c r="R47" s="162">
        <v>0.59499999999804587</v>
      </c>
      <c r="S47" s="162">
        <v>0.41449999999791282</v>
      </c>
      <c r="T47" s="162">
        <v>0.52081428571078237</v>
      </c>
      <c r="U47" s="162">
        <v>0.69641428571256769</v>
      </c>
      <c r="V47" s="162">
        <v>0.8962714285683302</v>
      </c>
      <c r="W47" s="162">
        <v>1.091621428561796</v>
      </c>
      <c r="X47" s="162">
        <v>1.2869714285604588</v>
      </c>
      <c r="Y47" s="162">
        <v>1.4543285714192149</v>
      </c>
      <c r="Z47" s="162">
        <v>1.599971428563419</v>
      </c>
      <c r="AA47" s="162">
        <v>1.7285714285660234</v>
      </c>
      <c r="AB47" s="162">
        <v>1.812937142847139</v>
      </c>
      <c r="AC47" s="162">
        <v>1.89730285713657</v>
      </c>
      <c r="AD47" s="162">
        <v>1.9816685714176856</v>
      </c>
      <c r="AE47" s="162">
        <v>2.0660342856925644</v>
      </c>
      <c r="AF47" s="162">
        <v>2.1503999999882319</v>
      </c>
      <c r="AG47" s="162">
        <v>2.1709657142637298</v>
      </c>
      <c r="AH47" s="162">
        <v>2.1915314285600158</v>
      </c>
      <c r="AI47" s="162">
        <v>2.2120971428479863</v>
      </c>
      <c r="AJ47" s="162">
        <v>2.2326628571276417</v>
      </c>
      <c r="AK47" s="162">
        <v>2.253228571407297</v>
      </c>
      <c r="AL47" s="162">
        <v>2.2599628571312804</v>
      </c>
      <c r="AM47" s="162">
        <v>2.2666971428386331</v>
      </c>
      <c r="AN47" s="162">
        <v>2.2734314285667745</v>
      </c>
      <c r="AO47" s="162">
        <v>2.2801657142699696</v>
      </c>
      <c r="AP47" s="162">
        <v>2.2868999999814799</v>
      </c>
      <c r="AQ47" s="162">
        <v>2.2853228571427735</v>
      </c>
      <c r="AR47" s="162">
        <v>2.2837457142856659</v>
      </c>
      <c r="AS47" s="162">
        <v>2.2821685714285258</v>
      </c>
      <c r="AT47" s="162">
        <v>2.2805914285714022</v>
      </c>
      <c r="AU47" s="162">
        <v>2.2790142857141973</v>
      </c>
      <c r="AV47" s="163"/>
    </row>
    <row r="48" spans="1:48" ht="12.75" customHeight="1">
      <c r="A48" s="459">
        <v>41229</v>
      </c>
      <c r="B48" s="139">
        <v>46</v>
      </c>
      <c r="C48" s="162">
        <v>7.7999999999519787E-2</v>
      </c>
      <c r="D48" s="162">
        <v>7.7999999999519787E-2</v>
      </c>
      <c r="E48" s="162">
        <v>7.7999999999519787E-2</v>
      </c>
      <c r="F48" s="162">
        <v>8.3999999999832653E-2</v>
      </c>
      <c r="G48" s="162">
        <v>0.10799999999926513</v>
      </c>
      <c r="H48" s="162">
        <v>0.14342857142686885</v>
      </c>
      <c r="I48" s="162">
        <v>0.19128571428466654</v>
      </c>
      <c r="J48" s="162">
        <v>0.24257142856991515</v>
      </c>
      <c r="K48" s="162">
        <v>0.30185714285575416</v>
      </c>
      <c r="L48" s="162">
        <v>0.35885714285593295</v>
      </c>
      <c r="M48" s="162">
        <v>0.40057142856936218</v>
      </c>
      <c r="N48" s="162">
        <v>0.44057142857023529</v>
      </c>
      <c r="O48" s="162">
        <v>0.47399999999834108</v>
      </c>
      <c r="P48" s="162">
        <v>0.51757142856721261</v>
      </c>
      <c r="Q48" s="162">
        <v>0.5491428571383169</v>
      </c>
      <c r="R48" s="162">
        <v>0.58499999999704799</v>
      </c>
      <c r="S48" s="162">
        <v>0.38547142856935218</v>
      </c>
      <c r="T48" s="162">
        <v>0.49199999999785043</v>
      </c>
      <c r="U48" s="162">
        <v>0.64899999999657398</v>
      </c>
      <c r="V48" s="162">
        <v>0.84068571428256933</v>
      </c>
      <c r="W48" s="162">
        <v>1.031707142849752</v>
      </c>
      <c r="X48" s="162">
        <v>1.2227285714221319</v>
      </c>
      <c r="Y48" s="162">
        <v>1.3876142857064093</v>
      </c>
      <c r="Z48" s="162">
        <v>1.5322428571338864</v>
      </c>
      <c r="AA48" s="162">
        <v>1.6609285714200397</v>
      </c>
      <c r="AB48" s="162">
        <v>1.7474571428507</v>
      </c>
      <c r="AC48" s="162">
        <v>1.8339857142772025</v>
      </c>
      <c r="AD48" s="162">
        <v>1.9205142857037052</v>
      </c>
      <c r="AE48" s="162">
        <v>2.0070428571364443</v>
      </c>
      <c r="AF48" s="162">
        <v>2.0935714285504736</v>
      </c>
      <c r="AG48" s="162">
        <v>2.1189485714172145</v>
      </c>
      <c r="AH48" s="162">
        <v>2.1443257142673247</v>
      </c>
      <c r="AI48" s="162">
        <v>2.1697028571340651</v>
      </c>
      <c r="AJ48" s="162">
        <v>2.1950799999883328</v>
      </c>
      <c r="AK48" s="162">
        <v>2.220457142838443</v>
      </c>
      <c r="AL48" s="162">
        <v>2.2256999999767033</v>
      </c>
      <c r="AM48" s="162">
        <v>2.2309428571232792</v>
      </c>
      <c r="AN48" s="162">
        <v>2.2361857142656971</v>
      </c>
      <c r="AO48" s="162">
        <v>2.241428571412273</v>
      </c>
      <c r="AP48" s="162">
        <v>2.2466714285630065</v>
      </c>
      <c r="AQ48" s="162">
        <v>2.2489514285713472</v>
      </c>
      <c r="AR48" s="162">
        <v>2.2512314285713564</v>
      </c>
      <c r="AS48" s="162">
        <v>2.2535114285713655</v>
      </c>
      <c r="AT48" s="162">
        <v>2.2557914285713907</v>
      </c>
      <c r="AU48" s="162">
        <v>2.2580714285713999</v>
      </c>
      <c r="AV48" s="163"/>
    </row>
    <row r="49" spans="1:48" ht="12.75" customHeight="1">
      <c r="A49" s="459">
        <v>41236</v>
      </c>
      <c r="B49" s="139">
        <v>47</v>
      </c>
      <c r="C49" s="162">
        <v>7.7142857142202301E-2</v>
      </c>
      <c r="D49" s="162">
        <v>7.7142857142202301E-2</v>
      </c>
      <c r="E49" s="162">
        <v>7.7142857142202301E-2</v>
      </c>
      <c r="F49" s="162">
        <v>8.4285714285345287E-2</v>
      </c>
      <c r="G49" s="162">
        <v>0.10714285714272721</v>
      </c>
      <c r="H49" s="162">
        <v>0.14385714285552759</v>
      </c>
      <c r="I49" s="162">
        <v>0.19014285714157655</v>
      </c>
      <c r="J49" s="162">
        <v>0.24042857142844046</v>
      </c>
      <c r="K49" s="162">
        <v>0.29699999999866122</v>
      </c>
      <c r="L49" s="162">
        <v>0.35171428571317975</v>
      </c>
      <c r="M49" s="162">
        <v>0.39399999999659485</v>
      </c>
      <c r="N49" s="162">
        <v>0.43342857142592295</v>
      </c>
      <c r="O49" s="162">
        <v>0.46499999999858638</v>
      </c>
      <c r="P49" s="162">
        <v>0.50942857142425568</v>
      </c>
      <c r="Q49" s="162">
        <v>0.54414285713781796</v>
      </c>
      <c r="R49" s="162">
        <v>0.58142857142541149</v>
      </c>
      <c r="S49" s="162">
        <v>0.41471428571250202</v>
      </c>
      <c r="T49" s="162">
        <v>0.53207142856678857</v>
      </c>
      <c r="U49" s="162">
        <v>0.69599999999523521</v>
      </c>
      <c r="V49" s="162">
        <v>0.89041428571051384</v>
      </c>
      <c r="W49" s="162">
        <v>1.0824857142745583</v>
      </c>
      <c r="X49" s="162">
        <v>1.2745571428531548</v>
      </c>
      <c r="Y49" s="162">
        <v>1.4408428571353267</v>
      </c>
      <c r="Z49" s="162">
        <v>1.5872428571352168</v>
      </c>
      <c r="AA49" s="162">
        <v>1.71435714285222</v>
      </c>
      <c r="AB49" s="162">
        <v>1.8019685714181313</v>
      </c>
      <c r="AC49" s="162">
        <v>1.8895799999923577</v>
      </c>
      <c r="AD49" s="162">
        <v>1.9771914285665844</v>
      </c>
      <c r="AE49" s="162">
        <v>2.0648028571241799</v>
      </c>
      <c r="AF49" s="162">
        <v>2.1524142856984065</v>
      </c>
      <c r="AG49" s="162">
        <v>2.1782714285530216</v>
      </c>
      <c r="AH49" s="162">
        <v>2.2041285714201093</v>
      </c>
      <c r="AI49" s="162">
        <v>2.2299857142705668</v>
      </c>
      <c r="AJ49" s="162">
        <v>2.2558428571251818</v>
      </c>
      <c r="AK49" s="162">
        <v>2.2816999999797969</v>
      </c>
      <c r="AL49" s="162">
        <v>2.2882999999897686</v>
      </c>
      <c r="AM49" s="162">
        <v>2.2948999999914248</v>
      </c>
      <c r="AN49" s="162">
        <v>2.3014999999847658</v>
      </c>
      <c r="AO49" s="162">
        <v>2.30809999999058</v>
      </c>
      <c r="AP49" s="162">
        <v>2.3146999999880791</v>
      </c>
      <c r="AQ49" s="162">
        <v>2.3169285714284991</v>
      </c>
      <c r="AR49" s="162">
        <v>2.3191571428570956</v>
      </c>
      <c r="AS49" s="162">
        <v>2.3213857142856438</v>
      </c>
      <c r="AT49" s="162">
        <v>2.3236142857142403</v>
      </c>
      <c r="AU49" s="162">
        <v>2.3258428571427885</v>
      </c>
      <c r="AV49" s="163"/>
    </row>
    <row r="50" spans="1:48" ht="12.75" customHeight="1">
      <c r="A50" s="459">
        <v>41243</v>
      </c>
      <c r="B50" s="139">
        <v>48</v>
      </c>
      <c r="C50" s="162">
        <v>7.7142857142202301E-2</v>
      </c>
      <c r="D50" s="162">
        <v>7.7142857142202301E-2</v>
      </c>
      <c r="E50" s="162">
        <v>7.7142857142202301E-2</v>
      </c>
      <c r="F50" s="162">
        <v>8.3999999999832653E-2</v>
      </c>
      <c r="G50" s="162">
        <v>0.11028571428531514</v>
      </c>
      <c r="H50" s="162">
        <v>0.14599999999882129</v>
      </c>
      <c r="I50" s="162">
        <v>0.18985714285580407</v>
      </c>
      <c r="J50" s="162">
        <v>0.23742857142782928</v>
      </c>
      <c r="K50" s="162">
        <v>0.29271428571207381</v>
      </c>
      <c r="L50" s="162">
        <v>0.34585714285484365</v>
      </c>
      <c r="M50" s="162">
        <v>0.38714285714169294</v>
      </c>
      <c r="N50" s="162">
        <v>0.42599999999843668</v>
      </c>
      <c r="O50" s="162">
        <v>0.45785714285583318</v>
      </c>
      <c r="P50" s="162">
        <v>0.50185714285492256</v>
      </c>
      <c r="Q50" s="162">
        <v>0.53885714285154651</v>
      </c>
      <c r="R50" s="162">
        <v>0.57657142856520027</v>
      </c>
      <c r="S50" s="162">
        <v>0.41962857142633375</v>
      </c>
      <c r="T50" s="162">
        <v>0.53218571428234485</v>
      </c>
      <c r="U50" s="162">
        <v>0.69314285714166801</v>
      </c>
      <c r="V50" s="162">
        <v>0.88345714285450017</v>
      </c>
      <c r="W50" s="162">
        <v>1.0731928571331082</v>
      </c>
      <c r="X50" s="162">
        <v>1.262928571418992</v>
      </c>
      <c r="Y50" s="162">
        <v>1.4284428571367502</v>
      </c>
      <c r="Z50" s="162">
        <v>1.5738714285627273</v>
      </c>
      <c r="AA50" s="162">
        <v>1.7032857142808746</v>
      </c>
      <c r="AB50" s="162">
        <v>1.7914771428477252</v>
      </c>
      <c r="AC50" s="162">
        <v>1.8796685714208121</v>
      </c>
      <c r="AD50" s="162">
        <v>1.9678599999918203</v>
      </c>
      <c r="AE50" s="162">
        <v>2.0560514285586704</v>
      </c>
      <c r="AF50" s="162">
        <v>2.1442428571296785</v>
      </c>
      <c r="AG50" s="162">
        <v>2.1710428571345148</v>
      </c>
      <c r="AH50" s="162">
        <v>2.197842857126878</v>
      </c>
      <c r="AI50" s="162">
        <v>2.2246428571275567</v>
      </c>
      <c r="AJ50" s="162">
        <v>2.251442857132393</v>
      </c>
      <c r="AK50" s="162">
        <v>2.2782428571289137</v>
      </c>
      <c r="AL50" s="162">
        <v>2.2849942857033705</v>
      </c>
      <c r="AM50" s="162">
        <v>2.2917457142736692</v>
      </c>
      <c r="AN50" s="162">
        <v>2.298497142848126</v>
      </c>
      <c r="AO50" s="162">
        <v>2.3052485714142676</v>
      </c>
      <c r="AP50" s="162">
        <v>2.3119999999762513</v>
      </c>
      <c r="AQ50" s="162">
        <v>2.3148685714285193</v>
      </c>
      <c r="AR50" s="162">
        <v>2.3177371428570916</v>
      </c>
      <c r="AS50" s="162">
        <v>2.3206057142856316</v>
      </c>
      <c r="AT50" s="162">
        <v>2.3234742857142363</v>
      </c>
      <c r="AU50" s="162">
        <v>2.3263428571427767</v>
      </c>
      <c r="AV50" s="163"/>
    </row>
    <row r="51" spans="1:48" ht="12.75" customHeight="1">
      <c r="A51" s="459">
        <v>41250</v>
      </c>
      <c r="B51" s="139">
        <v>49</v>
      </c>
      <c r="C51" s="162">
        <v>7.6714285713543565E-2</v>
      </c>
      <c r="D51" s="162">
        <v>7.6714285713543565E-2</v>
      </c>
      <c r="E51" s="162">
        <v>7.6714285713543565E-2</v>
      </c>
      <c r="F51" s="162">
        <v>8.3142857142515167E-2</v>
      </c>
      <c r="G51" s="162">
        <v>0.11199999999956031</v>
      </c>
      <c r="H51" s="162">
        <v>0.14757142857056998</v>
      </c>
      <c r="I51" s="162">
        <v>0.18885714285637992</v>
      </c>
      <c r="J51" s="162">
        <v>0.23257142857047644</v>
      </c>
      <c r="K51" s="162">
        <v>0.2871428571410693</v>
      </c>
      <c r="L51" s="162">
        <v>0.33599999999777147</v>
      </c>
      <c r="M51" s="162">
        <v>0.3764285714267836</v>
      </c>
      <c r="N51" s="162">
        <v>0.41671428571342922</v>
      </c>
      <c r="O51" s="162">
        <v>0.44914285714133123</v>
      </c>
      <c r="P51" s="162">
        <v>0.49199999999837019</v>
      </c>
      <c r="Q51" s="162">
        <v>0.52828571428212201</v>
      </c>
      <c r="R51" s="162">
        <v>0.56642857142495417</v>
      </c>
      <c r="S51" s="162">
        <v>0.37935714285465238</v>
      </c>
      <c r="T51" s="162">
        <v>0.48015714285533506</v>
      </c>
      <c r="U51" s="162">
        <v>0.63381428571093623</v>
      </c>
      <c r="V51" s="162">
        <v>0.82435714285280215</v>
      </c>
      <c r="W51" s="162">
        <v>1.0128999999953001</v>
      </c>
      <c r="X51" s="162">
        <v>1.1958714285657541</v>
      </c>
      <c r="Y51" s="162">
        <v>1.3600999999970163</v>
      </c>
      <c r="Z51" s="162">
        <v>1.5048999999936703</v>
      </c>
      <c r="AA51" s="162">
        <v>1.633928571420256</v>
      </c>
      <c r="AB51" s="162">
        <v>1.7399999999906868</v>
      </c>
      <c r="AC51" s="162">
        <v>1.8376142857076565</v>
      </c>
      <c r="AD51" s="162">
        <v>1.9273142857065457</v>
      </c>
      <c r="AE51" s="162">
        <v>2.0084142857044101</v>
      </c>
      <c r="AF51" s="162">
        <v>2.0817571428404853</v>
      </c>
      <c r="AG51" s="162">
        <v>2.1209999999929483</v>
      </c>
      <c r="AH51" s="162">
        <v>2.1533428571253479</v>
      </c>
      <c r="AI51" s="162">
        <v>2.180299999982318</v>
      </c>
      <c r="AJ51" s="162">
        <v>2.2036714285537267</v>
      </c>
      <c r="AK51" s="162">
        <v>2.2230857142796072</v>
      </c>
      <c r="AL51" s="162">
        <v>2.2331942857001974</v>
      </c>
      <c r="AM51" s="162">
        <v>2.2424742857069107</v>
      </c>
      <c r="AN51" s="162">
        <v>2.2503114285646006</v>
      </c>
      <c r="AO51" s="162">
        <v>2.2569771428367984</v>
      </c>
      <c r="AP51" s="162">
        <v>2.2641428571285878</v>
      </c>
      <c r="AQ51" s="162">
        <v>2.2664657142856539</v>
      </c>
      <c r="AR51" s="162">
        <v>2.2698171428570664</v>
      </c>
      <c r="AS51" s="162">
        <v>2.2725971428570961</v>
      </c>
      <c r="AT51" s="162">
        <v>2.2758057142856871</v>
      </c>
      <c r="AU51" s="162">
        <v>2.2801142857142458</v>
      </c>
      <c r="AV51" s="163"/>
    </row>
    <row r="52" spans="1:48" ht="12.75" customHeight="1">
      <c r="A52" s="459">
        <v>41257</v>
      </c>
      <c r="B52" s="139">
        <v>50</v>
      </c>
      <c r="C52" s="162">
        <v>7.6857142856429805E-2</v>
      </c>
      <c r="D52" s="162">
        <v>7.6857142856429805E-2</v>
      </c>
      <c r="E52" s="162">
        <v>7.6857142856429805E-2</v>
      </c>
      <c r="F52" s="162">
        <v>8.528571428541909E-2</v>
      </c>
      <c r="G52" s="162">
        <v>0.10999999999967258</v>
      </c>
      <c r="H52" s="162">
        <v>0.14614285714170752</v>
      </c>
      <c r="I52" s="162">
        <v>0.18314285714196946</v>
      </c>
      <c r="J52" s="162">
        <v>0.22385714285597452</v>
      </c>
      <c r="K52" s="162">
        <v>0.27314285714029596</v>
      </c>
      <c r="L52" s="162">
        <v>0.31728571428435054</v>
      </c>
      <c r="M52" s="162">
        <v>0.35785714285572923</v>
      </c>
      <c r="N52" s="162">
        <v>0.39642857142566101</v>
      </c>
      <c r="O52" s="162">
        <v>0.42728571428493262</v>
      </c>
      <c r="P52" s="162">
        <v>0.46757142856845996</v>
      </c>
      <c r="Q52" s="162">
        <v>0.50442857142479625</v>
      </c>
      <c r="R52" s="162">
        <v>0.53957142856753693</v>
      </c>
      <c r="S52" s="162">
        <v>0.33421428571195322</v>
      </c>
      <c r="T52" s="162">
        <v>0.43999999999817058</v>
      </c>
      <c r="U52" s="162">
        <v>0.59042857142672533</v>
      </c>
      <c r="V52" s="162">
        <v>0.77709999999517865</v>
      </c>
      <c r="W52" s="162">
        <v>0.96807142856726247</v>
      </c>
      <c r="X52" s="162">
        <v>1.1488857142810176</v>
      </c>
      <c r="Y52" s="162">
        <v>1.3157999999945915</v>
      </c>
      <c r="Z52" s="162">
        <v>1.4634857142788988</v>
      </c>
      <c r="AA52" s="162">
        <v>1.596114285708089</v>
      </c>
      <c r="AB52" s="162">
        <v>1.7149999999923498</v>
      </c>
      <c r="AC52" s="162">
        <v>1.8206714285624912</v>
      </c>
      <c r="AD52" s="162">
        <v>1.9108857142813835</v>
      </c>
      <c r="AE52" s="162">
        <v>1.9868857142760783</v>
      </c>
      <c r="AF52" s="162">
        <v>2.0487428571255544</v>
      </c>
      <c r="AG52" s="162">
        <v>2.0960857142802394</v>
      </c>
      <c r="AH52" s="162">
        <v>2.1337428571215629</v>
      </c>
      <c r="AI52" s="162">
        <v>2.1613285714120138</v>
      </c>
      <c r="AJ52" s="162">
        <v>2.1824999999787122</v>
      </c>
      <c r="AK52" s="162">
        <v>2.2022999999836816</v>
      </c>
      <c r="AL52" s="162">
        <v>2.2119142857055909</v>
      </c>
      <c r="AM52" s="162">
        <v>2.2232571428425474</v>
      </c>
      <c r="AN52" s="162">
        <v>2.2325857142693293</v>
      </c>
      <c r="AO52" s="162">
        <v>2.2382857142739727</v>
      </c>
      <c r="AP52" s="162">
        <v>2.2452428571247891</v>
      </c>
      <c r="AQ52" s="162">
        <v>2.2478571428570957</v>
      </c>
      <c r="AR52" s="162">
        <v>2.2538571428570839</v>
      </c>
      <c r="AS52" s="162">
        <v>2.2575714285713793</v>
      </c>
      <c r="AT52" s="162">
        <v>2.2607142857142106</v>
      </c>
      <c r="AU52" s="162">
        <v>2.2699285714285224</v>
      </c>
      <c r="AV52" s="163"/>
    </row>
    <row r="53" spans="1:48" ht="12.75" customHeight="1">
      <c r="A53" s="459">
        <v>41264</v>
      </c>
      <c r="B53" s="139">
        <v>51</v>
      </c>
      <c r="C53" s="162">
        <v>8.1999999999555123E-2</v>
      </c>
      <c r="D53" s="162">
        <v>8.1999999999555123E-2</v>
      </c>
      <c r="E53" s="162">
        <v>8.1999999999555123E-2</v>
      </c>
      <c r="F53" s="162">
        <v>9.0857142856553497E-2</v>
      </c>
      <c r="G53" s="162">
        <v>0.10999999999967258</v>
      </c>
      <c r="H53" s="162">
        <v>0.1472857142847975</v>
      </c>
      <c r="I53" s="162">
        <v>0.18371428571351445</v>
      </c>
      <c r="J53" s="162">
        <v>0.22485714285565855</v>
      </c>
      <c r="K53" s="162">
        <v>0.27399999999761349</v>
      </c>
      <c r="L53" s="162">
        <v>0.31785714285641525</v>
      </c>
      <c r="M53" s="162">
        <v>0.35885714285385412</v>
      </c>
      <c r="N53" s="162">
        <v>0.39685714285431978</v>
      </c>
      <c r="O53" s="162">
        <v>0.42885714285408277</v>
      </c>
      <c r="P53" s="162">
        <v>0.4692857142830949</v>
      </c>
      <c r="Q53" s="162">
        <v>0.5068571428543821</v>
      </c>
      <c r="R53" s="162">
        <v>0.54185714285371689</v>
      </c>
      <c r="S53" s="162">
        <v>0.37239999999759932</v>
      </c>
      <c r="T53" s="162">
        <v>0.48539999999775318</v>
      </c>
      <c r="U53" s="162">
        <v>0.63555714285549969</v>
      </c>
      <c r="V53" s="162">
        <v>0.81825714285202722</v>
      </c>
      <c r="W53" s="162">
        <v>1.006671428562965</v>
      </c>
      <c r="X53" s="162">
        <v>1.1846285714210743</v>
      </c>
      <c r="Y53" s="162">
        <v>1.3502714285651953</v>
      </c>
      <c r="Z53" s="162">
        <v>1.4986714285644536</v>
      </c>
      <c r="AA53" s="162">
        <v>1.6298285714209277</v>
      </c>
      <c r="AB53" s="162">
        <v>1.7485999999917112</v>
      </c>
      <c r="AC53" s="162">
        <v>1.8519999999927157</v>
      </c>
      <c r="AD53" s="162">
        <v>1.9409285714251121</v>
      </c>
      <c r="AE53" s="162">
        <v>2.0151714285519637</v>
      </c>
      <c r="AF53" s="162">
        <v>2.0749999999866953</v>
      </c>
      <c r="AG53" s="162">
        <v>2.1223571428355559</v>
      </c>
      <c r="AH53" s="162">
        <v>2.1588142857030364</v>
      </c>
      <c r="AI53" s="162">
        <v>2.1865999999863561</v>
      </c>
      <c r="AJ53" s="162">
        <v>2.2077428571355995</v>
      </c>
      <c r="AK53" s="162">
        <v>2.2271999999897418</v>
      </c>
      <c r="AL53" s="162">
        <v>2.2385999999865556</v>
      </c>
      <c r="AM53" s="162">
        <v>2.2498857142719704</v>
      </c>
      <c r="AN53" s="162">
        <v>2.2594571428406716</v>
      </c>
      <c r="AO53" s="162">
        <v>2.2654285714088473</v>
      </c>
      <c r="AP53" s="162">
        <v>2.2730285714081089</v>
      </c>
      <c r="AQ53" s="162">
        <v>2.277714285714231</v>
      </c>
      <c r="AR53" s="162">
        <v>2.2817142857142501</v>
      </c>
      <c r="AS53" s="162">
        <v>2.2837142857142352</v>
      </c>
      <c r="AT53" s="162">
        <v>2.2879999999999781</v>
      </c>
      <c r="AU53" s="162">
        <v>2.2966714285713903</v>
      </c>
      <c r="AV53" s="163"/>
    </row>
    <row r="54" spans="1:48" ht="12.75" customHeight="1">
      <c r="A54" s="460">
        <v>41271</v>
      </c>
      <c r="B54" s="140">
        <v>52</v>
      </c>
      <c r="C54" s="141">
        <v>8.6428571427989348E-2</v>
      </c>
      <c r="D54" s="141">
        <v>8.6428571427989348E-2</v>
      </c>
      <c r="E54" s="141">
        <v>8.6428571427989348E-2</v>
      </c>
      <c r="F54" s="141">
        <v>9.0285714285398291E-2</v>
      </c>
      <c r="G54" s="141">
        <v>0.10971428571390009</v>
      </c>
      <c r="H54" s="141">
        <v>0.14799999999922875</v>
      </c>
      <c r="I54" s="141">
        <v>0.18585714285680816</v>
      </c>
      <c r="J54" s="141">
        <v>0.22757142857049723</v>
      </c>
      <c r="K54" s="141">
        <v>0.2765714285695659</v>
      </c>
      <c r="L54" s="141">
        <v>0.31942857142816394</v>
      </c>
      <c r="M54" s="141">
        <v>0.35957142856828533</v>
      </c>
      <c r="N54" s="141">
        <v>0.39842857142606847</v>
      </c>
      <c r="O54" s="141">
        <v>0.43099999999685679</v>
      </c>
      <c r="P54" s="141">
        <v>0.47142857142638861</v>
      </c>
      <c r="Q54" s="141">
        <v>0.50857142856797766</v>
      </c>
      <c r="R54" s="141">
        <v>0.54342857142494583</v>
      </c>
      <c r="S54" s="141">
        <v>0.38185714285490185</v>
      </c>
      <c r="T54" s="141">
        <v>0.47808571428478375</v>
      </c>
      <c r="U54" s="141">
        <v>0.62314285713676187</v>
      </c>
      <c r="V54" s="141">
        <v>0.79008571428130381</v>
      </c>
      <c r="W54" s="141">
        <v>0.97217142856763006</v>
      </c>
      <c r="X54" s="141">
        <v>1.1490857142759652</v>
      </c>
      <c r="Y54" s="141">
        <v>1.3137285714224811</v>
      </c>
      <c r="Z54" s="141">
        <v>1.4605714285696323</v>
      </c>
      <c r="AA54" s="141">
        <v>1.5918571428524695</v>
      </c>
      <c r="AB54" s="141">
        <v>1.7091428571355727</v>
      </c>
      <c r="AC54" s="141">
        <v>1.8121428571383666</v>
      </c>
      <c r="AD54" s="141">
        <v>1.8984285714208713</v>
      </c>
      <c r="AE54" s="141">
        <v>1.9742857142783967</v>
      </c>
      <c r="AF54" s="141">
        <v>2.0381428571334772</v>
      </c>
      <c r="AG54" s="141">
        <v>2.0841428571272571</v>
      </c>
      <c r="AH54" s="141">
        <v>2.1237142856947941</v>
      </c>
      <c r="AI54" s="141">
        <v>2.1521428571348742</v>
      </c>
      <c r="AJ54" s="141">
        <v>2.1737142857080989</v>
      </c>
      <c r="AK54" s="141">
        <v>2.1964571428335535</v>
      </c>
      <c r="AL54" s="141">
        <v>2.2029999999919836</v>
      </c>
      <c r="AM54" s="141">
        <v>2.2152857142750038</v>
      </c>
      <c r="AN54" s="141">
        <v>2.2239999999832691</v>
      </c>
      <c r="AO54" s="141">
        <v>2.2308571428376514</v>
      </c>
      <c r="AP54" s="141">
        <v>2.2361428571291198</v>
      </c>
      <c r="AQ54" s="141">
        <v>2.2412857142856604</v>
      </c>
      <c r="AR54" s="141">
        <v>2.2474285714284861</v>
      </c>
      <c r="AS54" s="141">
        <v>2.2499999999999512</v>
      </c>
      <c r="AT54" s="141">
        <v>2.2535714285713602</v>
      </c>
      <c r="AU54" s="141">
        <v>2.2638857142856552</v>
      </c>
      <c r="AV54" s="163"/>
    </row>
    <row r="55" spans="1:48" ht="12.75" customHeight="1">
      <c r="A55" s="459">
        <v>41278</v>
      </c>
      <c r="B55" s="139">
        <v>1</v>
      </c>
      <c r="C55" s="162">
        <v>8.1699999999999995E-2</v>
      </c>
      <c r="D55" s="162">
        <v>8.1699999999999995E-2</v>
      </c>
      <c r="E55" s="162">
        <v>7.1199999999999999E-2</v>
      </c>
      <c r="F55" s="162">
        <v>7.1199999999999999E-2</v>
      </c>
      <c r="G55" s="162">
        <v>7.1399999999999991E-2</v>
      </c>
      <c r="H55" s="162">
        <v>6.9599999999999995E-2</v>
      </c>
      <c r="I55" s="162">
        <v>6.7599999999999993E-2</v>
      </c>
      <c r="J55" s="162">
        <v>6.4499999999999988E-2</v>
      </c>
      <c r="K55" s="162">
        <v>6.1699999999999998E-2</v>
      </c>
      <c r="L55" s="162">
        <v>5.5199999999999999E-2</v>
      </c>
      <c r="M55" s="162">
        <v>5.2599999999999994E-2</v>
      </c>
      <c r="N55" s="162">
        <v>4.9299999999999997E-2</v>
      </c>
      <c r="O55" s="162">
        <v>5.1899999999999995E-2</v>
      </c>
      <c r="P55" s="162">
        <v>5.2699999999999997E-2</v>
      </c>
      <c r="Q55" s="162">
        <v>5.3399999999999996E-2</v>
      </c>
      <c r="R55" s="162">
        <v>5.4899999999999997E-2</v>
      </c>
      <c r="S55" s="162">
        <v>0.1124</v>
      </c>
      <c r="T55" s="162">
        <v>0.21389999999999998</v>
      </c>
      <c r="U55" s="162">
        <v>0.35859999999999997</v>
      </c>
      <c r="V55" s="162">
        <v>0.53179999999999994</v>
      </c>
      <c r="W55" s="162">
        <v>0.72</v>
      </c>
      <c r="X55" s="162">
        <v>0.90159999999999996</v>
      </c>
      <c r="Y55" s="162">
        <v>1.0687</v>
      </c>
      <c r="Z55" s="162">
        <v>1.2214999999999998</v>
      </c>
      <c r="AA55" s="162">
        <v>1.3581999999999999</v>
      </c>
      <c r="AB55" s="162">
        <v>1.4787999999999999</v>
      </c>
      <c r="AC55" s="162">
        <v>1.5883999999999998</v>
      </c>
      <c r="AD55" s="162">
        <v>1.6863999999999999</v>
      </c>
      <c r="AE55" s="162">
        <v>1.7664</v>
      </c>
      <c r="AF55" s="162">
        <v>1.8313999999999999</v>
      </c>
      <c r="AG55" s="162">
        <v>1.9449999999999998</v>
      </c>
      <c r="AH55" s="162">
        <v>1.9876999999999998</v>
      </c>
      <c r="AI55" s="162">
        <v>2.0212999999999997</v>
      </c>
      <c r="AJ55" s="162">
        <v>2.0479999999999996</v>
      </c>
      <c r="AK55" s="162">
        <v>2.0089999999999999</v>
      </c>
      <c r="AL55" s="162">
        <v>2.0227999999999997</v>
      </c>
      <c r="AM55" s="162">
        <v>2.0364999999999998</v>
      </c>
      <c r="AN55" s="162">
        <v>2.0502999999999996</v>
      </c>
      <c r="AO55" s="162">
        <v>2.0639999999999996</v>
      </c>
      <c r="AP55" s="162">
        <v>2.0777999999999999</v>
      </c>
      <c r="AQ55" s="162">
        <v>2.0843999999999996</v>
      </c>
      <c r="AR55" s="162">
        <v>2.0909</v>
      </c>
      <c r="AS55" s="162">
        <v>2.0974999999999997</v>
      </c>
      <c r="AT55" s="162">
        <v>2.1039999999999996</v>
      </c>
      <c r="AU55" s="162">
        <v>2.1105999999999998</v>
      </c>
    </row>
    <row r="56" spans="1:48" ht="12.75" customHeight="1">
      <c r="A56" s="459">
        <v>41285</v>
      </c>
      <c r="B56" s="139">
        <v>2</v>
      </c>
      <c r="C56" s="162">
        <v>8.1749999999374268E-2</v>
      </c>
      <c r="D56" s="162">
        <v>8.1749999999374268E-2</v>
      </c>
      <c r="E56" s="162">
        <v>7.1199999999407737E-2</v>
      </c>
      <c r="F56" s="162">
        <v>7.1199999999407737E-2</v>
      </c>
      <c r="G56" s="162">
        <v>7.139999999981228E-2</v>
      </c>
      <c r="H56" s="162">
        <v>6.959999999980937E-2</v>
      </c>
      <c r="I56" s="162">
        <v>6.7599999999401916E-2</v>
      </c>
      <c r="J56" s="162">
        <v>6.4499999999497959E-2</v>
      </c>
      <c r="K56" s="162">
        <v>6.1699999999746069E-2</v>
      </c>
      <c r="L56" s="162">
        <v>5.5199999999786087E-2</v>
      </c>
      <c r="M56" s="162">
        <v>5.2599999999983993E-2</v>
      </c>
      <c r="N56" s="162">
        <v>4.9299999999675492E-2</v>
      </c>
      <c r="O56" s="162">
        <v>5.1899999999932334E-2</v>
      </c>
      <c r="P56" s="162">
        <v>5.2699999999731517E-2</v>
      </c>
      <c r="Q56" s="162">
        <v>5.3399999999783176E-2</v>
      </c>
      <c r="R56" s="162">
        <v>5.4899999999634019E-2</v>
      </c>
      <c r="S56" s="162">
        <v>0.11239999999997963</v>
      </c>
      <c r="T56" s="162">
        <v>0.21389999999883003</v>
      </c>
      <c r="U56" s="162">
        <v>0.35859999999956926</v>
      </c>
      <c r="V56" s="162">
        <v>0.53179999999701977</v>
      </c>
      <c r="W56" s="162">
        <v>0.7199999999938882</v>
      </c>
      <c r="X56" s="162">
        <v>0.90159999999741558</v>
      </c>
      <c r="Y56" s="162">
        <v>1.0687399999878835</v>
      </c>
      <c r="Z56" s="162">
        <v>1.2214999999996508</v>
      </c>
      <c r="AA56" s="162">
        <v>1.3582399999868358</v>
      </c>
      <c r="AB56" s="162">
        <v>1.4787999999971362</v>
      </c>
      <c r="AC56" s="162">
        <v>1.5883999999932712</v>
      </c>
      <c r="AD56" s="162">
        <v>1.6863999999914085</v>
      </c>
      <c r="AE56" s="162">
        <v>1.7663999999931548</v>
      </c>
      <c r="AF56" s="162">
        <v>1.8313999999954831</v>
      </c>
      <c r="AG56" s="162">
        <v>1.944999999992433</v>
      </c>
      <c r="AH56" s="162">
        <v>1.9876666699856287</v>
      </c>
      <c r="AI56" s="162">
        <v>2.021333329990739</v>
      </c>
      <c r="AJ56" s="162">
        <v>2.0479999999806751</v>
      </c>
      <c r="AK56" s="162">
        <v>2.0089999999909196</v>
      </c>
      <c r="AL56" s="162">
        <v>2.0227599999925587</v>
      </c>
      <c r="AM56" s="162">
        <v>2.0365199999941979</v>
      </c>
      <c r="AN56" s="162">
        <v>2.050279999995837</v>
      </c>
      <c r="AO56" s="162">
        <v>2.0640399999974761</v>
      </c>
      <c r="AP56" s="162">
        <v>2.0777999999991152</v>
      </c>
      <c r="AQ56" s="162">
        <v>2.0843600000000002</v>
      </c>
      <c r="AR56" s="162">
        <v>2.0909200000000001</v>
      </c>
      <c r="AS56" s="162">
        <v>2.09748</v>
      </c>
      <c r="AT56" s="162">
        <v>2.1040399999999999</v>
      </c>
      <c r="AU56" s="162">
        <v>2.1105999999999998</v>
      </c>
    </row>
    <row r="57" spans="1:48" ht="12.75" customHeight="1">
      <c r="A57" s="459">
        <v>41292</v>
      </c>
      <c r="B57" s="139">
        <v>3</v>
      </c>
      <c r="C57" s="162">
        <v>6.7749999999250576E-2</v>
      </c>
      <c r="D57" s="162">
        <v>6.7749999999250576E-2</v>
      </c>
      <c r="E57" s="162">
        <v>6.9059999999808497E-2</v>
      </c>
      <c r="F57" s="162">
        <v>6.8899999999302963E-2</v>
      </c>
      <c r="G57" s="162">
        <v>7.16999999995096E-2</v>
      </c>
      <c r="H57" s="162">
        <v>7.1199999999407737E-2</v>
      </c>
      <c r="I57" s="162">
        <v>7.0599999999103602E-2</v>
      </c>
      <c r="J57" s="162">
        <v>7.019999999920401E-2</v>
      </c>
      <c r="K57" s="162">
        <v>6.83999999992011E-2</v>
      </c>
      <c r="L57" s="162">
        <v>6.4499999999497959E-2</v>
      </c>
      <c r="M57" s="162">
        <v>6.5899999999601278E-2</v>
      </c>
      <c r="N57" s="162">
        <v>6.6499999999905413E-2</v>
      </c>
      <c r="O57" s="162">
        <v>6.6699999999400461E-2</v>
      </c>
      <c r="P57" s="162">
        <v>6.8999999999505235E-2</v>
      </c>
      <c r="Q57" s="162">
        <v>7.16999999995096E-2</v>
      </c>
      <c r="R57" s="162">
        <v>7.515999999941414E-2</v>
      </c>
      <c r="S57" s="162">
        <v>0.1433999999990192</v>
      </c>
      <c r="T57" s="162">
        <v>0.25649999999950523</v>
      </c>
      <c r="U57" s="162">
        <v>0.41499999999723514</v>
      </c>
      <c r="V57" s="162">
        <v>0.59769999999844003</v>
      </c>
      <c r="W57" s="162">
        <v>0.79001999999309191</v>
      </c>
      <c r="X57" s="162">
        <v>0.9739999999947031</v>
      </c>
      <c r="Y57" s="162">
        <v>1.1440799999982119</v>
      </c>
      <c r="Z57" s="162">
        <v>1.2987199999915902</v>
      </c>
      <c r="AA57" s="162">
        <v>1.4352799999905983</v>
      </c>
      <c r="AB57" s="162">
        <v>1.5573999999905936</v>
      </c>
      <c r="AC57" s="162">
        <v>1.666399999987334</v>
      </c>
      <c r="AD57" s="162">
        <v>1.7631999999866821</v>
      </c>
      <c r="AE57" s="162">
        <v>1.841999999989639</v>
      </c>
      <c r="AF57" s="162">
        <v>1.91019999999844</v>
      </c>
      <c r="AG57" s="162">
        <v>1.9689999999973224</v>
      </c>
      <c r="AH57" s="162">
        <v>2.0127999999967869</v>
      </c>
      <c r="AI57" s="162">
        <v>2.0455999999830965</v>
      </c>
      <c r="AJ57" s="162">
        <v>2.0731999999843538</v>
      </c>
      <c r="AK57" s="162">
        <v>2.0889999999781139</v>
      </c>
      <c r="AL57" s="162">
        <v>2.1033199999947101</v>
      </c>
      <c r="AM57" s="162">
        <v>2.1176399999822024</v>
      </c>
      <c r="AN57" s="162">
        <v>2.1319599999987986</v>
      </c>
      <c r="AO57" s="162">
        <v>2.1462799999862909</v>
      </c>
      <c r="AP57" s="162">
        <v>2.1605999999737833</v>
      </c>
      <c r="AQ57" s="162">
        <v>2.1667999999999998</v>
      </c>
      <c r="AR57" s="162">
        <v>2.173</v>
      </c>
      <c r="AS57" s="162">
        <v>2.1791999999999998</v>
      </c>
      <c r="AT57" s="162">
        <v>2.1854</v>
      </c>
      <c r="AU57" s="162">
        <v>2.1916000000000002</v>
      </c>
    </row>
    <row r="58" spans="1:48" ht="12.75" customHeight="1">
      <c r="A58" s="459">
        <v>41299</v>
      </c>
      <c r="B58" s="139">
        <v>4</v>
      </c>
      <c r="C58" s="162">
        <v>6.5999999999803549E-2</v>
      </c>
      <c r="D58" s="162">
        <v>6.5999999999803549E-2</v>
      </c>
      <c r="E58" s="162">
        <v>6.959999999980937E-2</v>
      </c>
      <c r="F58" s="162">
        <v>6.9699999999102147E-2</v>
      </c>
      <c r="G58" s="162">
        <v>7.7199999999720603E-2</v>
      </c>
      <c r="H58" s="162">
        <v>8.7799999999333522E-2</v>
      </c>
      <c r="I58" s="162">
        <v>9.6799999999348074E-2</v>
      </c>
      <c r="J58" s="162">
        <v>0.10319999999956053</v>
      </c>
      <c r="K58" s="162">
        <v>0.11175999999977648</v>
      </c>
      <c r="L58" s="162">
        <v>0.11525999999958003</v>
      </c>
      <c r="M58" s="162">
        <v>0.11939999999958673</v>
      </c>
      <c r="N58" s="162">
        <v>0.12439999999969586</v>
      </c>
      <c r="O58" s="162">
        <v>0.13079999999899883</v>
      </c>
      <c r="P58" s="162">
        <v>0.1363999999994121</v>
      </c>
      <c r="Q58" s="162">
        <v>0.14129999999931897</v>
      </c>
      <c r="R58" s="162">
        <v>0.14789999999993597</v>
      </c>
      <c r="S58" s="162">
        <v>0.24059999999917636</v>
      </c>
      <c r="T58" s="162">
        <v>0.36749999999665306</v>
      </c>
      <c r="U58" s="162">
        <v>0.51279999999678694</v>
      </c>
      <c r="V58" s="162">
        <v>0.68379999999888241</v>
      </c>
      <c r="W58" s="162">
        <v>0.86381999999866821</v>
      </c>
      <c r="X58" s="162">
        <v>1.0359999999927823</v>
      </c>
      <c r="Y58" s="162">
        <v>1.1986399999877904</v>
      </c>
      <c r="Z58" s="162">
        <v>1.34297999998671</v>
      </c>
      <c r="AA58" s="162">
        <v>1.4700599999923725</v>
      </c>
      <c r="AB58" s="162">
        <v>1.5900999999867054</v>
      </c>
      <c r="AC58" s="162">
        <v>1.6959999999962747</v>
      </c>
      <c r="AD58" s="162">
        <v>1.7861999999877298</v>
      </c>
      <c r="AE58" s="162">
        <v>1.8641999999963446</v>
      </c>
      <c r="AF58" s="162">
        <v>1.9296999999933178</v>
      </c>
      <c r="AG58" s="162">
        <v>1.9825999999884516</v>
      </c>
      <c r="AH58" s="162">
        <v>2.0235999999858905</v>
      </c>
      <c r="AI58" s="162">
        <v>2.0565999999816995</v>
      </c>
      <c r="AJ58" s="162">
        <v>2.0823999999847729</v>
      </c>
      <c r="AK58" s="162">
        <v>2.102599999983795</v>
      </c>
      <c r="AL58" s="162">
        <v>2.1157999999995809</v>
      </c>
      <c r="AM58" s="162">
        <v>2.128999999986263</v>
      </c>
      <c r="AN58" s="162">
        <v>2.1421999999729451</v>
      </c>
      <c r="AO58" s="162">
        <v>2.155399999988731</v>
      </c>
      <c r="AP58" s="162">
        <v>2.1685999999754131</v>
      </c>
      <c r="AQ58" s="162">
        <v>2.1736399999999998</v>
      </c>
      <c r="AR58" s="162">
        <v>2.1786799999999999</v>
      </c>
      <c r="AS58" s="162">
        <v>2.1837200000000001</v>
      </c>
      <c r="AT58" s="162">
        <v>2.1887599999999998</v>
      </c>
      <c r="AU58" s="162">
        <v>2.1938</v>
      </c>
    </row>
    <row r="59" spans="1:48" ht="12.75" customHeight="1">
      <c r="A59" s="459">
        <v>41306</v>
      </c>
      <c r="B59" s="139">
        <v>5</v>
      </c>
      <c r="C59" s="162">
        <v>6.824999999935244E-2</v>
      </c>
      <c r="D59" s="162">
        <v>6.824999999935244E-2</v>
      </c>
      <c r="E59" s="162">
        <v>7.4399999999513966E-2</v>
      </c>
      <c r="F59" s="162">
        <v>7.4399999999513966E-2</v>
      </c>
      <c r="G59" s="162">
        <v>8.409999999912543E-2</v>
      </c>
      <c r="H59" s="162">
        <v>9.209999999984575E-2</v>
      </c>
      <c r="I59" s="162">
        <v>0.10619999999926222</v>
      </c>
      <c r="J59" s="162">
        <v>0.11449999999967986</v>
      </c>
      <c r="K59" s="162">
        <v>0.12179999999989377</v>
      </c>
      <c r="L59" s="162">
        <v>0.12819999999919673</v>
      </c>
      <c r="M59" s="162">
        <v>0.13699999999880674</v>
      </c>
      <c r="N59" s="162">
        <v>0.14499999999861757</v>
      </c>
      <c r="O59" s="162">
        <v>0.15099999999983993</v>
      </c>
      <c r="P59" s="162">
        <v>0.15875999999843771</v>
      </c>
      <c r="Q59" s="162">
        <v>0.16589999999996508</v>
      </c>
      <c r="R59" s="162">
        <v>0.17399999999906868</v>
      </c>
      <c r="S59" s="162">
        <v>0.27679999999963911</v>
      </c>
      <c r="T59" s="162">
        <v>0.40429999999832944</v>
      </c>
      <c r="U59" s="162">
        <v>0.55839999999443535</v>
      </c>
      <c r="V59" s="162">
        <v>0.72119999999995343</v>
      </c>
      <c r="W59" s="162">
        <v>0.88947999999800231</v>
      </c>
      <c r="X59" s="162">
        <v>1.0535999999992782</v>
      </c>
      <c r="Y59" s="162">
        <v>1.2056799999991199</v>
      </c>
      <c r="Z59" s="162">
        <v>1.3448599999974249</v>
      </c>
      <c r="AA59" s="162">
        <v>1.4696399999957066</v>
      </c>
      <c r="AB59" s="162">
        <v>1.5811999999859836</v>
      </c>
      <c r="AC59" s="162">
        <v>1.6823999999905936</v>
      </c>
      <c r="AD59" s="162">
        <v>1.771599999992759</v>
      </c>
      <c r="AE59" s="162">
        <v>1.8459999999904539</v>
      </c>
      <c r="AF59" s="162">
        <v>1.907599999991362</v>
      </c>
      <c r="AG59" s="162">
        <v>1.9585999999981141</v>
      </c>
      <c r="AH59" s="162">
        <v>1.9995999999955529</v>
      </c>
      <c r="AI59" s="162">
        <v>2.0317999999970198</v>
      </c>
      <c r="AJ59" s="162">
        <v>2.0577999999804888</v>
      </c>
      <c r="AK59" s="162">
        <v>2.0789999999979045</v>
      </c>
      <c r="AL59" s="162">
        <v>2.0921599999710452</v>
      </c>
      <c r="AM59" s="162">
        <v>2.1053199999732897</v>
      </c>
      <c r="AN59" s="162">
        <v>2.1184799999755342</v>
      </c>
      <c r="AO59" s="162">
        <v>2.1316399999777786</v>
      </c>
      <c r="AP59" s="162">
        <v>2.1447999999800231</v>
      </c>
      <c r="AQ59" s="162">
        <v>2.1499600000000001</v>
      </c>
      <c r="AR59" s="162">
        <v>2.1551200000000001</v>
      </c>
      <c r="AS59" s="162">
        <v>2.1602800000000002</v>
      </c>
      <c r="AT59" s="162">
        <v>2.1654399999999998</v>
      </c>
      <c r="AU59" s="162">
        <v>2.1705999999999999</v>
      </c>
    </row>
    <row r="60" spans="1:48" ht="12.75" customHeight="1">
      <c r="A60" s="459">
        <v>41313</v>
      </c>
      <c r="B60" s="139">
        <v>6</v>
      </c>
      <c r="C60" s="162">
        <v>7.6999999999999999E-2</v>
      </c>
      <c r="D60" s="162">
        <v>7.6999999999999999E-2</v>
      </c>
      <c r="E60" s="162">
        <v>8.6799999999999988E-2</v>
      </c>
      <c r="F60" s="162">
        <v>8.7499999999999994E-2</v>
      </c>
      <c r="G60" s="162">
        <v>9.7599999999999992E-2</v>
      </c>
      <c r="H60" s="162">
        <v>0.1108</v>
      </c>
      <c r="I60" s="162">
        <v>0.12609999999999999</v>
      </c>
      <c r="J60" s="162">
        <v>0.1371</v>
      </c>
      <c r="K60" s="162">
        <v>0.14809999999999998</v>
      </c>
      <c r="L60" s="162">
        <v>0.15829999999999997</v>
      </c>
      <c r="M60" s="162">
        <v>0.17039999999999997</v>
      </c>
      <c r="N60" s="162">
        <v>0.18229999999999996</v>
      </c>
      <c r="O60" s="162">
        <v>0.1925</v>
      </c>
      <c r="P60" s="162">
        <v>0.20479999999999993</v>
      </c>
      <c r="Q60" s="162">
        <v>0.21785999999999997</v>
      </c>
      <c r="R60" s="162">
        <v>0.23069999999999993</v>
      </c>
      <c r="S60" s="162">
        <v>0.37319999999999998</v>
      </c>
      <c r="T60" s="162">
        <v>0.52959999999999985</v>
      </c>
      <c r="U60" s="162">
        <v>0.69619999999999993</v>
      </c>
      <c r="V60" s="162">
        <v>0.86709999999999998</v>
      </c>
      <c r="W60" s="162">
        <v>1.0388599999999999</v>
      </c>
      <c r="X60" s="162">
        <v>1.196</v>
      </c>
      <c r="Y60" s="162">
        <v>1.34178</v>
      </c>
      <c r="Z60" s="162">
        <v>1.4735399999999998</v>
      </c>
      <c r="AA60" s="162">
        <v>1.5919599999999998</v>
      </c>
      <c r="AB60" s="162">
        <v>1.6967999999999999</v>
      </c>
      <c r="AC60" s="162">
        <v>1.7886</v>
      </c>
      <c r="AD60" s="162">
        <v>1.8702999999999999</v>
      </c>
      <c r="AE60" s="162">
        <v>1.9422999999999999</v>
      </c>
      <c r="AF60" s="162">
        <v>1.9955999999999998</v>
      </c>
      <c r="AG60" s="162">
        <v>2.0453999999999999</v>
      </c>
      <c r="AH60" s="162">
        <v>2.0808</v>
      </c>
      <c r="AI60" s="162">
        <v>2.1092</v>
      </c>
      <c r="AJ60" s="162">
        <v>2.1313999999999997</v>
      </c>
      <c r="AK60" s="162">
        <v>2.1459999999999999</v>
      </c>
      <c r="AL60" s="162">
        <v>2.1573799999999999</v>
      </c>
      <c r="AM60" s="162">
        <v>2.1687599999999998</v>
      </c>
      <c r="AN60" s="162">
        <v>2.1801399999999997</v>
      </c>
      <c r="AO60" s="162">
        <v>2.1915199999999997</v>
      </c>
      <c r="AP60" s="162">
        <v>2.2028999999999996</v>
      </c>
      <c r="AQ60" s="162">
        <v>2.20648</v>
      </c>
      <c r="AR60" s="162">
        <v>2.2100599999999999</v>
      </c>
      <c r="AS60" s="162">
        <v>2.2136399999999998</v>
      </c>
      <c r="AT60" s="162">
        <v>2.2172199999999997</v>
      </c>
      <c r="AU60" s="162">
        <v>2.2207999999999997</v>
      </c>
    </row>
    <row r="61" spans="1:48" ht="12.75" customHeight="1">
      <c r="A61" s="459">
        <v>41320</v>
      </c>
      <c r="B61" s="139">
        <v>7</v>
      </c>
      <c r="C61" s="162">
        <v>7.1999999999999995E-2</v>
      </c>
      <c r="D61" s="162">
        <v>7.1999999999999995E-2</v>
      </c>
      <c r="E61" s="162">
        <v>8.0099999999999991E-2</v>
      </c>
      <c r="F61" s="162">
        <v>8.095999999999999E-2</v>
      </c>
      <c r="G61" s="162">
        <v>8.9499999999999996E-2</v>
      </c>
      <c r="H61" s="162">
        <v>0.1055</v>
      </c>
      <c r="I61" s="162">
        <v>0.11439999999999999</v>
      </c>
      <c r="J61" s="162">
        <v>0.12329999999999999</v>
      </c>
      <c r="K61" s="162">
        <v>0.1308</v>
      </c>
      <c r="L61" s="162">
        <v>0.1384</v>
      </c>
      <c r="M61" s="162">
        <v>0.14589999999999997</v>
      </c>
      <c r="N61" s="162">
        <v>0.15489999999999995</v>
      </c>
      <c r="O61" s="162">
        <v>0.16179999999999997</v>
      </c>
      <c r="P61" s="162">
        <v>0.17299999999999993</v>
      </c>
      <c r="Q61" s="162">
        <v>0.18155999999999997</v>
      </c>
      <c r="R61" s="162">
        <v>0.19169999999999998</v>
      </c>
      <c r="S61" s="162">
        <v>0.30619999999999986</v>
      </c>
      <c r="T61" s="162">
        <v>0.44589999999999996</v>
      </c>
      <c r="U61" s="162">
        <v>0.6117999999999999</v>
      </c>
      <c r="V61" s="162">
        <v>0.79139999999999988</v>
      </c>
      <c r="W61" s="162">
        <v>0.96815999999999991</v>
      </c>
      <c r="X61" s="162">
        <v>1.135</v>
      </c>
      <c r="Y61" s="162">
        <v>1.29104</v>
      </c>
      <c r="Z61" s="162">
        <v>1.4293399999999998</v>
      </c>
      <c r="AA61" s="162">
        <v>1.5522799999999999</v>
      </c>
      <c r="AB61" s="162">
        <v>1.6573</v>
      </c>
      <c r="AC61" s="162">
        <v>1.7590999999999999</v>
      </c>
      <c r="AD61" s="162">
        <v>1.843</v>
      </c>
      <c r="AE61" s="162">
        <v>1.9119999999999999</v>
      </c>
      <c r="AF61" s="162">
        <v>1.9742999999999999</v>
      </c>
      <c r="AG61" s="162">
        <v>2.0339999999999998</v>
      </c>
      <c r="AH61" s="162">
        <v>2.0702499999999997</v>
      </c>
      <c r="AI61" s="162">
        <v>2.0979999999999999</v>
      </c>
      <c r="AJ61" s="162">
        <v>2.12</v>
      </c>
      <c r="AK61" s="162">
        <v>2.1237999999999997</v>
      </c>
      <c r="AL61" s="162">
        <v>2.1346399999999996</v>
      </c>
      <c r="AM61" s="162">
        <v>2.1454799999999996</v>
      </c>
      <c r="AN61" s="162">
        <v>2.1563199999999996</v>
      </c>
      <c r="AO61" s="162">
        <v>2.16716</v>
      </c>
      <c r="AP61" s="162">
        <v>2.1779999999999999</v>
      </c>
      <c r="AQ61" s="162">
        <v>2.1818799999999996</v>
      </c>
      <c r="AR61" s="162">
        <v>2.1857599999999997</v>
      </c>
      <c r="AS61" s="162">
        <v>2.1896399999999998</v>
      </c>
      <c r="AT61" s="162">
        <v>2.1935199999999999</v>
      </c>
      <c r="AU61" s="162">
        <v>2.1973999999999996</v>
      </c>
    </row>
    <row r="62" spans="1:48" ht="12.75" customHeight="1">
      <c r="A62" s="459">
        <v>41327</v>
      </c>
      <c r="B62" s="139">
        <v>8</v>
      </c>
      <c r="C62" s="162">
        <v>6.8750000000000006E-2</v>
      </c>
      <c r="D62" s="162">
        <v>6.8750000000000006E-2</v>
      </c>
      <c r="E62" s="162">
        <v>7.4699999999999989E-2</v>
      </c>
      <c r="F62" s="162">
        <v>7.4399999999999994E-2</v>
      </c>
      <c r="G62" s="162">
        <v>8.3699999999999997E-2</v>
      </c>
      <c r="H62" s="162">
        <v>9.4799999999999995E-2</v>
      </c>
      <c r="I62" s="162">
        <v>0.10179999999999999</v>
      </c>
      <c r="J62" s="162">
        <v>0.1074</v>
      </c>
      <c r="K62" s="162">
        <v>0.1137</v>
      </c>
      <c r="L62" s="162">
        <v>0.12079999999999999</v>
      </c>
      <c r="M62" s="162">
        <v>0.1258</v>
      </c>
      <c r="N62" s="162">
        <v>0.13339999999999999</v>
      </c>
      <c r="O62" s="162">
        <v>0.1409</v>
      </c>
      <c r="P62" s="162">
        <v>0.14849999999999997</v>
      </c>
      <c r="Q62" s="162">
        <v>0.15659999999999996</v>
      </c>
      <c r="R62" s="162">
        <v>0.16529999999999995</v>
      </c>
      <c r="S62" s="162">
        <v>0.28439999999999999</v>
      </c>
      <c r="T62" s="162">
        <v>0.42625999999999986</v>
      </c>
      <c r="U62" s="162">
        <v>0.60499999999999998</v>
      </c>
      <c r="V62" s="162">
        <v>0.7920999999999998</v>
      </c>
      <c r="W62" s="162">
        <v>0.97375999999999996</v>
      </c>
      <c r="X62" s="162">
        <v>1.1477999999999999</v>
      </c>
      <c r="Y62" s="162">
        <v>1.3088199999999999</v>
      </c>
      <c r="Z62" s="162">
        <v>1.4526999999999999</v>
      </c>
      <c r="AA62" s="162">
        <v>1.5818999999999999</v>
      </c>
      <c r="AB62" s="162">
        <v>1.6985999999999999</v>
      </c>
      <c r="AC62" s="162">
        <v>1.8012999999999999</v>
      </c>
      <c r="AD62" s="162">
        <v>1.8914</v>
      </c>
      <c r="AE62" s="162">
        <v>1.9673999999999998</v>
      </c>
      <c r="AF62" s="162">
        <v>2.0328999999999997</v>
      </c>
      <c r="AG62" s="162">
        <v>2.0863999999999998</v>
      </c>
      <c r="AH62" s="162">
        <v>2.1263999999999998</v>
      </c>
      <c r="AI62" s="162">
        <v>2.1576</v>
      </c>
      <c r="AJ62" s="162">
        <v>2.1811999999999996</v>
      </c>
      <c r="AK62" s="162">
        <v>2.1965999999999997</v>
      </c>
      <c r="AL62" s="162">
        <v>2.2083599999999999</v>
      </c>
      <c r="AM62" s="162">
        <v>2.2201199999999996</v>
      </c>
      <c r="AN62" s="162">
        <v>2.2318799999999999</v>
      </c>
      <c r="AO62" s="162">
        <v>2.2436399999999996</v>
      </c>
      <c r="AP62" s="162">
        <v>2.2553999999999998</v>
      </c>
      <c r="AQ62" s="162">
        <v>2.2593199999999998</v>
      </c>
      <c r="AR62" s="162">
        <v>2.2632399999999997</v>
      </c>
      <c r="AS62" s="162">
        <v>2.2671599999999996</v>
      </c>
      <c r="AT62" s="162">
        <v>2.27108</v>
      </c>
      <c r="AU62" s="162">
        <v>2.2749999999999999</v>
      </c>
    </row>
    <row r="63" spans="1:48" ht="12.75" customHeight="1">
      <c r="A63" s="459">
        <v>41334</v>
      </c>
      <c r="B63" s="139">
        <v>9</v>
      </c>
      <c r="C63" s="162">
        <v>6.4749999999999988E-2</v>
      </c>
      <c r="D63" s="162">
        <v>6.4749999999999988E-2</v>
      </c>
      <c r="E63" s="162">
        <v>7.3799999999999991E-2</v>
      </c>
      <c r="F63" s="162">
        <v>7.3799999999999991E-2</v>
      </c>
      <c r="G63" s="162">
        <v>0.08</v>
      </c>
      <c r="H63" s="162">
        <v>9.1599999999999987E-2</v>
      </c>
      <c r="I63" s="162">
        <v>9.6499999999999989E-2</v>
      </c>
      <c r="J63" s="162">
        <v>9.9699999999999997E-2</v>
      </c>
      <c r="K63" s="162">
        <v>0.1036</v>
      </c>
      <c r="L63" s="162">
        <v>0.10959999999999999</v>
      </c>
      <c r="M63" s="162">
        <v>0.11449999999999999</v>
      </c>
      <c r="N63" s="162">
        <v>0.12129999999999999</v>
      </c>
      <c r="O63" s="162">
        <v>0.12599999999999997</v>
      </c>
      <c r="P63" s="162">
        <v>0.13299999999999998</v>
      </c>
      <c r="Q63" s="162">
        <v>0.14019999999999999</v>
      </c>
      <c r="R63" s="162">
        <v>0.14799999999999996</v>
      </c>
      <c r="S63" s="162">
        <v>0.2533999999999999</v>
      </c>
      <c r="T63" s="162">
        <v>0.39359999999999995</v>
      </c>
      <c r="U63" s="162">
        <v>0.56639999999999979</v>
      </c>
      <c r="V63" s="162">
        <v>0.7537999999999998</v>
      </c>
      <c r="W63" s="162">
        <v>0.9420599999999999</v>
      </c>
      <c r="X63" s="162">
        <v>1.1200000000000001</v>
      </c>
      <c r="Y63" s="162">
        <v>1.28552</v>
      </c>
      <c r="Z63" s="162">
        <v>1.4341799999999998</v>
      </c>
      <c r="AA63" s="162">
        <v>1.5678399999999999</v>
      </c>
      <c r="AB63" s="162">
        <v>1.6893999999999998</v>
      </c>
      <c r="AC63" s="162">
        <v>1.7960999999999998</v>
      </c>
      <c r="AD63" s="162">
        <v>1.8901999999999999</v>
      </c>
      <c r="AE63" s="162">
        <v>1.9691999999999998</v>
      </c>
      <c r="AF63" s="162">
        <v>2.0370999999999997</v>
      </c>
      <c r="AG63" s="162">
        <v>2.0893999999999999</v>
      </c>
      <c r="AH63" s="162">
        <v>2.1305999999999998</v>
      </c>
      <c r="AI63" s="162">
        <v>2.1623999999999999</v>
      </c>
      <c r="AJ63" s="162">
        <v>2.1863999999999999</v>
      </c>
      <c r="AK63" s="162">
        <v>2.2058</v>
      </c>
      <c r="AL63" s="162">
        <v>2.2172799999999997</v>
      </c>
      <c r="AM63" s="162">
        <v>2.2287599999999999</v>
      </c>
      <c r="AN63" s="162">
        <v>2.2402399999999996</v>
      </c>
      <c r="AO63" s="162">
        <v>2.2517199999999997</v>
      </c>
      <c r="AP63" s="162">
        <v>2.2631999999999999</v>
      </c>
      <c r="AQ63" s="162">
        <v>2.2675999999999998</v>
      </c>
      <c r="AR63" s="162">
        <v>2.2719999999999998</v>
      </c>
      <c r="AS63" s="162">
        <v>2.2763999999999998</v>
      </c>
      <c r="AT63" s="162">
        <v>2.2807999999999997</v>
      </c>
      <c r="AU63" s="162">
        <v>2.2851999999999997</v>
      </c>
    </row>
    <row r="64" spans="1:48" ht="12.75" customHeight="1">
      <c r="A64" s="459">
        <v>41341</v>
      </c>
      <c r="B64" s="139">
        <v>10</v>
      </c>
      <c r="C64" s="162">
        <v>6.2749999999999986E-2</v>
      </c>
      <c r="D64" s="162">
        <v>6.2749999999999986E-2</v>
      </c>
      <c r="E64" s="162">
        <v>7.039999999999999E-2</v>
      </c>
      <c r="F64" s="162">
        <v>7.0799999999999988E-2</v>
      </c>
      <c r="G64" s="162">
        <v>7.5399999999999995E-2</v>
      </c>
      <c r="H64" s="162">
        <v>7.8999999999999987E-2</v>
      </c>
      <c r="I64" s="162">
        <v>8.0199999999999994E-2</v>
      </c>
      <c r="J64" s="162">
        <v>7.669999999999999E-2</v>
      </c>
      <c r="K64" s="162">
        <v>7.9899999999999999E-2</v>
      </c>
      <c r="L64" s="162">
        <v>8.0799999999999997E-2</v>
      </c>
      <c r="M64" s="162">
        <v>8.3499999999999991E-2</v>
      </c>
      <c r="N64" s="162">
        <v>8.6399999999999991E-2</v>
      </c>
      <c r="O64" s="162">
        <v>8.6399999999999991E-2</v>
      </c>
      <c r="P64" s="162">
        <v>9.0199999999999989E-2</v>
      </c>
      <c r="Q64" s="162">
        <v>9.2699999999999991E-2</v>
      </c>
      <c r="R64" s="162">
        <v>9.64E-2</v>
      </c>
      <c r="S64" s="162">
        <v>0.16899999999999993</v>
      </c>
      <c r="T64" s="162">
        <v>0.29445999999999994</v>
      </c>
      <c r="U64" s="162">
        <v>0.4509999999999999</v>
      </c>
      <c r="V64" s="162">
        <v>0.63459999999999983</v>
      </c>
      <c r="W64" s="162">
        <v>0.8243999999999998</v>
      </c>
      <c r="X64" s="162">
        <v>1.0063</v>
      </c>
      <c r="Y64" s="162">
        <v>1.1714</v>
      </c>
      <c r="Z64" s="162">
        <v>1.3238399999999999</v>
      </c>
      <c r="AA64" s="162">
        <v>1.4614199999999999</v>
      </c>
      <c r="AB64" s="162">
        <v>1.5851</v>
      </c>
      <c r="AC64" s="162">
        <v>1.6942999999999999</v>
      </c>
      <c r="AD64" s="162">
        <v>1.7908999999999999</v>
      </c>
      <c r="AE64" s="162">
        <v>1.8717999999999999</v>
      </c>
      <c r="AF64" s="162">
        <v>1.9406999999999999</v>
      </c>
      <c r="AG64" s="162">
        <v>1.9942</v>
      </c>
      <c r="AH64" s="162">
        <v>2.0367999999999999</v>
      </c>
      <c r="AI64" s="162">
        <v>2.0699999999999998</v>
      </c>
      <c r="AJ64" s="162">
        <v>2.0955999999999997</v>
      </c>
      <c r="AK64" s="162">
        <v>2.1163999999999996</v>
      </c>
      <c r="AL64" s="162">
        <v>2.1291199999999999</v>
      </c>
      <c r="AM64" s="162">
        <v>2.1418399999999997</v>
      </c>
      <c r="AN64" s="162">
        <v>2.1545599999999996</v>
      </c>
      <c r="AO64" s="162">
        <v>2.1672799999999999</v>
      </c>
      <c r="AP64" s="162">
        <v>2.1800000000000002</v>
      </c>
      <c r="AQ64" s="162">
        <v>2.1844199999999998</v>
      </c>
      <c r="AR64" s="162">
        <v>2.1888399999999999</v>
      </c>
      <c r="AS64" s="162">
        <v>2.19326</v>
      </c>
      <c r="AT64" s="162">
        <v>2.1976799999999996</v>
      </c>
      <c r="AU64" s="162">
        <v>2.2020999999999997</v>
      </c>
    </row>
    <row r="65" spans="1:47" ht="12.75" customHeight="1">
      <c r="A65" s="459">
        <v>41348</v>
      </c>
      <c r="B65" s="139">
        <v>11</v>
      </c>
      <c r="C65" s="162">
        <v>6.3499999999999987E-2</v>
      </c>
      <c r="D65" s="162">
        <v>6.3499999999999987E-2</v>
      </c>
      <c r="E65" s="162">
        <v>6.7599999999999993E-2</v>
      </c>
      <c r="F65" s="162">
        <v>6.7999999999999991E-2</v>
      </c>
      <c r="G65" s="162">
        <v>7.7459999999999987E-2</v>
      </c>
      <c r="H65" s="162">
        <v>7.5799999999999992E-2</v>
      </c>
      <c r="I65" s="162">
        <v>7.1299999999999988E-2</v>
      </c>
      <c r="J65" s="162">
        <v>7.0000000000000007E-2</v>
      </c>
      <c r="K65" s="162">
        <v>6.9099999999999995E-2</v>
      </c>
      <c r="L65" s="162">
        <v>7.0299999999999987E-2</v>
      </c>
      <c r="M65" s="162">
        <v>6.9799999999999987E-2</v>
      </c>
      <c r="N65" s="162">
        <v>7.3199999999999987E-2</v>
      </c>
      <c r="O65" s="162">
        <v>7.46E-2</v>
      </c>
      <c r="P65" s="162">
        <v>8.1399999999999986E-2</v>
      </c>
      <c r="Q65" s="162">
        <v>8.4699999999999998E-2</v>
      </c>
      <c r="R65" s="162">
        <v>8.7899999999999992E-2</v>
      </c>
      <c r="S65" s="162">
        <v>0.16659999999999997</v>
      </c>
      <c r="T65" s="162">
        <v>0.28509999999999991</v>
      </c>
      <c r="U65" s="162">
        <v>0.44199999999999995</v>
      </c>
      <c r="V65" s="162">
        <v>0.62739999999999996</v>
      </c>
      <c r="W65" s="162">
        <v>0.81387999999999994</v>
      </c>
      <c r="X65" s="162">
        <v>0.99559999999999982</v>
      </c>
      <c r="Y65" s="162">
        <v>1.1595599999999999</v>
      </c>
      <c r="Z65" s="162">
        <v>1.31104</v>
      </c>
      <c r="AA65" s="162">
        <v>1.4479</v>
      </c>
      <c r="AB65" s="162">
        <v>1.5701999999999998</v>
      </c>
      <c r="AC65" s="162">
        <v>1.6796</v>
      </c>
      <c r="AD65" s="162">
        <v>1.7727999999999999</v>
      </c>
      <c r="AE65" s="162">
        <v>1.8541999999999998</v>
      </c>
      <c r="AF65" s="162">
        <v>1.9236</v>
      </c>
      <c r="AG65" s="162">
        <v>1.9702499999999998</v>
      </c>
      <c r="AH65" s="162">
        <v>2.0125000000000002</v>
      </c>
      <c r="AI65" s="162">
        <v>2.04575</v>
      </c>
      <c r="AJ65" s="162">
        <v>2.0717499999999998</v>
      </c>
      <c r="AK65" s="162">
        <v>2.1001999999999996</v>
      </c>
      <c r="AL65" s="162">
        <v>2.1134399999999998</v>
      </c>
      <c r="AM65" s="162">
        <v>2.1266799999999999</v>
      </c>
      <c r="AN65" s="162">
        <v>2.1399199999999996</v>
      </c>
      <c r="AO65" s="162">
        <v>2.1531599999999997</v>
      </c>
      <c r="AP65" s="162">
        <v>2.1663999999999999</v>
      </c>
      <c r="AQ65" s="162">
        <v>2.1723199999999996</v>
      </c>
      <c r="AR65" s="162">
        <v>2.1782399999999997</v>
      </c>
      <c r="AS65" s="162">
        <v>2.1841599999999999</v>
      </c>
      <c r="AT65" s="162">
        <v>2.1900799999999996</v>
      </c>
      <c r="AU65" s="162">
        <v>2.1959999999999997</v>
      </c>
    </row>
    <row r="66" spans="1:47" ht="12.75" customHeight="1">
      <c r="A66" s="459">
        <v>41355</v>
      </c>
      <c r="B66" s="139">
        <v>12</v>
      </c>
      <c r="C66" s="162">
        <v>6.699999999999999E-2</v>
      </c>
      <c r="D66" s="162">
        <v>6.699999999999999E-2</v>
      </c>
      <c r="E66" s="162">
        <v>6.9959999999999994E-2</v>
      </c>
      <c r="F66" s="162">
        <v>7.1999999999999995E-2</v>
      </c>
      <c r="G66" s="162">
        <v>7.8199999999999992E-2</v>
      </c>
      <c r="H66" s="162">
        <v>7.5899999999999995E-2</v>
      </c>
      <c r="I66" s="162">
        <v>7.8599999999999989E-2</v>
      </c>
      <c r="J66" s="162">
        <v>7.9899999999999999E-2</v>
      </c>
      <c r="K66" s="162">
        <v>8.0399999999999999E-2</v>
      </c>
      <c r="L66" s="162">
        <v>8.4559999999999996E-2</v>
      </c>
      <c r="M66" s="162">
        <v>8.6399999999999991E-2</v>
      </c>
      <c r="N66" s="162">
        <v>8.8599999999999998E-2</v>
      </c>
      <c r="O66" s="162">
        <v>8.8899999999999993E-2</v>
      </c>
      <c r="P66" s="162">
        <v>9.2799999999999994E-2</v>
      </c>
      <c r="Q66" s="162">
        <v>8.5199999999999998E-2</v>
      </c>
      <c r="R66" s="162">
        <v>9.8799999999999999E-2</v>
      </c>
      <c r="S66" s="162">
        <v>0.17419999999999997</v>
      </c>
      <c r="T66" s="162">
        <v>0.29555999999999988</v>
      </c>
      <c r="U66" s="162">
        <v>0.45339999999999986</v>
      </c>
      <c r="V66" s="162">
        <v>0.63629999999999987</v>
      </c>
      <c r="W66" s="162">
        <v>0.81981999999999999</v>
      </c>
      <c r="X66" s="162">
        <v>1.0019999999999998</v>
      </c>
      <c r="Y66" s="162">
        <v>1.1663399999999999</v>
      </c>
      <c r="Z66" s="162">
        <v>1.31802</v>
      </c>
      <c r="AA66" s="162">
        <v>1.4560599999999999</v>
      </c>
      <c r="AB66" s="162">
        <v>1.5808</v>
      </c>
      <c r="AC66" s="162">
        <v>1.6913999999999998</v>
      </c>
      <c r="AD66" s="162">
        <v>1.7876999999999998</v>
      </c>
      <c r="AE66" s="162">
        <v>1.8695999999999999</v>
      </c>
      <c r="AF66" s="162">
        <v>1.9385999999999999</v>
      </c>
      <c r="AG66" s="162">
        <v>1.9942</v>
      </c>
      <c r="AH66" s="162">
        <v>2.0375999999999999</v>
      </c>
      <c r="AI66" s="162">
        <v>2.0713999999999997</v>
      </c>
      <c r="AJ66" s="162">
        <v>2.0987999999999998</v>
      </c>
      <c r="AK66" s="162">
        <v>2.12</v>
      </c>
      <c r="AL66" s="162">
        <v>2.1335599999999997</v>
      </c>
      <c r="AM66" s="162">
        <v>2.1471199999999997</v>
      </c>
      <c r="AN66" s="162">
        <v>2.1606799999999997</v>
      </c>
      <c r="AO66" s="162">
        <v>2.1742399999999997</v>
      </c>
      <c r="AP66" s="162">
        <v>2.1877999999999997</v>
      </c>
      <c r="AQ66" s="162">
        <v>2.1943999999999999</v>
      </c>
      <c r="AR66" s="162">
        <v>2.2009999999999996</v>
      </c>
      <c r="AS66" s="162">
        <v>2.2075999999999998</v>
      </c>
      <c r="AT66" s="162">
        <v>2.2141999999999999</v>
      </c>
      <c r="AU66" s="162">
        <v>2.2207999999999997</v>
      </c>
    </row>
    <row r="67" spans="1:47" ht="12.75" customHeight="1">
      <c r="A67" s="459">
        <v>41362</v>
      </c>
      <c r="B67" s="139">
        <v>13</v>
      </c>
      <c r="C67" s="162">
        <v>6.5000000000000002E-2</v>
      </c>
      <c r="D67" s="162">
        <v>6.5000000000000002E-2</v>
      </c>
      <c r="E67" s="162">
        <v>8.539999999999999E-2</v>
      </c>
      <c r="F67" s="162">
        <v>8.675999999999999E-2</v>
      </c>
      <c r="G67" s="162">
        <v>8.2399999999999987E-2</v>
      </c>
      <c r="H67" s="162">
        <v>8.4199999999999997E-2</v>
      </c>
      <c r="I67" s="162">
        <v>8.199999999999999E-2</v>
      </c>
      <c r="J67" s="162">
        <v>8.929999999999999E-2</v>
      </c>
      <c r="K67" s="162">
        <v>8.7899999999999992E-2</v>
      </c>
      <c r="L67" s="162">
        <v>9.7099999999999992E-2</v>
      </c>
      <c r="M67" s="162">
        <v>7.9799999999999996E-2</v>
      </c>
      <c r="N67" s="162">
        <v>0.10089999999999999</v>
      </c>
      <c r="O67" s="162">
        <v>0.10059999999999999</v>
      </c>
      <c r="P67" s="162">
        <v>0.10469999999999999</v>
      </c>
      <c r="Q67" s="162">
        <v>8.6599999999999996E-2</v>
      </c>
      <c r="R67" s="162">
        <v>0.1094</v>
      </c>
      <c r="S67" s="162">
        <v>0.16719999999999999</v>
      </c>
      <c r="T67" s="162">
        <v>0.27209999999999995</v>
      </c>
      <c r="U67" s="162">
        <v>0.40759999999999996</v>
      </c>
      <c r="V67" s="162">
        <v>0.57979999999999987</v>
      </c>
      <c r="W67" s="162">
        <v>0.74649999999999994</v>
      </c>
      <c r="X67" s="162">
        <v>0.92839999999999989</v>
      </c>
      <c r="Y67" s="162">
        <v>1.0801799999999999</v>
      </c>
      <c r="Z67" s="162">
        <v>1.2282599999999999</v>
      </c>
      <c r="AA67" s="162">
        <v>1.36178</v>
      </c>
      <c r="AB67" s="162">
        <v>1.4922</v>
      </c>
      <c r="AC67" s="162">
        <v>1.5992</v>
      </c>
      <c r="AD67" s="162">
        <v>1.6916</v>
      </c>
      <c r="AE67" s="162">
        <v>1.7707999999999999</v>
      </c>
      <c r="AF67" s="162">
        <v>1.84</v>
      </c>
      <c r="AG67" s="162">
        <v>1.8954</v>
      </c>
      <c r="AH67" s="162">
        <v>1.9396</v>
      </c>
      <c r="AI67" s="162">
        <v>1.974</v>
      </c>
      <c r="AJ67" s="162">
        <v>2.0011999999999999</v>
      </c>
      <c r="AK67" s="162">
        <v>2.0221999999999998</v>
      </c>
      <c r="AL67" s="162">
        <v>2.0362399999999998</v>
      </c>
      <c r="AM67" s="162">
        <v>2.0502799999999999</v>
      </c>
      <c r="AN67" s="162">
        <v>2.0643199999999999</v>
      </c>
      <c r="AO67" s="162">
        <v>2.07836</v>
      </c>
      <c r="AP67" s="162">
        <v>2.0923999999999996</v>
      </c>
      <c r="AQ67" s="162">
        <v>2.0991599999999999</v>
      </c>
      <c r="AR67" s="162">
        <v>2.1059199999999998</v>
      </c>
      <c r="AS67" s="162">
        <v>2.1126799999999997</v>
      </c>
      <c r="AT67" s="162">
        <v>2.11944</v>
      </c>
      <c r="AU67" s="162">
        <v>2.1261999999999999</v>
      </c>
    </row>
    <row r="68" spans="1:47" ht="12.75" customHeight="1">
      <c r="A68" s="459">
        <v>41369</v>
      </c>
      <c r="B68" s="139">
        <v>14</v>
      </c>
      <c r="C68" s="162">
        <v>6.5000000000000002E-2</v>
      </c>
      <c r="D68" s="162">
        <v>6.5000000000000002E-2</v>
      </c>
      <c r="E68" s="162">
        <v>8.0625000000000002E-2</v>
      </c>
      <c r="F68" s="162">
        <v>0.08</v>
      </c>
      <c r="G68" s="162">
        <v>7.9749999999999988E-2</v>
      </c>
      <c r="H68" s="162">
        <v>8.262499999999999E-2</v>
      </c>
      <c r="I68" s="162">
        <v>8.3999999999999991E-2</v>
      </c>
      <c r="J68" s="162">
        <v>0.08</v>
      </c>
      <c r="K68" s="162">
        <v>8.299999999999999E-2</v>
      </c>
      <c r="L68" s="162">
        <v>8.6999999999999994E-2</v>
      </c>
      <c r="M68" s="162">
        <v>7.8999999999999987E-2</v>
      </c>
      <c r="N68" s="162">
        <v>9.0374999999999997E-2</v>
      </c>
      <c r="O68" s="162">
        <v>8.9749999999999996E-2</v>
      </c>
      <c r="P68" s="162">
        <v>9.3124999999999999E-2</v>
      </c>
      <c r="Q68" s="162">
        <v>8.237499999999999E-2</v>
      </c>
      <c r="R68" s="162">
        <v>9.5749999999999988E-2</v>
      </c>
      <c r="S68" s="162">
        <v>0.14199999999999999</v>
      </c>
      <c r="T68" s="162">
        <v>0.23399999999999999</v>
      </c>
      <c r="U68" s="162">
        <v>0.37574999999999986</v>
      </c>
      <c r="V68" s="162">
        <v>0.54387499999999989</v>
      </c>
      <c r="W68" s="162">
        <v>0.70022499999999988</v>
      </c>
      <c r="X68" s="162">
        <v>0.8879999999999999</v>
      </c>
      <c r="Y68" s="162">
        <v>1.0325749999999998</v>
      </c>
      <c r="Z68" s="162">
        <v>1.1796</v>
      </c>
      <c r="AA68" s="162">
        <v>1.31395</v>
      </c>
      <c r="AB68" s="162">
        <v>1.4524999999999999</v>
      </c>
      <c r="AC68" s="162">
        <v>1.5592499999999998</v>
      </c>
      <c r="AD68" s="162">
        <v>1.6532499999999999</v>
      </c>
      <c r="AE68" s="162">
        <v>1.7329999999999999</v>
      </c>
      <c r="AF68" s="162">
        <v>1.8011249999999999</v>
      </c>
      <c r="AG68" s="162">
        <v>1.8594999999999999</v>
      </c>
      <c r="AH68" s="162">
        <v>1.9037500000000001</v>
      </c>
      <c r="AI68" s="162">
        <v>1.9389999999999998</v>
      </c>
      <c r="AJ68" s="162">
        <v>1.9669999999999999</v>
      </c>
      <c r="AK68" s="162">
        <v>1.9881249999999999</v>
      </c>
      <c r="AL68" s="162">
        <v>2.0024249999999997</v>
      </c>
      <c r="AM68" s="162">
        <v>2.0167249999999997</v>
      </c>
      <c r="AN68" s="162">
        <v>2.0310249999999996</v>
      </c>
      <c r="AO68" s="162">
        <v>2.0453249999999996</v>
      </c>
      <c r="AP68" s="162">
        <v>2.0596249999999996</v>
      </c>
      <c r="AQ68" s="162">
        <v>2.0664499999999997</v>
      </c>
      <c r="AR68" s="162">
        <v>2.0732749999999998</v>
      </c>
      <c r="AS68" s="162">
        <v>2.0800999999999998</v>
      </c>
      <c r="AT68" s="162">
        <v>2.0869249999999999</v>
      </c>
      <c r="AU68" s="162">
        <v>2.09375</v>
      </c>
    </row>
    <row r="69" spans="1:47" ht="12.75" customHeight="1">
      <c r="A69" s="459">
        <v>41376</v>
      </c>
      <c r="B69" s="139">
        <v>15</v>
      </c>
      <c r="C69" s="162">
        <v>7.1999999999999995E-2</v>
      </c>
      <c r="D69" s="162">
        <v>7.1999999999999995E-2</v>
      </c>
      <c r="E69" s="162">
        <v>7.2199999999999986E-2</v>
      </c>
      <c r="F69" s="162">
        <v>7.329999999999999E-2</v>
      </c>
      <c r="G69" s="162">
        <v>7.8099999999999989E-2</v>
      </c>
      <c r="H69" s="162">
        <v>7.9499999999999987E-2</v>
      </c>
      <c r="I69" s="162">
        <v>7.9699999999999993E-2</v>
      </c>
      <c r="J69" s="162">
        <v>7.9399999999999998E-2</v>
      </c>
      <c r="K69" s="162">
        <v>7.8799999999999995E-2</v>
      </c>
      <c r="L69" s="162">
        <v>8.0199999999999994E-2</v>
      </c>
      <c r="M69" s="162">
        <v>8.0099999999999991E-2</v>
      </c>
      <c r="N69" s="162">
        <v>8.2599999999999993E-2</v>
      </c>
      <c r="O69" s="162">
        <v>8.3299999999999999E-2</v>
      </c>
      <c r="P69" s="162">
        <v>8.5599999999999996E-2</v>
      </c>
      <c r="Q69" s="162">
        <v>8.589999999999999E-2</v>
      </c>
      <c r="R69" s="162">
        <v>8.7699999999999986E-2</v>
      </c>
      <c r="S69" s="162">
        <v>0.13239999999999999</v>
      </c>
      <c r="T69" s="162">
        <v>0.22279999999999994</v>
      </c>
      <c r="U69" s="162">
        <v>0.3597999999999999</v>
      </c>
      <c r="V69" s="162">
        <v>0.52699999999999991</v>
      </c>
      <c r="W69" s="162">
        <v>0.70041999999999982</v>
      </c>
      <c r="X69" s="162">
        <v>0.86539999999999995</v>
      </c>
      <c r="Y69" s="162">
        <v>1.0246</v>
      </c>
      <c r="Z69" s="162">
        <v>1.1710999999999998</v>
      </c>
      <c r="AA69" s="162">
        <v>1.3020799999999999</v>
      </c>
      <c r="AB69" s="162">
        <v>1.4247999999999998</v>
      </c>
      <c r="AC69" s="162">
        <v>1.5319999999999998</v>
      </c>
      <c r="AD69" s="162">
        <v>1.6304999999999998</v>
      </c>
      <c r="AE69" s="162">
        <v>1.7109999999999999</v>
      </c>
      <c r="AF69" s="162">
        <v>1.7781999999999998</v>
      </c>
      <c r="AG69" s="162">
        <v>1.8332499999999998</v>
      </c>
      <c r="AH69" s="162">
        <v>1.8792499999999999</v>
      </c>
      <c r="AI69" s="162">
        <v>1.915</v>
      </c>
      <c r="AJ69" s="162">
        <v>1.9437500000000001</v>
      </c>
      <c r="AK69" s="162">
        <v>1.9683999999999999</v>
      </c>
      <c r="AL69" s="162">
        <v>1.9829999999999999</v>
      </c>
      <c r="AM69" s="162">
        <v>1.9975999999999998</v>
      </c>
      <c r="AN69" s="162">
        <v>2.0122</v>
      </c>
      <c r="AO69" s="162">
        <v>2.0267999999999997</v>
      </c>
      <c r="AP69" s="162">
        <v>2.0413999999999999</v>
      </c>
      <c r="AQ69" s="162">
        <v>2.0479599999999998</v>
      </c>
      <c r="AR69" s="162">
        <v>2.0545199999999997</v>
      </c>
      <c r="AS69" s="162">
        <v>2.0610799999999996</v>
      </c>
      <c r="AT69" s="162">
        <v>2.0676399999999999</v>
      </c>
      <c r="AU69" s="162">
        <v>2.0741999999999998</v>
      </c>
    </row>
    <row r="70" spans="1:47" ht="12.75" customHeight="1">
      <c r="A70" s="459">
        <v>41383</v>
      </c>
      <c r="B70" s="139">
        <v>16</v>
      </c>
      <c r="C70" s="162">
        <v>8.199999999999999E-2</v>
      </c>
      <c r="D70" s="162">
        <v>8.199999999999999E-2</v>
      </c>
      <c r="E70" s="162">
        <v>7.959999999999999E-2</v>
      </c>
      <c r="F70" s="162">
        <v>7.959999999999999E-2</v>
      </c>
      <c r="G70" s="162">
        <v>8.1399999999999986E-2</v>
      </c>
      <c r="H70" s="162">
        <v>7.8299999999999995E-2</v>
      </c>
      <c r="I70" s="162">
        <v>8.0399999999999999E-2</v>
      </c>
      <c r="J70" s="162">
        <v>7.8599999999999989E-2</v>
      </c>
      <c r="K70" s="162">
        <v>8.2099999999999992E-2</v>
      </c>
      <c r="L70" s="162">
        <v>8.3299999999999999E-2</v>
      </c>
      <c r="M70" s="162">
        <v>8.5499999999999993E-2</v>
      </c>
      <c r="N70" s="162">
        <v>8.7599999999999997E-2</v>
      </c>
      <c r="O70" s="162">
        <v>8.8699999999999987E-2</v>
      </c>
      <c r="P70" s="162">
        <v>9.3299999999999994E-2</v>
      </c>
      <c r="Q70" s="162">
        <v>9.3799999999999994E-2</v>
      </c>
      <c r="R70" s="162">
        <v>9.645999999999999E-2</v>
      </c>
      <c r="S70" s="162">
        <v>0.14359999999999998</v>
      </c>
      <c r="T70" s="162">
        <v>0.23329999999999992</v>
      </c>
      <c r="U70" s="162">
        <v>0.36829999999999985</v>
      </c>
      <c r="V70" s="162">
        <v>0.52719999999999989</v>
      </c>
      <c r="W70" s="162">
        <v>0.70147999999999988</v>
      </c>
      <c r="X70" s="162">
        <v>0.86299999999999999</v>
      </c>
      <c r="Y70" s="162">
        <v>1.0184</v>
      </c>
      <c r="Z70" s="162">
        <v>1.1683599999999998</v>
      </c>
      <c r="AA70" s="162">
        <v>1.2994999999999999</v>
      </c>
      <c r="AB70" s="162">
        <v>1.4163999999999999</v>
      </c>
      <c r="AC70" s="162">
        <v>1.5219999999999998</v>
      </c>
      <c r="AD70" s="162">
        <v>1.6171</v>
      </c>
      <c r="AE70" s="162">
        <v>1.6978</v>
      </c>
      <c r="AF70" s="162">
        <v>1.7655999999999998</v>
      </c>
      <c r="AG70" s="162">
        <v>1.8208</v>
      </c>
      <c r="AH70" s="162">
        <v>1.8641999999999999</v>
      </c>
      <c r="AI70" s="162">
        <v>1.8994</v>
      </c>
      <c r="AJ70" s="162">
        <v>1.9273999999999998</v>
      </c>
      <c r="AK70" s="162">
        <v>1.9513999999999998</v>
      </c>
      <c r="AL70" s="162">
        <v>1.9648399999999999</v>
      </c>
      <c r="AM70" s="162">
        <v>1.9782799999999998</v>
      </c>
      <c r="AN70" s="162">
        <v>1.9917199999999999</v>
      </c>
      <c r="AO70" s="162">
        <v>2.0051599999999996</v>
      </c>
      <c r="AP70" s="162">
        <v>2.0185999999999997</v>
      </c>
      <c r="AQ70" s="162">
        <v>2.0246799999999996</v>
      </c>
      <c r="AR70" s="162">
        <v>2.0307599999999999</v>
      </c>
      <c r="AS70" s="162">
        <v>2.0368399999999998</v>
      </c>
      <c r="AT70" s="162">
        <v>2.0429199999999996</v>
      </c>
      <c r="AU70" s="162">
        <v>2.0489999999999999</v>
      </c>
    </row>
    <row r="71" spans="1:47" ht="12.75" customHeight="1">
      <c r="A71" s="459">
        <v>41390</v>
      </c>
      <c r="B71" s="139">
        <v>17</v>
      </c>
      <c r="C71" s="162">
        <v>8.0249999999999988E-2</v>
      </c>
      <c r="D71" s="162">
        <v>8.0249999999999988E-2</v>
      </c>
      <c r="E71" s="162">
        <v>8.1599999999999992E-2</v>
      </c>
      <c r="F71" s="162">
        <v>8.1599999999999992E-2</v>
      </c>
      <c r="G71" s="162">
        <v>8.0699999999999994E-2</v>
      </c>
      <c r="H71" s="162">
        <v>7.959999999999999E-2</v>
      </c>
      <c r="I71" s="162">
        <v>7.9399999999999998E-2</v>
      </c>
      <c r="J71" s="162">
        <v>7.8399999999999997E-2</v>
      </c>
      <c r="K71" s="162">
        <v>7.8E-2</v>
      </c>
      <c r="L71" s="162">
        <v>7.8199999999999992E-2</v>
      </c>
      <c r="M71" s="162">
        <v>7.8399999999999997E-2</v>
      </c>
      <c r="N71" s="162">
        <v>7.8499999999999986E-2</v>
      </c>
      <c r="O71" s="162">
        <v>7.9399999999999998E-2</v>
      </c>
      <c r="P71" s="162">
        <v>7.959999999999999E-2</v>
      </c>
      <c r="Q71" s="162">
        <v>8.2500000000000004E-2</v>
      </c>
      <c r="R71" s="162">
        <v>8.3799999999999999E-2</v>
      </c>
      <c r="S71" s="162">
        <v>0.12799999999999997</v>
      </c>
      <c r="T71" s="162">
        <v>0.20575999999999997</v>
      </c>
      <c r="U71" s="162">
        <v>0.33399999999999985</v>
      </c>
      <c r="V71" s="162">
        <v>0.49239999999999995</v>
      </c>
      <c r="W71" s="162">
        <v>0.66221999999999981</v>
      </c>
      <c r="X71" s="162">
        <v>0.82719999999999994</v>
      </c>
      <c r="Y71" s="162">
        <v>0.9847999999999999</v>
      </c>
      <c r="Z71" s="162">
        <v>1.1295799999999998</v>
      </c>
      <c r="AA71" s="162">
        <v>1.2630599999999998</v>
      </c>
      <c r="AB71" s="162">
        <v>1.385</v>
      </c>
      <c r="AC71" s="162">
        <v>1.4953999999999998</v>
      </c>
      <c r="AD71" s="162">
        <v>1.5923999999999998</v>
      </c>
      <c r="AE71" s="162">
        <v>1.6747999999999998</v>
      </c>
      <c r="AF71" s="162">
        <v>1.7454999999999998</v>
      </c>
      <c r="AG71" s="162">
        <v>1.8021999999999998</v>
      </c>
      <c r="AH71" s="162">
        <v>1.8472</v>
      </c>
      <c r="AI71" s="162">
        <v>1.8829999999999998</v>
      </c>
      <c r="AJ71" s="162">
        <v>1.9109999999999998</v>
      </c>
      <c r="AK71" s="162">
        <v>1.9341999999999999</v>
      </c>
      <c r="AL71" s="162">
        <v>1.9481599999999999</v>
      </c>
      <c r="AM71" s="162">
        <v>1.9621199999999999</v>
      </c>
      <c r="AN71" s="162">
        <v>1.9760799999999998</v>
      </c>
      <c r="AO71" s="162">
        <v>1.9900399999999998</v>
      </c>
      <c r="AP71" s="162">
        <v>2.0039999999999996</v>
      </c>
      <c r="AQ71" s="162">
        <v>2.0100199999999999</v>
      </c>
      <c r="AR71" s="162">
        <v>2.0160399999999998</v>
      </c>
      <c r="AS71" s="162">
        <v>2.0220599999999997</v>
      </c>
      <c r="AT71" s="162">
        <v>2.0280799999999997</v>
      </c>
      <c r="AU71" s="162">
        <v>2.0340999999999996</v>
      </c>
    </row>
    <row r="72" spans="1:47" ht="12.75" customHeight="1">
      <c r="A72" s="459">
        <v>41397</v>
      </c>
      <c r="B72" s="139">
        <v>18</v>
      </c>
      <c r="C72" s="162">
        <v>8.1749999999999989E-2</v>
      </c>
      <c r="D72" s="162">
        <v>8.1749999999999989E-2</v>
      </c>
      <c r="E72" s="162">
        <v>7.4799999999999991E-2</v>
      </c>
      <c r="F72" s="162">
        <v>0.08</v>
      </c>
      <c r="G72" s="162">
        <v>7.9199999999999993E-2</v>
      </c>
      <c r="H72" s="162">
        <v>7.7399999999999997E-2</v>
      </c>
      <c r="I72" s="162">
        <v>7.6899999999999996E-2</v>
      </c>
      <c r="J72" s="162">
        <v>7.3499999999999996E-2</v>
      </c>
      <c r="K72" s="162">
        <v>7.4399999999999994E-2</v>
      </c>
      <c r="L72" s="162">
        <v>7.3199999999999987E-2</v>
      </c>
      <c r="M72" s="162">
        <v>7.279999999999999E-2</v>
      </c>
      <c r="N72" s="162">
        <v>7.2599999999999998E-2</v>
      </c>
      <c r="O72" s="162">
        <v>7.6599999999999988E-2</v>
      </c>
      <c r="P72" s="162">
        <v>7.5799999999999992E-2</v>
      </c>
      <c r="Q72" s="162">
        <v>7.7699999999999991E-2</v>
      </c>
      <c r="R72" s="162">
        <v>8.0299999999999996E-2</v>
      </c>
      <c r="S72" s="162">
        <v>0.124</v>
      </c>
      <c r="T72" s="162">
        <v>0.19969999999999999</v>
      </c>
      <c r="U72" s="162">
        <v>0.32039999999999985</v>
      </c>
      <c r="V72" s="162">
        <v>0.47619999999999996</v>
      </c>
      <c r="W72" s="162">
        <v>0.6387799999999999</v>
      </c>
      <c r="X72" s="162">
        <v>0.79939999999999989</v>
      </c>
      <c r="Y72" s="162">
        <v>0.95369999999999999</v>
      </c>
      <c r="Z72" s="162">
        <v>1.0958599999999998</v>
      </c>
      <c r="AA72" s="162">
        <v>1.2268399999999999</v>
      </c>
      <c r="AB72" s="162">
        <v>1.3494999999999999</v>
      </c>
      <c r="AC72" s="162">
        <v>1.4587999999999999</v>
      </c>
      <c r="AD72" s="162">
        <v>1.5556999999999999</v>
      </c>
      <c r="AE72" s="162">
        <v>1.6345999999999998</v>
      </c>
      <c r="AF72" s="162">
        <v>1.7068999999999999</v>
      </c>
      <c r="AG72" s="162">
        <v>1.7639999999999998</v>
      </c>
      <c r="AH72" s="162">
        <v>1.8086</v>
      </c>
      <c r="AI72" s="162">
        <v>1.8448</v>
      </c>
      <c r="AJ72" s="162">
        <v>1.8732</v>
      </c>
      <c r="AK72" s="162">
        <v>1.8932</v>
      </c>
      <c r="AL72" s="162">
        <v>1.90818</v>
      </c>
      <c r="AM72" s="162">
        <v>1.92316</v>
      </c>
      <c r="AN72" s="162">
        <v>1.93814</v>
      </c>
      <c r="AO72" s="162">
        <v>1.95312</v>
      </c>
      <c r="AP72" s="162">
        <v>1.9681</v>
      </c>
      <c r="AQ72" s="162">
        <v>1.97512</v>
      </c>
      <c r="AR72" s="162">
        <v>1.9821399999999998</v>
      </c>
      <c r="AS72" s="162">
        <v>1.9891599999999998</v>
      </c>
      <c r="AT72" s="162">
        <v>1.9961799999999998</v>
      </c>
      <c r="AU72" s="162">
        <v>2.0031999999999996</v>
      </c>
    </row>
    <row r="73" spans="1:47" ht="12.75" customHeight="1">
      <c r="A73" s="459">
        <v>41404</v>
      </c>
      <c r="B73" s="139">
        <v>19</v>
      </c>
      <c r="C73" s="162">
        <v>8.8333329999999988E-2</v>
      </c>
      <c r="D73" s="162">
        <v>8.8333329999999988E-2</v>
      </c>
      <c r="E73" s="162">
        <v>7.8899999999999998E-2</v>
      </c>
      <c r="F73" s="162">
        <v>7.7799999999999994E-2</v>
      </c>
      <c r="G73" s="162">
        <v>7.6499999999999999E-2</v>
      </c>
      <c r="H73" s="162">
        <v>7.3959999999999998E-2</v>
      </c>
      <c r="I73" s="162">
        <v>7.2899999999999993E-2</v>
      </c>
      <c r="J73" s="162">
        <v>6.9599999999999995E-2</v>
      </c>
      <c r="K73" s="162">
        <v>6.5099999999999991E-2</v>
      </c>
      <c r="L73" s="162">
        <v>6.3799999999999996E-2</v>
      </c>
      <c r="M73" s="162">
        <v>6.1299999999999993E-2</v>
      </c>
      <c r="N73" s="162">
        <v>6.1899999999999997E-2</v>
      </c>
      <c r="O73" s="162">
        <v>6.2999999999999987E-2</v>
      </c>
      <c r="P73" s="162">
        <v>6.2799999999999995E-2</v>
      </c>
      <c r="Q73" s="162">
        <v>6.3799999999999996E-2</v>
      </c>
      <c r="R73" s="162">
        <v>6.3499999999999987E-2</v>
      </c>
      <c r="S73" s="162">
        <v>9.5999999999999988E-2</v>
      </c>
      <c r="T73" s="162">
        <v>0.16549999999999998</v>
      </c>
      <c r="U73" s="162">
        <v>0.28659999999999997</v>
      </c>
      <c r="V73" s="162">
        <v>0.43709999999999993</v>
      </c>
      <c r="W73" s="162">
        <v>0.60221999999999998</v>
      </c>
      <c r="X73" s="162">
        <v>0.76159999999999983</v>
      </c>
      <c r="Y73" s="162">
        <v>0.91539999999999999</v>
      </c>
      <c r="Z73" s="162">
        <v>1.05646</v>
      </c>
      <c r="AA73" s="162">
        <v>1.1864599999999998</v>
      </c>
      <c r="AB73" s="162">
        <v>1.3097999999999999</v>
      </c>
      <c r="AC73" s="162">
        <v>1.4169999999999998</v>
      </c>
      <c r="AD73" s="162">
        <v>1.5084</v>
      </c>
      <c r="AE73" s="162">
        <v>1.5891999999999999</v>
      </c>
      <c r="AF73" s="162">
        <v>1.6596</v>
      </c>
      <c r="AG73" s="162">
        <v>1.7152499999999999</v>
      </c>
      <c r="AH73" s="162">
        <v>1.7597499999999999</v>
      </c>
      <c r="AI73" s="162">
        <v>1.7945</v>
      </c>
      <c r="AJ73" s="162">
        <v>1.8227499999999999</v>
      </c>
      <c r="AK73" s="162">
        <v>1.8453999999999999</v>
      </c>
      <c r="AL73" s="162">
        <v>1.86056</v>
      </c>
      <c r="AM73" s="162">
        <v>1.8757199999999998</v>
      </c>
      <c r="AN73" s="162">
        <v>1.8908799999999999</v>
      </c>
      <c r="AO73" s="162">
        <v>1.90604</v>
      </c>
      <c r="AP73" s="162">
        <v>1.9211999999999998</v>
      </c>
      <c r="AQ73" s="162">
        <v>1.9283199999999998</v>
      </c>
      <c r="AR73" s="162">
        <v>1.9354399999999998</v>
      </c>
      <c r="AS73" s="162">
        <v>1.9425599999999998</v>
      </c>
      <c r="AT73" s="162">
        <v>1.9496799999999999</v>
      </c>
      <c r="AU73" s="162">
        <v>1.9567999999999999</v>
      </c>
    </row>
    <row r="74" spans="1:47" ht="12.75" customHeight="1">
      <c r="A74" s="459">
        <v>41411</v>
      </c>
      <c r="B74" s="139">
        <v>20</v>
      </c>
      <c r="C74" s="162">
        <v>7.8999999999999987E-2</v>
      </c>
      <c r="D74" s="162">
        <v>7.8999999999999987E-2</v>
      </c>
      <c r="E74" s="162">
        <v>7.7166669999999993E-2</v>
      </c>
      <c r="F74" s="162">
        <v>7.7499999999999999E-2</v>
      </c>
      <c r="G74" s="162">
        <v>7.7666669999999993E-2</v>
      </c>
      <c r="H74" s="162">
        <v>7.7333329999999992E-2</v>
      </c>
      <c r="I74" s="162">
        <v>7.4999999999999997E-2</v>
      </c>
      <c r="J74" s="162">
        <v>7.1999999999999995E-2</v>
      </c>
      <c r="K74" s="162">
        <v>6.7999999999999991E-2</v>
      </c>
      <c r="L74" s="162">
        <v>6.1833329999999992E-2</v>
      </c>
      <c r="M74" s="162">
        <v>6.0333329999999991E-2</v>
      </c>
      <c r="N74" s="162">
        <v>5.8999999999999997E-2</v>
      </c>
      <c r="O74" s="162">
        <v>5.3166669999999999E-2</v>
      </c>
      <c r="P74" s="162">
        <v>5.5999999999999994E-2</v>
      </c>
      <c r="Q74" s="162">
        <v>5.5E-2</v>
      </c>
      <c r="R74" s="162">
        <v>5.6333329999999987E-2</v>
      </c>
      <c r="S74" s="162">
        <v>0.1</v>
      </c>
      <c r="T74" s="162">
        <v>0.18949999999999992</v>
      </c>
      <c r="U74" s="162">
        <v>0.32250000000000001</v>
      </c>
      <c r="V74" s="162">
        <v>0.48733332999999984</v>
      </c>
      <c r="W74" s="162">
        <v>0.66166666999999979</v>
      </c>
      <c r="X74" s="162">
        <v>0.83366666999999994</v>
      </c>
      <c r="Y74" s="162">
        <v>0.99699999999999989</v>
      </c>
      <c r="Z74" s="162">
        <v>1.1486666699999999</v>
      </c>
      <c r="AA74" s="162">
        <v>1.2873666699999999</v>
      </c>
      <c r="AB74" s="162">
        <v>1.4129999999999998</v>
      </c>
      <c r="AC74" s="162">
        <v>1.52</v>
      </c>
      <c r="AD74" s="162">
        <v>1.6153333299999999</v>
      </c>
      <c r="AE74" s="162">
        <v>1.698</v>
      </c>
      <c r="AF74" s="162">
        <v>1.7776666699999999</v>
      </c>
      <c r="AG74" s="162">
        <v>1.8276666699999999</v>
      </c>
      <c r="AH74" s="162">
        <v>1.87366667</v>
      </c>
      <c r="AI74" s="162">
        <v>1.9116666699999998</v>
      </c>
      <c r="AJ74" s="162">
        <v>1.94133333</v>
      </c>
      <c r="AK74" s="162">
        <v>1.96666667</v>
      </c>
      <c r="AL74" s="162">
        <v>1.9827999999999999</v>
      </c>
      <c r="AM74" s="162">
        <v>1.9989333299999998</v>
      </c>
      <c r="AN74" s="162">
        <v>2.0150666699999999</v>
      </c>
      <c r="AO74" s="162">
        <v>2.0311999999999997</v>
      </c>
      <c r="AP74" s="162">
        <v>2.0473333299999998</v>
      </c>
      <c r="AQ74" s="162">
        <v>2.0541999999999998</v>
      </c>
      <c r="AR74" s="162">
        <v>2.0610666699999998</v>
      </c>
      <c r="AS74" s="162">
        <v>2.0679333299999998</v>
      </c>
      <c r="AT74" s="162">
        <v>2.0747999999999998</v>
      </c>
      <c r="AU74" s="162">
        <v>2.0816666699999997</v>
      </c>
    </row>
    <row r="75" spans="1:47" ht="12.75" customHeight="1">
      <c r="A75" s="459">
        <v>41418</v>
      </c>
      <c r="B75" s="139">
        <v>21</v>
      </c>
      <c r="C75" s="162">
        <v>8.1749999999999989E-2</v>
      </c>
      <c r="D75" s="162">
        <v>8.1749999999999989E-2</v>
      </c>
      <c r="E75" s="162">
        <v>0.08</v>
      </c>
      <c r="F75" s="162">
        <v>0.08</v>
      </c>
      <c r="G75" s="162">
        <v>7.7959999999999988E-2</v>
      </c>
      <c r="H75" s="162">
        <v>7.619999999999999E-2</v>
      </c>
      <c r="I75" s="162">
        <v>7.0799999999999988E-2</v>
      </c>
      <c r="J75" s="162">
        <v>6.6559999999999994E-2</v>
      </c>
      <c r="K75" s="162">
        <v>6.2599999999999989E-2</v>
      </c>
      <c r="L75" s="162">
        <v>5.8599999999999999E-2</v>
      </c>
      <c r="M75" s="162">
        <v>5.4299999999999987E-2</v>
      </c>
      <c r="N75" s="162">
        <v>5.1999999999999991E-2</v>
      </c>
      <c r="O75" s="162">
        <v>5.0199999999999995E-2</v>
      </c>
      <c r="P75" s="162">
        <v>5.1699999999999996E-2</v>
      </c>
      <c r="Q75" s="162">
        <v>4.9599999999999991E-2</v>
      </c>
      <c r="R75" s="162">
        <v>4.9499999999999988E-2</v>
      </c>
      <c r="S75" s="162">
        <v>9.5199999999999993E-2</v>
      </c>
      <c r="T75" s="162">
        <v>0.18429999999999996</v>
      </c>
      <c r="U75" s="162">
        <v>0.33019999999999988</v>
      </c>
      <c r="V75" s="162">
        <v>0.50399999999999978</v>
      </c>
      <c r="W75" s="162">
        <v>0.68619999999999992</v>
      </c>
      <c r="X75" s="162">
        <v>0.86679999999999979</v>
      </c>
      <c r="Y75" s="162">
        <v>1.0357999999999998</v>
      </c>
      <c r="Z75" s="162">
        <v>1.1918</v>
      </c>
      <c r="AA75" s="162">
        <v>1.3335999999999999</v>
      </c>
      <c r="AB75" s="162">
        <v>1.4598</v>
      </c>
      <c r="AC75" s="162">
        <v>1.5719999999999998</v>
      </c>
      <c r="AD75" s="162">
        <v>1.6647999999999998</v>
      </c>
      <c r="AE75" s="162">
        <v>1.7497999999999998</v>
      </c>
      <c r="AF75" s="162">
        <v>1.8211999999999999</v>
      </c>
      <c r="AG75" s="162">
        <v>1.8812</v>
      </c>
      <c r="AH75" s="162">
        <v>1.9283999999999999</v>
      </c>
      <c r="AI75" s="162">
        <v>1.9655999999999998</v>
      </c>
      <c r="AJ75" s="162">
        <v>1.996</v>
      </c>
      <c r="AK75" s="162">
        <v>2.0181999999999998</v>
      </c>
      <c r="AL75" s="162">
        <v>2.03416</v>
      </c>
      <c r="AM75" s="162">
        <v>2.0501199999999997</v>
      </c>
      <c r="AN75" s="162">
        <v>2.0660799999999999</v>
      </c>
      <c r="AO75" s="162">
        <v>2.0820399999999997</v>
      </c>
      <c r="AP75" s="162">
        <v>2.0979999999999999</v>
      </c>
      <c r="AQ75" s="162">
        <v>2.1053199999999999</v>
      </c>
      <c r="AR75" s="162">
        <v>2.1126399999999999</v>
      </c>
      <c r="AS75" s="162">
        <v>2.1199599999999998</v>
      </c>
      <c r="AT75" s="162">
        <v>2.1272799999999998</v>
      </c>
      <c r="AU75" s="162">
        <v>2.1345999999999998</v>
      </c>
    </row>
    <row r="76" spans="1:47" ht="12.75" customHeight="1">
      <c r="A76" s="459">
        <v>41425</v>
      </c>
      <c r="B76" s="139">
        <v>22</v>
      </c>
      <c r="C76" s="162">
        <v>7.6499999999999999E-2</v>
      </c>
      <c r="D76" s="162">
        <v>7.6499999999999999E-2</v>
      </c>
      <c r="E76" s="162">
        <v>7.8399999999999997E-2</v>
      </c>
      <c r="F76" s="162">
        <v>7.8499999999999986E-2</v>
      </c>
      <c r="G76" s="162">
        <v>7.7619999999999995E-2</v>
      </c>
      <c r="H76" s="162">
        <v>7.2699999999999987E-2</v>
      </c>
      <c r="I76" s="162">
        <v>6.7259999999999986E-2</v>
      </c>
      <c r="J76" s="162">
        <v>6.2559999999999991E-2</v>
      </c>
      <c r="K76" s="162">
        <v>5.9199999999999989E-2</v>
      </c>
      <c r="L76" s="162">
        <v>5.5E-2</v>
      </c>
      <c r="M76" s="162">
        <v>5.2599999999999994E-2</v>
      </c>
      <c r="N76" s="162">
        <v>5.0959999999999991E-2</v>
      </c>
      <c r="O76" s="162">
        <v>5.0099999999999992E-2</v>
      </c>
      <c r="P76" s="162">
        <v>4.9359999999999987E-2</v>
      </c>
      <c r="Q76" s="162">
        <v>4.9399999999999999E-2</v>
      </c>
      <c r="R76" s="162">
        <v>5.0099999999999992E-2</v>
      </c>
      <c r="S76" s="162">
        <v>0.10059999999999999</v>
      </c>
      <c r="T76" s="162">
        <v>0.20329999999999993</v>
      </c>
      <c r="U76" s="162">
        <v>0.36019999999999985</v>
      </c>
      <c r="V76" s="162">
        <v>0.54289999999999994</v>
      </c>
      <c r="W76" s="162">
        <v>0.72599999999999998</v>
      </c>
      <c r="X76" s="162">
        <v>0.90699999999999981</v>
      </c>
      <c r="Y76" s="162">
        <v>1.0763999999999998</v>
      </c>
      <c r="Z76" s="162">
        <v>1.2347999999999999</v>
      </c>
      <c r="AA76" s="162">
        <v>1.37686</v>
      </c>
      <c r="AB76" s="162">
        <v>1.5029999999999999</v>
      </c>
      <c r="AC76" s="162">
        <v>1.6159999999999999</v>
      </c>
      <c r="AD76" s="162">
        <v>1.7129999999999999</v>
      </c>
      <c r="AE76" s="162">
        <v>1.7989999999999999</v>
      </c>
      <c r="AF76" s="162">
        <v>1.8692</v>
      </c>
      <c r="AG76" s="162">
        <v>1.9355</v>
      </c>
      <c r="AH76" s="162">
        <v>1.9827499999999998</v>
      </c>
      <c r="AI76" s="162">
        <v>2.0209999999999999</v>
      </c>
      <c r="AJ76" s="162">
        <v>2.0517499999999997</v>
      </c>
      <c r="AK76" s="162">
        <v>2.0675999999999997</v>
      </c>
      <c r="AL76" s="162">
        <v>2.0831199999999996</v>
      </c>
      <c r="AM76" s="162">
        <v>2.0986399999999996</v>
      </c>
      <c r="AN76" s="162">
        <v>2.1141599999999996</v>
      </c>
      <c r="AO76" s="162">
        <v>2.1296799999999996</v>
      </c>
      <c r="AP76" s="162">
        <v>2.1452</v>
      </c>
      <c r="AQ76" s="162">
        <v>2.1521199999999996</v>
      </c>
      <c r="AR76" s="162">
        <v>2.1590399999999996</v>
      </c>
      <c r="AS76" s="162">
        <v>2.1659599999999997</v>
      </c>
      <c r="AT76" s="162">
        <v>2.1728799999999997</v>
      </c>
      <c r="AU76" s="162">
        <v>2.1797999999999997</v>
      </c>
    </row>
    <row r="77" spans="1:47" ht="12.75" customHeight="1">
      <c r="A77" s="459">
        <v>41432</v>
      </c>
      <c r="B77" s="139">
        <v>23</v>
      </c>
      <c r="C77" s="162">
        <v>7.8750000000000001E-2</v>
      </c>
      <c r="D77" s="162">
        <v>7.8750000000000001E-2</v>
      </c>
      <c r="E77" s="162">
        <v>8.1799999999999998E-2</v>
      </c>
      <c r="F77" s="162">
        <v>8.0819999999999989E-2</v>
      </c>
      <c r="G77" s="162">
        <v>7.6519999999999991E-2</v>
      </c>
      <c r="H77" s="162">
        <v>7.2259999999999991E-2</v>
      </c>
      <c r="I77" s="162">
        <v>6.7699999999999996E-2</v>
      </c>
      <c r="J77" s="162">
        <v>6.3999999999999987E-2</v>
      </c>
      <c r="K77" s="162">
        <v>6.1799999999999994E-2</v>
      </c>
      <c r="L77" s="162">
        <v>5.9699999999999989E-2</v>
      </c>
      <c r="M77" s="162">
        <v>6.0299999999999992E-2</v>
      </c>
      <c r="N77" s="162">
        <v>6.0999999999999999E-2</v>
      </c>
      <c r="O77" s="162">
        <v>5.8099999999999999E-2</v>
      </c>
      <c r="P77" s="162">
        <v>6.2099999999999989E-2</v>
      </c>
      <c r="Q77" s="162">
        <v>6.7199999999999996E-2</v>
      </c>
      <c r="R77" s="162">
        <v>7.1099999999999997E-2</v>
      </c>
      <c r="S77" s="162">
        <v>0.14779999999999996</v>
      </c>
      <c r="T77" s="162">
        <v>0.28029999999999999</v>
      </c>
      <c r="U77" s="162">
        <v>0.44199999999999995</v>
      </c>
      <c r="V77" s="162">
        <v>0.62379999999999991</v>
      </c>
      <c r="W77" s="162">
        <v>0.80619999999999981</v>
      </c>
      <c r="X77" s="162">
        <v>0.98</v>
      </c>
      <c r="Y77" s="162">
        <v>1.1435999999999999</v>
      </c>
      <c r="Z77" s="162">
        <v>1.2959999999999998</v>
      </c>
      <c r="AA77" s="162">
        <v>1.4337799999999998</v>
      </c>
      <c r="AB77" s="162">
        <v>1.5587</v>
      </c>
      <c r="AC77" s="162">
        <v>1.6651999999999998</v>
      </c>
      <c r="AD77" s="162">
        <v>1.7611999999999999</v>
      </c>
      <c r="AE77" s="162">
        <v>1.8448</v>
      </c>
      <c r="AF77" s="162">
        <v>1.9137999999999999</v>
      </c>
      <c r="AG77" s="162">
        <v>1.9823333299999999</v>
      </c>
      <c r="AH77" s="162">
        <v>2.0269999999999997</v>
      </c>
      <c r="AI77" s="162">
        <v>2.0626666699999996</v>
      </c>
      <c r="AJ77" s="162">
        <v>2.09033333</v>
      </c>
      <c r="AK77" s="162">
        <v>2.1015999999999999</v>
      </c>
      <c r="AL77" s="162">
        <v>2.1155199999999996</v>
      </c>
      <c r="AM77" s="162">
        <v>2.1294399999999998</v>
      </c>
      <c r="AN77" s="162">
        <v>2.1433599999999999</v>
      </c>
      <c r="AO77" s="162">
        <v>2.1572799999999996</v>
      </c>
      <c r="AP77" s="162">
        <v>2.1711999999999998</v>
      </c>
      <c r="AQ77" s="162">
        <v>2.1768799999999997</v>
      </c>
      <c r="AR77" s="162">
        <v>2.1825599999999996</v>
      </c>
      <c r="AS77" s="162">
        <v>2.18824</v>
      </c>
      <c r="AT77" s="162">
        <v>2.1939199999999999</v>
      </c>
      <c r="AU77" s="162">
        <v>2.1995999999999998</v>
      </c>
    </row>
    <row r="78" spans="1:47" ht="12.75" customHeight="1">
      <c r="A78" s="459">
        <v>41439</v>
      </c>
      <c r="B78" s="139">
        <v>24</v>
      </c>
      <c r="C78" s="162">
        <v>0.08</v>
      </c>
      <c r="D78" s="162">
        <v>0.08</v>
      </c>
      <c r="E78" s="162">
        <v>7.9699999999999993E-2</v>
      </c>
      <c r="F78" s="162">
        <v>7.9919999999999991E-2</v>
      </c>
      <c r="G78" s="162">
        <v>8.5459999999999994E-2</v>
      </c>
      <c r="H78" s="162">
        <v>7.8499999999999986E-2</v>
      </c>
      <c r="I78" s="162">
        <v>7.5499999999999998E-2</v>
      </c>
      <c r="J78" s="162">
        <v>7.3899999999999993E-2</v>
      </c>
      <c r="K78" s="162">
        <v>7.3399999999999993E-2</v>
      </c>
      <c r="L78" s="162">
        <v>7.5099999999999986E-2</v>
      </c>
      <c r="M78" s="162">
        <v>7.5599999999999987E-2</v>
      </c>
      <c r="N78" s="162">
        <v>7.8E-2</v>
      </c>
      <c r="O78" s="162">
        <v>8.1199999999999994E-2</v>
      </c>
      <c r="P78" s="162">
        <v>8.5799999999999987E-2</v>
      </c>
      <c r="Q78" s="162">
        <v>9.01E-2</v>
      </c>
      <c r="R78" s="162">
        <v>9.6799999999999997E-2</v>
      </c>
      <c r="S78" s="162">
        <v>0.18979999999999997</v>
      </c>
      <c r="T78" s="162">
        <v>0.32859999999999984</v>
      </c>
      <c r="U78" s="162">
        <v>0.49549999999999988</v>
      </c>
      <c r="V78" s="162">
        <v>0.68179999999999996</v>
      </c>
      <c r="W78" s="162">
        <v>0.86239999999999983</v>
      </c>
      <c r="X78" s="162">
        <v>1.0341999999999998</v>
      </c>
      <c r="Y78" s="162">
        <v>1.1944999999999999</v>
      </c>
      <c r="Z78" s="162">
        <v>1.3439999999999999</v>
      </c>
      <c r="AA78" s="162">
        <v>1.47088</v>
      </c>
      <c r="AB78" s="162">
        <v>1.6012</v>
      </c>
      <c r="AC78" s="162">
        <v>1.7078</v>
      </c>
      <c r="AD78" s="162">
        <v>1.8016999999999999</v>
      </c>
      <c r="AE78" s="162">
        <v>1.8825999999999998</v>
      </c>
      <c r="AF78" s="162">
        <v>1.9501999999999999</v>
      </c>
      <c r="AG78" s="162">
        <v>2.0047999999999999</v>
      </c>
      <c r="AH78" s="162">
        <v>2.0479999999999996</v>
      </c>
      <c r="AI78" s="162">
        <v>2.0825999999999998</v>
      </c>
      <c r="AJ78" s="162">
        <v>2.11</v>
      </c>
      <c r="AK78" s="162">
        <v>2.1311999999999998</v>
      </c>
      <c r="AL78" s="162">
        <v>2.1440799999999998</v>
      </c>
      <c r="AM78" s="162">
        <v>2.1569599999999998</v>
      </c>
      <c r="AN78" s="162">
        <v>2.1698399999999998</v>
      </c>
      <c r="AO78" s="162">
        <v>2.1827199999999998</v>
      </c>
      <c r="AP78" s="162">
        <v>2.1955999999999998</v>
      </c>
      <c r="AQ78" s="162">
        <v>2.2002599999999997</v>
      </c>
      <c r="AR78" s="162">
        <v>2.20492</v>
      </c>
      <c r="AS78" s="162">
        <v>2.2095799999999999</v>
      </c>
      <c r="AT78" s="162">
        <v>2.2142399999999998</v>
      </c>
      <c r="AU78" s="162">
        <v>2.2188999999999997</v>
      </c>
    </row>
    <row r="79" spans="1:47" ht="12.75" customHeight="1">
      <c r="A79" s="459">
        <v>41446</v>
      </c>
      <c r="B79" s="139">
        <v>25</v>
      </c>
      <c r="C79" s="162">
        <v>7.6999999999999999E-2</v>
      </c>
      <c r="D79" s="162">
        <v>7.6999999999999999E-2</v>
      </c>
      <c r="E79" s="162">
        <v>8.2919999999999994E-2</v>
      </c>
      <c r="F79" s="162">
        <v>8.4759999999999988E-2</v>
      </c>
      <c r="G79" s="162">
        <v>9.3379999999999991E-2</v>
      </c>
      <c r="H79" s="162">
        <v>8.9599999999999999E-2</v>
      </c>
      <c r="I79" s="162">
        <v>9.0499999999999997E-2</v>
      </c>
      <c r="J79" s="162">
        <v>9.3699999999999992E-2</v>
      </c>
      <c r="K79" s="162">
        <v>9.459999999999999E-2</v>
      </c>
      <c r="L79" s="162">
        <v>9.7799999999999998E-2</v>
      </c>
      <c r="M79" s="162">
        <v>0.1027</v>
      </c>
      <c r="N79" s="162">
        <v>0.1069</v>
      </c>
      <c r="O79" s="162">
        <v>0.11119999999999999</v>
      </c>
      <c r="P79" s="162">
        <v>0.11629999999999999</v>
      </c>
      <c r="Q79" s="162">
        <v>0.12259999999999999</v>
      </c>
      <c r="R79" s="162">
        <v>0.13049999999999998</v>
      </c>
      <c r="S79" s="162">
        <v>0.24339999999999992</v>
      </c>
      <c r="T79" s="162">
        <v>0.40245999999999987</v>
      </c>
      <c r="U79" s="162">
        <v>0.58799999999999986</v>
      </c>
      <c r="V79" s="162">
        <v>0.77899999999999991</v>
      </c>
      <c r="W79" s="162">
        <v>0.96</v>
      </c>
      <c r="X79" s="162">
        <v>1.1304999999999998</v>
      </c>
      <c r="Y79" s="162">
        <v>1.2866</v>
      </c>
      <c r="Z79" s="162">
        <v>1.4301999999999999</v>
      </c>
      <c r="AA79" s="162">
        <v>1.573</v>
      </c>
      <c r="AB79" s="162">
        <v>1.6779999999999999</v>
      </c>
      <c r="AC79" s="162">
        <v>1.7773999999999999</v>
      </c>
      <c r="AD79" s="162">
        <v>1.8681999999999999</v>
      </c>
      <c r="AE79" s="162">
        <v>1.9434999999999998</v>
      </c>
      <c r="AF79" s="162">
        <v>2.0053999999999998</v>
      </c>
      <c r="AG79" s="162">
        <v>2.0551999999999997</v>
      </c>
      <c r="AH79" s="162">
        <v>2.0957999999999997</v>
      </c>
      <c r="AI79" s="162">
        <v>2.1271999999999998</v>
      </c>
      <c r="AJ79" s="162">
        <v>2.1515999999999997</v>
      </c>
      <c r="AK79" s="162">
        <v>2.1717999999999997</v>
      </c>
      <c r="AL79" s="162">
        <v>2.1832399999999996</v>
      </c>
      <c r="AM79" s="162">
        <v>2.19468</v>
      </c>
      <c r="AN79" s="162">
        <v>2.2061199999999999</v>
      </c>
      <c r="AO79" s="162">
        <v>2.2175599999999998</v>
      </c>
      <c r="AP79" s="162">
        <v>2.2289999999999996</v>
      </c>
      <c r="AQ79" s="162">
        <v>2.2321999999999997</v>
      </c>
      <c r="AR79" s="162">
        <v>2.2353999999999998</v>
      </c>
      <c r="AS79" s="162">
        <v>2.2385999999999999</v>
      </c>
      <c r="AT79" s="162">
        <v>2.2417999999999996</v>
      </c>
      <c r="AU79" s="162">
        <v>2.2450000000000001</v>
      </c>
    </row>
    <row r="80" spans="1:47" ht="12.75" customHeight="1">
      <c r="A80" s="459">
        <v>41453</v>
      </c>
      <c r="B80" s="139">
        <v>26</v>
      </c>
      <c r="C80" s="162">
        <v>7.9249999999999987E-2</v>
      </c>
      <c r="D80" s="162">
        <v>7.9249999999999987E-2</v>
      </c>
      <c r="E80" s="162">
        <v>9.1999999999999998E-2</v>
      </c>
      <c r="F80" s="162">
        <v>8.8399999999999992E-2</v>
      </c>
      <c r="G80" s="162">
        <v>0.09</v>
      </c>
      <c r="H80" s="162">
        <v>9.1099999999999987E-2</v>
      </c>
      <c r="I80" s="162">
        <v>9.2599999999999988E-2</v>
      </c>
      <c r="J80" s="162">
        <v>9.64E-2</v>
      </c>
      <c r="K80" s="162">
        <v>9.9699999999999997E-2</v>
      </c>
      <c r="L80" s="162">
        <v>0.10529999999999999</v>
      </c>
      <c r="M80" s="162">
        <v>0.1103</v>
      </c>
      <c r="N80" s="162">
        <v>0.11589999999999999</v>
      </c>
      <c r="O80" s="162">
        <v>0.12329999999999999</v>
      </c>
      <c r="P80" s="162">
        <v>0.12919999999999998</v>
      </c>
      <c r="Q80" s="162">
        <v>0.13599999999999998</v>
      </c>
      <c r="R80" s="162">
        <v>0.14359999999999998</v>
      </c>
      <c r="S80" s="162">
        <v>0.26759999999999989</v>
      </c>
      <c r="T80" s="162">
        <v>0.43039999999999989</v>
      </c>
      <c r="U80" s="162">
        <v>0.61479999999999979</v>
      </c>
      <c r="V80" s="162">
        <v>0.81099999999999994</v>
      </c>
      <c r="W80" s="162">
        <v>0.99399999999999999</v>
      </c>
      <c r="X80" s="162">
        <v>1.1619999999999999</v>
      </c>
      <c r="Y80" s="162">
        <v>1.3171999999999999</v>
      </c>
      <c r="Z80" s="162">
        <v>1.4591999999999998</v>
      </c>
      <c r="AA80" s="162">
        <v>1.5864999999999998</v>
      </c>
      <c r="AB80" s="162">
        <v>1.7053999999999998</v>
      </c>
      <c r="AC80" s="162">
        <v>1.8056999999999999</v>
      </c>
      <c r="AD80" s="162">
        <v>1.8957999999999999</v>
      </c>
      <c r="AE80" s="162">
        <v>1.972</v>
      </c>
      <c r="AF80" s="162">
        <v>2.0343999999999998</v>
      </c>
      <c r="AG80" s="162">
        <v>2.0839999999999996</v>
      </c>
      <c r="AH80" s="162">
        <v>2.125</v>
      </c>
      <c r="AI80" s="162">
        <v>2.1561999999999997</v>
      </c>
      <c r="AJ80" s="162">
        <v>2.1809999999999996</v>
      </c>
      <c r="AK80" s="162">
        <v>2.202</v>
      </c>
      <c r="AL80" s="162">
        <v>2.2133599999999998</v>
      </c>
      <c r="AM80" s="162">
        <v>2.2247199999999996</v>
      </c>
      <c r="AN80" s="162">
        <v>2.2360799999999998</v>
      </c>
      <c r="AO80" s="162">
        <v>2.2474399999999997</v>
      </c>
      <c r="AP80" s="162">
        <v>2.2587999999999999</v>
      </c>
      <c r="AQ80" s="162">
        <v>2.2627199999999998</v>
      </c>
      <c r="AR80" s="162">
        <v>2.2666399999999998</v>
      </c>
      <c r="AS80" s="162">
        <v>2.2705599999999997</v>
      </c>
      <c r="AT80" s="162">
        <v>2.2744799999999996</v>
      </c>
      <c r="AU80" s="162">
        <v>2.2784</v>
      </c>
    </row>
    <row r="81" spans="1:47" ht="12.75" customHeight="1">
      <c r="A81" s="459">
        <v>41460</v>
      </c>
      <c r="B81" s="139">
        <v>27</v>
      </c>
      <c r="C81" s="162">
        <v>8.3249999999999991E-2</v>
      </c>
      <c r="D81" s="162">
        <v>8.3249999999999991E-2</v>
      </c>
      <c r="E81" s="162">
        <v>0.1079</v>
      </c>
      <c r="F81" s="162">
        <v>0.10629999999999999</v>
      </c>
      <c r="G81" s="162">
        <v>0.1</v>
      </c>
      <c r="H81" s="162">
        <v>0.1036</v>
      </c>
      <c r="I81" s="162">
        <v>0.11049999999999999</v>
      </c>
      <c r="J81" s="162">
        <v>0.1162</v>
      </c>
      <c r="K81" s="162">
        <v>0.12549999999999997</v>
      </c>
      <c r="L81" s="162">
        <v>0.13239999999999999</v>
      </c>
      <c r="M81" s="162">
        <v>0.14119999999999999</v>
      </c>
      <c r="N81" s="162">
        <v>0.14569999999999997</v>
      </c>
      <c r="O81" s="162">
        <v>0.15329999999999999</v>
      </c>
      <c r="P81" s="162">
        <v>0.16219999999999998</v>
      </c>
      <c r="Q81" s="162">
        <v>0.17239999999999997</v>
      </c>
      <c r="R81" s="162">
        <v>0.18269999999999995</v>
      </c>
      <c r="S81" s="162">
        <v>0.30879999999999996</v>
      </c>
      <c r="T81" s="162">
        <v>0.48209999999999997</v>
      </c>
      <c r="U81" s="162">
        <v>0.71329999999999982</v>
      </c>
      <c r="V81" s="162">
        <v>0.93919999999999981</v>
      </c>
      <c r="W81" s="162">
        <v>1.1374</v>
      </c>
      <c r="X81" s="162">
        <v>1.3135999999999999</v>
      </c>
      <c r="Y81" s="162">
        <v>1.4723999999999999</v>
      </c>
      <c r="Z81" s="162">
        <v>1.6143999999999998</v>
      </c>
      <c r="AA81" s="162">
        <v>1.7404599999999999</v>
      </c>
      <c r="AB81" s="162">
        <v>1.8547999999999998</v>
      </c>
      <c r="AC81" s="162">
        <v>1.9507999999999999</v>
      </c>
      <c r="AD81" s="162">
        <v>2.0316999999999998</v>
      </c>
      <c r="AE81" s="162">
        <v>2.0993999999999997</v>
      </c>
      <c r="AF81" s="162">
        <v>2.1537999999999999</v>
      </c>
      <c r="AG81" s="162">
        <v>2.1915999999999998</v>
      </c>
      <c r="AH81" s="162">
        <v>2.2245999999999997</v>
      </c>
      <c r="AI81" s="162">
        <v>2.2493999999999996</v>
      </c>
      <c r="AJ81" s="162">
        <v>2.2671999999999999</v>
      </c>
      <c r="AK81" s="162">
        <v>2.2848999999999999</v>
      </c>
      <c r="AL81" s="162">
        <v>2.2931199999999996</v>
      </c>
      <c r="AM81" s="162">
        <v>2.3013399999999997</v>
      </c>
      <c r="AN81" s="162">
        <v>2.3095599999999994</v>
      </c>
      <c r="AO81" s="162">
        <v>2.3177799999999995</v>
      </c>
      <c r="AP81" s="162">
        <v>2.3259999999999992</v>
      </c>
      <c r="AQ81" s="162">
        <v>2.3266399999999994</v>
      </c>
      <c r="AR81" s="162">
        <v>2.3272799999999996</v>
      </c>
      <c r="AS81" s="162">
        <v>2.3279199999999998</v>
      </c>
      <c r="AT81" s="162">
        <v>2.3285599999999995</v>
      </c>
      <c r="AU81" s="162">
        <v>2.3291999999999993</v>
      </c>
    </row>
    <row r="82" spans="1:47" ht="12.75" customHeight="1">
      <c r="A82" s="459">
        <v>41467</v>
      </c>
      <c r="B82" s="139">
        <v>28</v>
      </c>
      <c r="C82" s="162">
        <v>8.3999999999999991E-2</v>
      </c>
      <c r="D82" s="162">
        <v>8.3999999999999991E-2</v>
      </c>
      <c r="E82" s="162">
        <v>8.9799999999999991E-2</v>
      </c>
      <c r="F82" s="162">
        <v>9.0799999999999992E-2</v>
      </c>
      <c r="G82" s="162">
        <v>9.5899999999999999E-2</v>
      </c>
      <c r="H82" s="162">
        <v>0.10029999999999999</v>
      </c>
      <c r="I82" s="162">
        <v>0.10489999999999999</v>
      </c>
      <c r="J82" s="162">
        <v>0.1079</v>
      </c>
      <c r="K82" s="162">
        <v>0.1079</v>
      </c>
      <c r="L82" s="162">
        <v>0.1138</v>
      </c>
      <c r="M82" s="162">
        <v>0.1187</v>
      </c>
      <c r="N82" s="162">
        <v>0.1216</v>
      </c>
      <c r="O82" s="162">
        <v>0.1278</v>
      </c>
      <c r="P82" s="162">
        <v>0.13629999999999998</v>
      </c>
      <c r="Q82" s="162">
        <v>0.13649999999999998</v>
      </c>
      <c r="R82" s="162">
        <v>0.14969999999999997</v>
      </c>
      <c r="S82" s="162">
        <v>0.2475999999999999</v>
      </c>
      <c r="T82" s="162">
        <v>0.40305999999999997</v>
      </c>
      <c r="U82" s="162">
        <v>0.61079999999999979</v>
      </c>
      <c r="V82" s="162">
        <v>0.83079999999999998</v>
      </c>
      <c r="W82" s="162">
        <v>1.0333999999999999</v>
      </c>
      <c r="X82" s="162">
        <v>1.2181999999999999</v>
      </c>
      <c r="Y82" s="162">
        <v>1.3847999999999998</v>
      </c>
      <c r="Z82" s="162">
        <v>1.5366</v>
      </c>
      <c r="AA82" s="162">
        <v>1.6697599999999999</v>
      </c>
      <c r="AB82" s="162">
        <v>1.7875999999999999</v>
      </c>
      <c r="AC82" s="162">
        <v>1.8887999999999998</v>
      </c>
      <c r="AD82" s="162">
        <v>1.9747999999999999</v>
      </c>
      <c r="AE82" s="162">
        <v>2.0457999999999998</v>
      </c>
      <c r="AF82" s="162">
        <v>2.1031999999999997</v>
      </c>
      <c r="AG82" s="162">
        <v>2.1511999999999998</v>
      </c>
      <c r="AH82" s="162">
        <v>2.1859999999999999</v>
      </c>
      <c r="AI82" s="162">
        <v>2.2119999999999997</v>
      </c>
      <c r="AJ82" s="162">
        <v>2.2305999999999999</v>
      </c>
      <c r="AK82" s="162">
        <v>2.2441999999999998</v>
      </c>
      <c r="AL82" s="162">
        <v>2.2528799999999998</v>
      </c>
      <c r="AM82" s="162">
        <v>2.2615599999999998</v>
      </c>
      <c r="AN82" s="162">
        <v>2.2702399999999998</v>
      </c>
      <c r="AO82" s="162">
        <v>2.2789199999999998</v>
      </c>
      <c r="AP82" s="162">
        <v>2.2875999999999994</v>
      </c>
      <c r="AQ82" s="162">
        <v>2.29</v>
      </c>
      <c r="AR82" s="162">
        <v>2.2923999999999993</v>
      </c>
      <c r="AS82" s="162">
        <v>2.2947999999999995</v>
      </c>
      <c r="AT82" s="162">
        <v>2.2971999999999992</v>
      </c>
      <c r="AU82" s="162">
        <v>2.2995999999999994</v>
      </c>
    </row>
    <row r="83" spans="1:47" ht="12.75" customHeight="1">
      <c r="A83" s="459">
        <v>41474</v>
      </c>
      <c r="B83" s="139">
        <v>29</v>
      </c>
      <c r="C83" s="162">
        <v>8.6249999999999993E-2</v>
      </c>
      <c r="D83" s="162">
        <v>8.6249999999999993E-2</v>
      </c>
      <c r="E83" s="162">
        <v>9.0399999999999994E-2</v>
      </c>
      <c r="F83" s="162">
        <v>9.0399999999999994E-2</v>
      </c>
      <c r="G83" s="162">
        <v>9.35E-2</v>
      </c>
      <c r="H83" s="162">
        <v>9.7099999999999992E-2</v>
      </c>
      <c r="I83" s="162">
        <v>9.9599999999999994E-2</v>
      </c>
      <c r="J83" s="162">
        <v>0.10059999999999999</v>
      </c>
      <c r="K83" s="162">
        <v>0.1017</v>
      </c>
      <c r="L83" s="162">
        <v>0.10329999999999999</v>
      </c>
      <c r="M83" s="162">
        <v>0.10539999999999999</v>
      </c>
      <c r="N83" s="162">
        <v>0.1085</v>
      </c>
      <c r="O83" s="162">
        <v>0.11169999999999999</v>
      </c>
      <c r="P83" s="162">
        <v>0.1148</v>
      </c>
      <c r="Q83" s="162">
        <v>0.1187</v>
      </c>
      <c r="R83" s="162">
        <v>0.12429999999999999</v>
      </c>
      <c r="S83" s="162">
        <v>0.19779999999999998</v>
      </c>
      <c r="T83" s="162">
        <v>0.33689999999999998</v>
      </c>
      <c r="U83" s="162">
        <v>0.54779999999999984</v>
      </c>
      <c r="V83" s="162">
        <v>0.77429999999999999</v>
      </c>
      <c r="W83" s="162">
        <v>0.98399999999999999</v>
      </c>
      <c r="X83" s="162">
        <v>1.1707999999999998</v>
      </c>
      <c r="Y83" s="162">
        <v>1.3439999999999999</v>
      </c>
      <c r="Z83" s="162">
        <v>1.5026999999999999</v>
      </c>
      <c r="AA83" s="162">
        <v>1.6446599999999998</v>
      </c>
      <c r="AB83" s="162">
        <v>1.7687999999999999</v>
      </c>
      <c r="AC83" s="162">
        <v>1.8778999999999999</v>
      </c>
      <c r="AD83" s="162">
        <v>1.9693999999999998</v>
      </c>
      <c r="AE83" s="162">
        <v>2.0438999999999998</v>
      </c>
      <c r="AF83" s="162">
        <v>2.1058999999999997</v>
      </c>
      <c r="AG83" s="162">
        <v>2.1537999999999999</v>
      </c>
      <c r="AH83" s="162">
        <v>2.1911999999999998</v>
      </c>
      <c r="AI83" s="162">
        <v>2.2195999999999998</v>
      </c>
      <c r="AJ83" s="162">
        <v>2.2405999999999997</v>
      </c>
      <c r="AK83" s="162">
        <v>2.2571999999999997</v>
      </c>
      <c r="AL83" s="162">
        <v>2.2663199999999999</v>
      </c>
      <c r="AM83" s="162">
        <v>2.2754399999999997</v>
      </c>
      <c r="AN83" s="162">
        <v>2.2845599999999999</v>
      </c>
      <c r="AO83" s="162">
        <v>2.2936799999999997</v>
      </c>
      <c r="AP83" s="162">
        <v>2.3027999999999995</v>
      </c>
      <c r="AQ83" s="162">
        <v>2.3063599999999993</v>
      </c>
      <c r="AR83" s="162">
        <v>2.3099199999999995</v>
      </c>
      <c r="AS83" s="162">
        <v>2.3134799999999998</v>
      </c>
      <c r="AT83" s="162">
        <v>2.3170399999999995</v>
      </c>
      <c r="AU83" s="162">
        <v>2.3205999999999998</v>
      </c>
    </row>
    <row r="84" spans="1:47" ht="12.75" customHeight="1">
      <c r="A84" s="459">
        <v>41481</v>
      </c>
      <c r="B84" s="139">
        <v>30</v>
      </c>
      <c r="C84" s="162">
        <v>8.7499999999999994E-2</v>
      </c>
      <c r="D84" s="162">
        <v>8.7499999999999994E-2</v>
      </c>
      <c r="E84" s="162">
        <v>9.01E-2</v>
      </c>
      <c r="F84" s="162">
        <v>9.0199999999999989E-2</v>
      </c>
      <c r="G84" s="162">
        <v>9.6999999999999989E-2</v>
      </c>
      <c r="H84" s="162">
        <v>9.98E-2</v>
      </c>
      <c r="I84" s="162">
        <v>0.10189999999999999</v>
      </c>
      <c r="J84" s="162">
        <v>9.7299999999999998E-2</v>
      </c>
      <c r="K84" s="162">
        <v>0.1026</v>
      </c>
      <c r="L84" s="162">
        <v>0.10569999999999999</v>
      </c>
      <c r="M84" s="162">
        <v>0.10586</v>
      </c>
      <c r="N84" s="162">
        <v>0.1079</v>
      </c>
      <c r="O84" s="162">
        <v>0.11255999999999999</v>
      </c>
      <c r="P84" s="162">
        <v>0.1152</v>
      </c>
      <c r="Q84" s="162">
        <v>0.12169999999999999</v>
      </c>
      <c r="R84" s="162">
        <v>0.1275</v>
      </c>
      <c r="S84" s="162">
        <v>0.19399999999999998</v>
      </c>
      <c r="T84" s="162">
        <v>0.31729999999999992</v>
      </c>
      <c r="U84" s="162">
        <v>0.51029999999999998</v>
      </c>
      <c r="V84" s="162">
        <v>0.7218</v>
      </c>
      <c r="W84" s="162">
        <v>0.91899999999999982</v>
      </c>
      <c r="X84" s="162">
        <v>1.0993999999999999</v>
      </c>
      <c r="Y84" s="162">
        <v>1.2644</v>
      </c>
      <c r="Z84" s="162">
        <v>1.4155</v>
      </c>
      <c r="AA84" s="162">
        <v>1.5567</v>
      </c>
      <c r="AB84" s="162">
        <v>1.6750999999999998</v>
      </c>
      <c r="AC84" s="162">
        <v>1.7815999999999999</v>
      </c>
      <c r="AD84" s="162">
        <v>1.8735999999999999</v>
      </c>
      <c r="AE84" s="162">
        <v>1.9509999999999998</v>
      </c>
      <c r="AF84" s="162">
        <v>2.0141999999999998</v>
      </c>
      <c r="AG84" s="162">
        <v>2.0655999999999999</v>
      </c>
      <c r="AH84" s="162">
        <v>2.1041999999999996</v>
      </c>
      <c r="AI84" s="162">
        <v>2.1332</v>
      </c>
      <c r="AJ84" s="162">
        <v>2.1551999999999998</v>
      </c>
      <c r="AK84" s="162">
        <v>2.1713999999999998</v>
      </c>
      <c r="AL84" s="162">
        <v>2.1805199999999996</v>
      </c>
      <c r="AM84" s="162">
        <v>2.1896399999999998</v>
      </c>
      <c r="AN84" s="162">
        <v>2.1987599999999996</v>
      </c>
      <c r="AO84" s="162">
        <v>2.2078799999999998</v>
      </c>
      <c r="AP84" s="162">
        <v>2.2169999999999996</v>
      </c>
      <c r="AQ84" s="162">
        <v>2.2203199999999996</v>
      </c>
      <c r="AR84" s="162">
        <v>2.2236399999999996</v>
      </c>
      <c r="AS84" s="162">
        <v>2.2269599999999996</v>
      </c>
      <c r="AT84" s="162">
        <v>2.2302799999999996</v>
      </c>
      <c r="AU84" s="162">
        <v>2.2335999999999996</v>
      </c>
    </row>
    <row r="85" spans="1:47" ht="12.75" customHeight="1">
      <c r="A85" s="459">
        <v>41488</v>
      </c>
      <c r="B85" s="139">
        <v>31</v>
      </c>
      <c r="C85" s="162">
        <v>0.10199999999999999</v>
      </c>
      <c r="D85" s="162">
        <v>0.10199999999999999</v>
      </c>
      <c r="E85" s="162">
        <v>0.1045</v>
      </c>
      <c r="F85" s="162">
        <v>0.10325999999999999</v>
      </c>
      <c r="G85" s="162">
        <v>0.1036</v>
      </c>
      <c r="H85" s="162">
        <v>0.10879999999999999</v>
      </c>
      <c r="I85" s="162">
        <v>0.1114</v>
      </c>
      <c r="J85" s="162">
        <v>0.1142</v>
      </c>
      <c r="K85" s="162">
        <v>0.11639999999999999</v>
      </c>
      <c r="L85" s="162">
        <v>0.1206</v>
      </c>
      <c r="M85" s="162">
        <v>0.1235</v>
      </c>
      <c r="N85" s="162">
        <v>0.12689999999999999</v>
      </c>
      <c r="O85" s="162">
        <v>0.13615999999999998</v>
      </c>
      <c r="P85" s="162">
        <v>0.14159999999999998</v>
      </c>
      <c r="Q85" s="162">
        <v>0.14869999999999997</v>
      </c>
      <c r="R85" s="162">
        <v>0.15549999999999997</v>
      </c>
      <c r="S85" s="162">
        <v>0.24879999999999994</v>
      </c>
      <c r="T85" s="162">
        <v>0.38811999999999985</v>
      </c>
      <c r="U85" s="162">
        <v>0.59299999999999997</v>
      </c>
      <c r="V85" s="162">
        <v>0.80679999999999996</v>
      </c>
      <c r="W85" s="162">
        <v>1.0045999999999999</v>
      </c>
      <c r="X85" s="162">
        <v>1.1833999999999998</v>
      </c>
      <c r="Y85" s="162">
        <v>1.3461999999999998</v>
      </c>
      <c r="Z85" s="162">
        <v>1.4955999999999998</v>
      </c>
      <c r="AA85" s="162">
        <v>1.6332</v>
      </c>
      <c r="AB85" s="162">
        <v>1.7507999999999999</v>
      </c>
      <c r="AC85" s="162">
        <v>1.8559999999999999</v>
      </c>
      <c r="AD85" s="162">
        <v>1.9438</v>
      </c>
      <c r="AE85" s="162">
        <v>2.0191999999999997</v>
      </c>
      <c r="AF85" s="162">
        <v>2.0802999999999998</v>
      </c>
      <c r="AG85" s="162">
        <v>2.1287999999999996</v>
      </c>
      <c r="AH85" s="162">
        <v>2.1659999999999999</v>
      </c>
      <c r="AI85" s="162">
        <v>2.1929999999999996</v>
      </c>
      <c r="AJ85" s="162">
        <v>2.2119999999999997</v>
      </c>
      <c r="AK85" s="162">
        <v>2.2281999999999997</v>
      </c>
      <c r="AL85" s="162">
        <v>2.2359999999999998</v>
      </c>
      <c r="AM85" s="162">
        <v>2.2437999999999998</v>
      </c>
      <c r="AN85" s="162">
        <v>2.2515999999999998</v>
      </c>
      <c r="AO85" s="162">
        <v>2.2593999999999999</v>
      </c>
      <c r="AP85" s="162">
        <v>2.2671999999999999</v>
      </c>
      <c r="AQ85" s="162">
        <v>2.2693999999999996</v>
      </c>
      <c r="AR85" s="162">
        <v>2.2715999999999998</v>
      </c>
      <c r="AS85" s="162">
        <v>2.2737999999999996</v>
      </c>
      <c r="AT85" s="162">
        <v>2.2759999999999998</v>
      </c>
      <c r="AU85" s="162">
        <v>2.2781999999999996</v>
      </c>
    </row>
    <row r="86" spans="1:47" ht="12.75" customHeight="1">
      <c r="A86" s="459">
        <v>41495</v>
      </c>
      <c r="B86" s="139">
        <v>32</v>
      </c>
      <c r="C86" s="162">
        <v>0.10675</v>
      </c>
      <c r="D86" s="162">
        <v>0.10675</v>
      </c>
      <c r="E86" s="162">
        <v>9.7599999999999992E-2</v>
      </c>
      <c r="F86" s="162">
        <v>9.7599999999999992E-2</v>
      </c>
      <c r="G86" s="162">
        <v>0.10079999999999999</v>
      </c>
      <c r="H86" s="162">
        <v>0.10479999999999999</v>
      </c>
      <c r="I86" s="162">
        <v>0.1061</v>
      </c>
      <c r="J86" s="162">
        <v>0.10619999999999999</v>
      </c>
      <c r="K86" s="162">
        <v>0.1099</v>
      </c>
      <c r="L86" s="162">
        <v>0.1114</v>
      </c>
      <c r="M86" s="162">
        <v>0.11566</v>
      </c>
      <c r="N86" s="162">
        <v>0.1229</v>
      </c>
      <c r="O86" s="162">
        <v>0.12839999999999999</v>
      </c>
      <c r="P86" s="162">
        <v>0.13569999999999999</v>
      </c>
      <c r="Q86" s="162">
        <v>0.1424</v>
      </c>
      <c r="R86" s="162">
        <v>0.15325999999999998</v>
      </c>
      <c r="S86" s="162">
        <v>0.25739999999999991</v>
      </c>
      <c r="T86" s="162">
        <v>0.4194</v>
      </c>
      <c r="U86" s="162">
        <v>0.6359999999999999</v>
      </c>
      <c r="V86" s="162">
        <v>0.86079999999999979</v>
      </c>
      <c r="W86" s="162">
        <v>1.0625</v>
      </c>
      <c r="X86" s="162">
        <v>1.2429999999999999</v>
      </c>
      <c r="Y86" s="162">
        <v>1.4057999999999999</v>
      </c>
      <c r="Z86" s="162">
        <v>1.5566</v>
      </c>
      <c r="AA86" s="162">
        <v>1.6947599999999998</v>
      </c>
      <c r="AB86" s="162">
        <v>1.8111999999999999</v>
      </c>
      <c r="AC86" s="162">
        <v>1.9139999999999999</v>
      </c>
      <c r="AD86" s="162">
        <v>2.0039999999999996</v>
      </c>
      <c r="AE86" s="162">
        <v>2.0771999999999999</v>
      </c>
      <c r="AF86" s="162">
        <v>2.1363999999999996</v>
      </c>
      <c r="AG86" s="162">
        <v>2.1837999999999997</v>
      </c>
      <c r="AH86" s="162">
        <v>2.2195999999999998</v>
      </c>
      <c r="AI86" s="162">
        <v>2.2462</v>
      </c>
      <c r="AJ86" s="162">
        <v>2.2653999999999996</v>
      </c>
      <c r="AK86" s="162">
        <v>2.2803999999999998</v>
      </c>
      <c r="AL86" s="162">
        <v>2.2878399999999997</v>
      </c>
      <c r="AM86" s="162">
        <v>2.2952799999999995</v>
      </c>
      <c r="AN86" s="162">
        <v>2.3027199999999994</v>
      </c>
      <c r="AO86" s="162">
        <v>2.3101599999999998</v>
      </c>
      <c r="AP86" s="162">
        <v>2.3175999999999997</v>
      </c>
      <c r="AQ86" s="162">
        <v>2.3191599999999992</v>
      </c>
      <c r="AR86" s="162">
        <v>2.3207199999999992</v>
      </c>
      <c r="AS86" s="162">
        <v>2.3222799999999997</v>
      </c>
      <c r="AT86" s="162">
        <v>2.3238399999999992</v>
      </c>
      <c r="AU86" s="162">
        <v>2.3253999999999997</v>
      </c>
    </row>
    <row r="87" spans="1:47" ht="12.75" customHeight="1">
      <c r="A87" s="459">
        <v>41502</v>
      </c>
      <c r="B87" s="139">
        <v>33</v>
      </c>
      <c r="C87" s="162">
        <v>8.5999999999999993E-2</v>
      </c>
      <c r="D87" s="162">
        <v>8.5999999999999993E-2</v>
      </c>
      <c r="E87" s="162">
        <v>9.3859999999999999E-2</v>
      </c>
      <c r="F87" s="162">
        <v>9.3859999999999999E-2</v>
      </c>
      <c r="G87" s="162">
        <v>9.8559999999999995E-2</v>
      </c>
      <c r="H87" s="162">
        <v>0.10315999999999999</v>
      </c>
      <c r="I87" s="162">
        <v>0.10221999999999999</v>
      </c>
      <c r="J87" s="162">
        <v>0.105</v>
      </c>
      <c r="K87" s="162">
        <v>0.11205999999999999</v>
      </c>
      <c r="L87" s="162">
        <v>0.11349999999999999</v>
      </c>
      <c r="M87" s="162">
        <v>0.1167</v>
      </c>
      <c r="N87" s="162">
        <v>0.12296</v>
      </c>
      <c r="O87" s="162">
        <v>0.12909999999999999</v>
      </c>
      <c r="P87" s="162">
        <v>0.13959999999999997</v>
      </c>
      <c r="Q87" s="162">
        <v>0.14499999999999999</v>
      </c>
      <c r="R87" s="162">
        <v>0.15459999999999996</v>
      </c>
      <c r="S87" s="162">
        <v>0.25979999999999986</v>
      </c>
      <c r="T87" s="162">
        <v>0.42485999999999985</v>
      </c>
      <c r="U87" s="162">
        <v>0.64639999999999986</v>
      </c>
      <c r="V87" s="162">
        <v>0.8707999999999998</v>
      </c>
      <c r="W87" s="162">
        <v>1.0735999999999999</v>
      </c>
      <c r="X87" s="162">
        <v>1.2537999999999998</v>
      </c>
      <c r="Y87" s="162">
        <v>1.4176</v>
      </c>
      <c r="Z87" s="162">
        <v>1.5669999999999999</v>
      </c>
      <c r="AA87" s="162">
        <v>1.70366</v>
      </c>
      <c r="AB87" s="162">
        <v>1.8191999999999999</v>
      </c>
      <c r="AC87" s="162">
        <v>1.9231999999999998</v>
      </c>
      <c r="AD87" s="162">
        <v>2.0152999999999999</v>
      </c>
      <c r="AE87" s="162">
        <v>2.0888</v>
      </c>
      <c r="AF87" s="162">
        <v>2.1467999999999998</v>
      </c>
      <c r="AG87" s="162">
        <v>2.1938</v>
      </c>
      <c r="AH87" s="162">
        <v>2.2289999999999996</v>
      </c>
      <c r="AI87" s="162">
        <v>2.2545999999999999</v>
      </c>
      <c r="AJ87" s="162">
        <v>2.2733999999999996</v>
      </c>
      <c r="AK87" s="162">
        <v>2.2883999999999998</v>
      </c>
      <c r="AL87" s="162">
        <v>2.2952799999999995</v>
      </c>
      <c r="AM87" s="162">
        <v>2.3021599999999993</v>
      </c>
      <c r="AN87" s="162">
        <v>2.3090399999999995</v>
      </c>
      <c r="AO87" s="162">
        <v>2.3159199999999998</v>
      </c>
      <c r="AP87" s="162">
        <v>2.3227999999999995</v>
      </c>
      <c r="AQ87" s="162">
        <v>2.3243999999999994</v>
      </c>
      <c r="AR87" s="162">
        <v>2.3259999999999992</v>
      </c>
      <c r="AS87" s="162">
        <v>2.3275999999999994</v>
      </c>
      <c r="AT87" s="162">
        <v>2.3291999999999993</v>
      </c>
      <c r="AU87" s="162">
        <v>2.3308</v>
      </c>
    </row>
    <row r="88" spans="1:47" ht="12.75" customHeight="1">
      <c r="A88" s="459">
        <v>41509</v>
      </c>
      <c r="B88" s="139">
        <v>34</v>
      </c>
      <c r="C88" s="162">
        <v>7.8249999999999986E-2</v>
      </c>
      <c r="D88" s="162">
        <v>7.8249999999999986E-2</v>
      </c>
      <c r="E88" s="162">
        <v>8.3599999999999994E-2</v>
      </c>
      <c r="F88" s="162">
        <v>8.5000000000000006E-2</v>
      </c>
      <c r="G88" s="162">
        <v>9.2959999999999987E-2</v>
      </c>
      <c r="H88" s="162">
        <v>9.8159999999999997E-2</v>
      </c>
      <c r="I88" s="162">
        <v>0.10059999999999999</v>
      </c>
      <c r="J88" s="162">
        <v>0.10379999999999999</v>
      </c>
      <c r="K88" s="162">
        <v>0.11069999999999999</v>
      </c>
      <c r="L88" s="162">
        <v>0.11241999999999999</v>
      </c>
      <c r="M88" s="162">
        <v>0.12259999999999999</v>
      </c>
      <c r="N88" s="162">
        <v>0.1303</v>
      </c>
      <c r="O88" s="162">
        <v>0.14119999999999999</v>
      </c>
      <c r="P88" s="162">
        <v>0.15079999999999996</v>
      </c>
      <c r="Q88" s="162">
        <v>0.16199999999999998</v>
      </c>
      <c r="R88" s="162">
        <v>0.17079999999999995</v>
      </c>
      <c r="S88" s="162">
        <v>0.2997999999999999</v>
      </c>
      <c r="T88" s="162">
        <v>0.47635999999999989</v>
      </c>
      <c r="U88" s="162">
        <v>0.71759999999999979</v>
      </c>
      <c r="V88" s="162">
        <v>0.95639999999999992</v>
      </c>
      <c r="W88" s="162">
        <v>1.1679999999999999</v>
      </c>
      <c r="X88" s="162">
        <v>1.3563999999999998</v>
      </c>
      <c r="Y88" s="162">
        <v>1.5230999999999999</v>
      </c>
      <c r="Z88" s="162">
        <v>1.6761999999999999</v>
      </c>
      <c r="AA88" s="162">
        <v>1.8121999999999998</v>
      </c>
      <c r="AB88" s="162">
        <v>1.9309999999999998</v>
      </c>
      <c r="AC88" s="162">
        <v>2.0343999999999998</v>
      </c>
      <c r="AD88" s="162">
        <v>2.1235999999999997</v>
      </c>
      <c r="AE88" s="162">
        <v>2.1967999999999996</v>
      </c>
      <c r="AF88" s="162">
        <v>2.2565</v>
      </c>
      <c r="AG88" s="162">
        <v>2.3035999999999994</v>
      </c>
      <c r="AH88" s="162">
        <v>2.3385999999999996</v>
      </c>
      <c r="AI88" s="162">
        <v>2.3641999999999994</v>
      </c>
      <c r="AJ88" s="162">
        <v>2.3823999999999992</v>
      </c>
      <c r="AK88" s="162">
        <v>2.3989999999999991</v>
      </c>
      <c r="AL88" s="162">
        <v>2.4050799999999994</v>
      </c>
      <c r="AM88" s="162">
        <v>2.4050799999999994</v>
      </c>
      <c r="AN88" s="162">
        <v>2.4141999999999992</v>
      </c>
      <c r="AO88" s="162">
        <v>2.4233199999999995</v>
      </c>
      <c r="AP88" s="162">
        <v>2.4293999999999993</v>
      </c>
      <c r="AQ88" s="162">
        <v>2.4344999999999999</v>
      </c>
      <c r="AR88" s="162">
        <v>2.4293969399999993</v>
      </c>
      <c r="AS88" s="162">
        <v>2.4294003699999998</v>
      </c>
      <c r="AT88" s="162">
        <v>2.4294004899999995</v>
      </c>
      <c r="AU88" s="162">
        <v>2.4344999999999999</v>
      </c>
    </row>
    <row r="89" spans="1:47" ht="12.75" customHeight="1">
      <c r="A89" s="459">
        <v>41516</v>
      </c>
      <c r="B89" s="139">
        <v>35</v>
      </c>
      <c r="C89" s="162">
        <v>7.85E-2</v>
      </c>
      <c r="D89" s="162">
        <v>7.85E-2</v>
      </c>
      <c r="E89" s="162">
        <v>9.0799999999999992E-2</v>
      </c>
      <c r="F89" s="162">
        <v>9.3159999999999993E-2</v>
      </c>
      <c r="G89" s="162">
        <v>9.3799999999999994E-2</v>
      </c>
      <c r="H89" s="162">
        <v>9.8000000000000004E-2</v>
      </c>
      <c r="I89" s="162">
        <v>9.9599999999999994E-2</v>
      </c>
      <c r="J89" s="162">
        <v>0.10349999999999999</v>
      </c>
      <c r="K89" s="162">
        <v>0.11100000000000002</v>
      </c>
      <c r="L89" s="162">
        <v>0.11886000000000001</v>
      </c>
      <c r="M89" s="162">
        <v>0.12659999999999999</v>
      </c>
      <c r="N89" s="162">
        <v>0.13610000000000003</v>
      </c>
      <c r="O89" s="162">
        <v>0.1467</v>
      </c>
      <c r="P89" s="162">
        <v>0.15840000000000001</v>
      </c>
      <c r="Q89" s="162">
        <v>0.16789999999999999</v>
      </c>
      <c r="R89" s="162">
        <v>0.17920000000000003</v>
      </c>
      <c r="S89" s="162">
        <v>0.32500000000000001</v>
      </c>
      <c r="T89" s="162">
        <v>0.52705999999999997</v>
      </c>
      <c r="U89" s="162">
        <v>0.7762</v>
      </c>
      <c r="V89" s="162">
        <v>1.022</v>
      </c>
      <c r="W89" s="162">
        <v>1.2371999999999999</v>
      </c>
      <c r="X89" s="162">
        <v>1.4257000000000002</v>
      </c>
      <c r="Y89" s="162">
        <v>1.5928</v>
      </c>
      <c r="Z89" s="162">
        <v>1.7445999999999997</v>
      </c>
      <c r="AA89" s="162">
        <v>1.8815000000000002</v>
      </c>
      <c r="AB89" s="162">
        <v>2.0036999999999998</v>
      </c>
      <c r="AC89" s="162">
        <v>2.1078000000000001</v>
      </c>
      <c r="AD89" s="162">
        <v>2.2000000000000002</v>
      </c>
      <c r="AE89" s="162">
        <v>2.2749999999999999</v>
      </c>
      <c r="AF89" s="162">
        <v>2.3353999999999999</v>
      </c>
      <c r="AG89" s="162">
        <v>2.3822000000000001</v>
      </c>
      <c r="AH89" s="162">
        <v>2.4180000000000001</v>
      </c>
      <c r="AI89" s="162">
        <v>2.4441999999999999</v>
      </c>
      <c r="AJ89" s="162">
        <v>2.4630000000000001</v>
      </c>
      <c r="AK89" s="162">
        <v>2.4782000000000002</v>
      </c>
      <c r="AL89" s="162">
        <v>2.4847600000000001</v>
      </c>
      <c r="AM89" s="162">
        <v>2.4847600000000001</v>
      </c>
      <c r="AN89" s="162">
        <v>2.3477183200000002</v>
      </c>
      <c r="AO89" s="162">
        <v>2.5044400000000002</v>
      </c>
      <c r="AP89" s="162">
        <v>2.5110000000000001</v>
      </c>
      <c r="AQ89" s="162">
        <v>2.5156000000000001</v>
      </c>
      <c r="AR89" s="162">
        <v>2.5109972416192501</v>
      </c>
      <c r="AS89" s="162">
        <v>2.5110003327225385</v>
      </c>
      <c r="AT89" s="162">
        <v>2.5110004436300515</v>
      </c>
      <c r="AU89" s="162">
        <v>2.5156000000000001</v>
      </c>
    </row>
    <row r="90" spans="1:47" ht="12.75" customHeight="1">
      <c r="A90" s="459">
        <v>41523</v>
      </c>
      <c r="B90" s="139">
        <v>36</v>
      </c>
      <c r="C90" s="162">
        <v>7.8E-2</v>
      </c>
      <c r="D90" s="162">
        <v>7.8E-2</v>
      </c>
      <c r="E90" s="162">
        <v>9.5399999999999999E-2</v>
      </c>
      <c r="F90" s="162">
        <v>9.572E-2</v>
      </c>
      <c r="G90" s="162">
        <v>9.282E-2</v>
      </c>
      <c r="H90" s="162">
        <v>9.8259999999999986E-2</v>
      </c>
      <c r="I90" s="162">
        <v>9.8659999999999998E-2</v>
      </c>
      <c r="J90" s="162">
        <v>0.10579999999999999</v>
      </c>
      <c r="K90" s="162">
        <v>0.11299999999999999</v>
      </c>
      <c r="L90" s="162">
        <v>0.1171</v>
      </c>
      <c r="M90" s="162">
        <v>0.12699999999999997</v>
      </c>
      <c r="N90" s="162">
        <v>0.13675999999999999</v>
      </c>
      <c r="O90" s="162">
        <v>0.14675999999999995</v>
      </c>
      <c r="P90" s="162">
        <v>0.15439999999999995</v>
      </c>
      <c r="Q90" s="162">
        <v>0.16509999999999997</v>
      </c>
      <c r="R90" s="162">
        <v>0.17399999999999996</v>
      </c>
      <c r="S90" s="162">
        <v>0.31679999999999997</v>
      </c>
      <c r="T90" s="162">
        <v>0.52675999999999989</v>
      </c>
      <c r="U90" s="162">
        <v>0.77500000000000002</v>
      </c>
      <c r="V90" s="162">
        <v>1.0113999999999999</v>
      </c>
      <c r="W90" s="162">
        <v>1.2235999999999998</v>
      </c>
      <c r="X90" s="162">
        <v>1.4067999999999998</v>
      </c>
      <c r="Y90" s="162">
        <v>1.5717999999999999</v>
      </c>
      <c r="Z90" s="162">
        <v>1.7191999999999998</v>
      </c>
      <c r="AA90" s="162">
        <v>1.8529</v>
      </c>
      <c r="AB90" s="162">
        <v>1.9738</v>
      </c>
      <c r="AC90" s="162">
        <v>2.0747999999999998</v>
      </c>
      <c r="AD90" s="162">
        <v>2.1645999999999996</v>
      </c>
      <c r="AE90" s="162">
        <v>2.2389999999999999</v>
      </c>
      <c r="AF90" s="162">
        <v>2.3003999999999998</v>
      </c>
      <c r="AG90" s="162">
        <v>2.3503999999999992</v>
      </c>
      <c r="AH90" s="162">
        <v>2.3872</v>
      </c>
      <c r="AI90" s="162">
        <v>2.4143999999999992</v>
      </c>
      <c r="AJ90" s="162">
        <v>2.4341999999999993</v>
      </c>
      <c r="AK90" s="162">
        <v>2.4491999999999994</v>
      </c>
      <c r="AL90" s="162">
        <v>2.4558</v>
      </c>
      <c r="AM90" s="162">
        <v>2.4558</v>
      </c>
      <c r="AN90" s="162">
        <v>2.3179226999999991</v>
      </c>
      <c r="AO90" s="162">
        <v>2.4755999999999991</v>
      </c>
      <c r="AP90" s="162">
        <v>2.4821999999999997</v>
      </c>
      <c r="AQ90" s="162">
        <v>2.4907999999999992</v>
      </c>
      <c r="AR90" s="162">
        <v>2.4821948399999996</v>
      </c>
      <c r="AS90" s="162">
        <v>2.4822006199999995</v>
      </c>
      <c r="AT90" s="162">
        <v>2.4822008299999991</v>
      </c>
      <c r="AU90" s="162">
        <v>2.4907999999999992</v>
      </c>
    </row>
    <row r="91" spans="1:47" ht="12.75" customHeight="1">
      <c r="A91" s="459">
        <v>41530</v>
      </c>
      <c r="B91" s="139">
        <v>37</v>
      </c>
      <c r="C91" s="162">
        <v>7.5249999999999997E-2</v>
      </c>
      <c r="D91" s="162">
        <v>7.5249999999999997E-2</v>
      </c>
      <c r="E91" s="162">
        <v>8.3999999999999991E-2</v>
      </c>
      <c r="F91" s="162">
        <v>8.3959999999999993E-2</v>
      </c>
      <c r="G91" s="162">
        <v>9.0899999999999995E-2</v>
      </c>
      <c r="H91" s="162">
        <v>9.5159999999999995E-2</v>
      </c>
      <c r="I91" s="162">
        <v>9.7259999999999999E-2</v>
      </c>
      <c r="J91" s="162">
        <v>0.10489999999999999</v>
      </c>
      <c r="K91" s="162">
        <v>0.1109</v>
      </c>
      <c r="L91" s="162">
        <v>0.11649999999999999</v>
      </c>
      <c r="M91" s="162">
        <v>0.12519999999999998</v>
      </c>
      <c r="N91" s="162">
        <v>0.13381999999999999</v>
      </c>
      <c r="O91" s="162">
        <v>0.14349999999999996</v>
      </c>
      <c r="P91" s="162">
        <v>0.155</v>
      </c>
      <c r="Q91" s="162">
        <v>0.16719999999999993</v>
      </c>
      <c r="R91" s="162">
        <v>0.17899999999999994</v>
      </c>
      <c r="S91" s="162">
        <v>0.34699999999999998</v>
      </c>
      <c r="T91" s="162">
        <v>0.57965999999999984</v>
      </c>
      <c r="U91" s="162">
        <v>0.8465999999999998</v>
      </c>
      <c r="V91" s="162">
        <v>1.0937999999999999</v>
      </c>
      <c r="W91" s="162">
        <v>1.3087</v>
      </c>
      <c r="X91" s="162">
        <v>1.4944999999999999</v>
      </c>
      <c r="Y91" s="162">
        <v>1.6587999999999998</v>
      </c>
      <c r="Z91" s="162">
        <v>1.8059999999999998</v>
      </c>
      <c r="AA91" s="162">
        <v>1.9386999999999999</v>
      </c>
      <c r="AB91" s="162">
        <v>2.0569999999999999</v>
      </c>
      <c r="AC91" s="162">
        <v>2.1557999999999997</v>
      </c>
      <c r="AD91" s="162">
        <v>2.2396999999999996</v>
      </c>
      <c r="AE91" s="162">
        <v>2.3127999999999997</v>
      </c>
      <c r="AF91" s="162">
        <v>2.3723999999999994</v>
      </c>
      <c r="AG91" s="162">
        <v>2.4227999999999996</v>
      </c>
      <c r="AH91" s="162">
        <v>2.4579999999999997</v>
      </c>
      <c r="AI91" s="162">
        <v>2.4833999999999996</v>
      </c>
      <c r="AJ91" s="162">
        <v>2.5017999999999994</v>
      </c>
      <c r="AK91" s="162">
        <v>2.5135999999999994</v>
      </c>
      <c r="AL91" s="162">
        <v>2.5199199999999995</v>
      </c>
      <c r="AM91" s="162">
        <v>2.5199199999999995</v>
      </c>
      <c r="AN91" s="162">
        <v>2.3878920399999992</v>
      </c>
      <c r="AO91" s="162">
        <v>2.5388799999999994</v>
      </c>
      <c r="AP91" s="162">
        <v>2.5451999999999995</v>
      </c>
      <c r="AQ91" s="162">
        <v>2.5485999999999995</v>
      </c>
      <c r="AR91" s="162">
        <v>2.5451979599999994</v>
      </c>
      <c r="AS91" s="162">
        <v>2.5452002499999993</v>
      </c>
      <c r="AT91" s="162">
        <v>2.5452003299999992</v>
      </c>
      <c r="AU91" s="162">
        <v>2.5485999999999995</v>
      </c>
    </row>
    <row r="92" spans="1:47" ht="12.75" customHeight="1">
      <c r="A92" s="459">
        <v>41537</v>
      </c>
      <c r="B92" s="139">
        <v>38</v>
      </c>
      <c r="C92" s="162">
        <v>7.0000000000000007E-2</v>
      </c>
      <c r="D92" s="162">
        <v>7.0000000000000007E-2</v>
      </c>
      <c r="E92" s="162">
        <v>8.521999999999999E-2</v>
      </c>
      <c r="F92" s="162">
        <v>8.7979999999999989E-2</v>
      </c>
      <c r="G92" s="162">
        <v>8.965999999999999E-2</v>
      </c>
      <c r="H92" s="162">
        <v>9.2599999999999988E-2</v>
      </c>
      <c r="I92" s="162">
        <v>9.64E-2</v>
      </c>
      <c r="J92" s="162">
        <v>0.10435999999999999</v>
      </c>
      <c r="K92" s="162">
        <v>0.1074</v>
      </c>
      <c r="L92" s="162">
        <v>0.11349999999999999</v>
      </c>
      <c r="M92" s="162">
        <v>0.11969999999999999</v>
      </c>
      <c r="N92" s="162">
        <v>0.12799999999999997</v>
      </c>
      <c r="O92" s="162">
        <v>0.13539999999999999</v>
      </c>
      <c r="P92" s="162">
        <v>0.1472</v>
      </c>
      <c r="Q92" s="162">
        <v>0.15319999999999995</v>
      </c>
      <c r="R92" s="162">
        <v>0.16399999999999998</v>
      </c>
      <c r="S92" s="162">
        <v>0.32279999999999998</v>
      </c>
      <c r="T92" s="162">
        <v>0.56255999999999995</v>
      </c>
      <c r="U92" s="162">
        <v>0.83059999999999978</v>
      </c>
      <c r="V92" s="162">
        <v>1.0819999999999999</v>
      </c>
      <c r="W92" s="162">
        <v>1.3026</v>
      </c>
      <c r="X92" s="162">
        <v>1.496</v>
      </c>
      <c r="Y92" s="162">
        <v>1.6657999999999999</v>
      </c>
      <c r="Z92" s="162">
        <v>1.8171999999999999</v>
      </c>
      <c r="AA92" s="162">
        <v>1.9521999999999999</v>
      </c>
      <c r="AB92" s="162">
        <v>2.0695999999999999</v>
      </c>
      <c r="AC92" s="162">
        <v>2.1703999999999999</v>
      </c>
      <c r="AD92" s="162">
        <v>2.2567999999999997</v>
      </c>
      <c r="AE92" s="162">
        <v>2.3323999999999998</v>
      </c>
      <c r="AF92" s="162">
        <v>2.3909999999999996</v>
      </c>
      <c r="AG92" s="162">
        <v>2.4421999999999997</v>
      </c>
      <c r="AH92" s="162">
        <v>2.4785999999999992</v>
      </c>
      <c r="AI92" s="162">
        <v>2.5047999999999995</v>
      </c>
      <c r="AJ92" s="162">
        <v>2.5239999999999991</v>
      </c>
      <c r="AK92" s="162">
        <v>2.5361999999999991</v>
      </c>
      <c r="AL92" s="162">
        <v>2.5431199999999996</v>
      </c>
      <c r="AM92" s="162">
        <v>2.5500399999999996</v>
      </c>
      <c r="AN92" s="162">
        <v>2.5569599999999992</v>
      </c>
      <c r="AO92" s="162">
        <v>2.5638799999999993</v>
      </c>
      <c r="AP92" s="162">
        <v>2.5707999999999998</v>
      </c>
      <c r="AQ92" s="162">
        <v>2.5719199999999995</v>
      </c>
      <c r="AR92" s="162">
        <v>2.5730399999999998</v>
      </c>
      <c r="AS92" s="162">
        <v>2.5741599999999996</v>
      </c>
      <c r="AT92" s="162">
        <v>2.5752799999999993</v>
      </c>
      <c r="AU92" s="162">
        <v>2.5763999999999996</v>
      </c>
    </row>
    <row r="93" spans="1:47" ht="12.75" customHeight="1">
      <c r="A93" s="459">
        <v>41544</v>
      </c>
      <c r="B93" s="139">
        <v>39</v>
      </c>
      <c r="C93" s="162">
        <v>7.5249999999999997E-2</v>
      </c>
      <c r="D93" s="162">
        <v>7.5249999999999997E-2</v>
      </c>
      <c r="E93" s="162">
        <v>7.886E-2</v>
      </c>
      <c r="F93" s="162">
        <v>8.3799999999999999E-2</v>
      </c>
      <c r="G93" s="162">
        <v>8.6059999999999998E-2</v>
      </c>
      <c r="H93" s="162">
        <v>8.9799999999999991E-2</v>
      </c>
      <c r="I93" s="162">
        <v>9.5399999999999999E-2</v>
      </c>
      <c r="J93" s="162">
        <v>0.10039999999999999</v>
      </c>
      <c r="K93" s="162">
        <v>0.11259999999999999</v>
      </c>
      <c r="L93" s="162">
        <v>0.1152</v>
      </c>
      <c r="M93" s="162">
        <v>0.1211</v>
      </c>
      <c r="N93" s="162">
        <v>0.12819999999999998</v>
      </c>
      <c r="O93" s="162">
        <v>0.13699999999999998</v>
      </c>
      <c r="P93" s="162">
        <v>0.14449999999999996</v>
      </c>
      <c r="Q93" s="162">
        <v>0.15129999999999999</v>
      </c>
      <c r="R93" s="162">
        <v>0.15909999999999996</v>
      </c>
      <c r="S93" s="162">
        <v>0.29019999999999985</v>
      </c>
      <c r="T93" s="162">
        <v>0.5017999999999998</v>
      </c>
      <c r="U93" s="162">
        <v>0.75779999999999981</v>
      </c>
      <c r="V93" s="162">
        <v>1.0059999999999998</v>
      </c>
      <c r="W93" s="162">
        <v>1.2287999999999999</v>
      </c>
      <c r="X93" s="162">
        <v>1.4256</v>
      </c>
      <c r="Y93" s="162">
        <v>1.5997999999999999</v>
      </c>
      <c r="Z93" s="162">
        <v>1.7547999999999999</v>
      </c>
      <c r="AA93" s="162">
        <v>1.8935</v>
      </c>
      <c r="AB93" s="162">
        <v>2.0139999999999998</v>
      </c>
      <c r="AC93" s="162">
        <v>2.1187999999999998</v>
      </c>
      <c r="AD93" s="162">
        <v>2.2079999999999997</v>
      </c>
      <c r="AE93" s="162">
        <v>2.2837999999999998</v>
      </c>
      <c r="AF93" s="162">
        <v>2.3461999999999996</v>
      </c>
      <c r="AG93" s="162">
        <v>2.3943999999999992</v>
      </c>
      <c r="AH93" s="162">
        <v>2.4321999999999995</v>
      </c>
      <c r="AI93" s="162">
        <v>2.4611999999999994</v>
      </c>
      <c r="AJ93" s="162">
        <v>2.4819999999999998</v>
      </c>
      <c r="AK93" s="162">
        <v>2.4995999999999992</v>
      </c>
      <c r="AL93" s="162">
        <v>2.5078399999999994</v>
      </c>
      <c r="AM93" s="162">
        <v>2.5160799999999997</v>
      </c>
      <c r="AN93" s="162">
        <v>2.5243199999999995</v>
      </c>
      <c r="AO93" s="162">
        <v>2.5325599999999993</v>
      </c>
      <c r="AP93" s="162">
        <v>2.5407999999999995</v>
      </c>
      <c r="AQ93" s="162">
        <v>2.5429999999999997</v>
      </c>
      <c r="AR93" s="162">
        <v>2.5451999999999995</v>
      </c>
      <c r="AS93" s="162">
        <v>2.5473999999999997</v>
      </c>
      <c r="AT93" s="162">
        <v>2.5495999999999994</v>
      </c>
      <c r="AU93" s="162">
        <v>2.5517999999999992</v>
      </c>
    </row>
    <row r="94" spans="1:47" ht="12.75" customHeight="1">
      <c r="A94" s="459">
        <v>41551</v>
      </c>
      <c r="B94" s="139">
        <v>40</v>
      </c>
      <c r="C94" s="162">
        <v>7.8999999999999987E-2</v>
      </c>
      <c r="D94" s="162">
        <v>7.8999999999999987E-2</v>
      </c>
      <c r="E94" s="162">
        <v>9.0219999999999995E-2</v>
      </c>
      <c r="F94" s="162">
        <v>8.8219999999999993E-2</v>
      </c>
      <c r="G94" s="162">
        <v>9.1659999999999991E-2</v>
      </c>
      <c r="H94" s="162">
        <v>9.6499999999999989E-2</v>
      </c>
      <c r="I94" s="162">
        <v>0.1007</v>
      </c>
      <c r="J94" s="162">
        <v>0.10539999999999999</v>
      </c>
      <c r="K94" s="162">
        <v>0.10669999999999999</v>
      </c>
      <c r="L94" s="162">
        <v>0.11475999999999999</v>
      </c>
      <c r="M94" s="162">
        <v>0.1215</v>
      </c>
      <c r="N94" s="162">
        <v>0.12835999999999997</v>
      </c>
      <c r="O94" s="162">
        <v>0.13285999999999998</v>
      </c>
      <c r="P94" s="162">
        <v>0.14119999999999999</v>
      </c>
      <c r="Q94" s="162">
        <v>0.14805999999999997</v>
      </c>
      <c r="R94" s="162">
        <v>0.15539999999999998</v>
      </c>
      <c r="S94" s="162">
        <v>0.25859999999999994</v>
      </c>
      <c r="T94" s="162">
        <v>0.42915999999999999</v>
      </c>
      <c r="U94" s="162">
        <v>0.66359999999999997</v>
      </c>
      <c r="V94" s="162">
        <v>0.9049999999999998</v>
      </c>
      <c r="W94" s="162">
        <v>1.1252</v>
      </c>
      <c r="X94" s="162">
        <v>1.3226</v>
      </c>
      <c r="Y94" s="162">
        <v>1.4995999999999998</v>
      </c>
      <c r="Z94" s="162">
        <v>1.6569999999999998</v>
      </c>
      <c r="AA94" s="162">
        <v>1.7980999999999998</v>
      </c>
      <c r="AB94" s="162">
        <v>1.9209999999999998</v>
      </c>
      <c r="AC94" s="162">
        <v>2.0275999999999996</v>
      </c>
      <c r="AD94" s="162">
        <v>2.1181999999999999</v>
      </c>
      <c r="AE94" s="162">
        <v>2.1957999999999998</v>
      </c>
      <c r="AF94" s="162">
        <v>2.2589999999999999</v>
      </c>
      <c r="AG94" s="162">
        <v>2.3211999999999993</v>
      </c>
      <c r="AH94" s="162">
        <v>2.3603999999999994</v>
      </c>
      <c r="AI94" s="162">
        <v>2.3905999999999996</v>
      </c>
      <c r="AJ94" s="162">
        <v>2.4127999999999994</v>
      </c>
      <c r="AK94" s="162">
        <v>2.4195999999999995</v>
      </c>
      <c r="AL94" s="162">
        <v>2.4288399999999992</v>
      </c>
      <c r="AM94" s="162">
        <v>2.4380799999999994</v>
      </c>
      <c r="AN94" s="162">
        <v>2.4473199999999995</v>
      </c>
      <c r="AO94" s="162">
        <v>2.4565599999999996</v>
      </c>
      <c r="AP94" s="162">
        <v>2.4657999999999993</v>
      </c>
      <c r="AQ94" s="162">
        <v>2.4691599999999996</v>
      </c>
      <c r="AR94" s="162">
        <v>2.4725199999999994</v>
      </c>
      <c r="AS94" s="162">
        <v>2.4758799999999992</v>
      </c>
      <c r="AT94" s="162">
        <v>2.4792399999999994</v>
      </c>
      <c r="AU94" s="162">
        <v>2.4825999999999993</v>
      </c>
    </row>
    <row r="95" spans="1:47" ht="12.75" customHeight="1">
      <c r="A95" s="459">
        <v>41558</v>
      </c>
      <c r="B95" s="139">
        <v>41</v>
      </c>
      <c r="C95" s="162">
        <v>0.10425</v>
      </c>
      <c r="D95" s="162">
        <v>0.10425</v>
      </c>
      <c r="E95" s="162">
        <v>8.4759999999999988E-2</v>
      </c>
      <c r="F95" s="162">
        <v>8.8219999999999993E-2</v>
      </c>
      <c r="G95" s="162">
        <v>8.9899999999999994E-2</v>
      </c>
      <c r="H95" s="162">
        <v>9.3299999999999994E-2</v>
      </c>
      <c r="I95" s="162">
        <v>0.10029999999999999</v>
      </c>
      <c r="J95" s="162">
        <v>0.10419999999999999</v>
      </c>
      <c r="K95" s="162">
        <v>0.10769999999999999</v>
      </c>
      <c r="L95" s="162">
        <v>0.11785999999999999</v>
      </c>
      <c r="M95" s="162">
        <v>0.12179999999999999</v>
      </c>
      <c r="N95" s="162">
        <v>0.12809999999999999</v>
      </c>
      <c r="O95" s="162">
        <v>0.1331</v>
      </c>
      <c r="P95" s="162">
        <v>0.14149999999999999</v>
      </c>
      <c r="Q95" s="162">
        <v>0.14755999999999997</v>
      </c>
      <c r="R95" s="162">
        <v>0.15389999999999998</v>
      </c>
      <c r="S95" s="162">
        <v>0.25299999999999989</v>
      </c>
      <c r="T95" s="162">
        <v>0.42827999999999999</v>
      </c>
      <c r="U95" s="162">
        <v>0.65839999999999987</v>
      </c>
      <c r="V95" s="162">
        <v>0.88819999999999988</v>
      </c>
      <c r="W95" s="162">
        <v>1.1047999999999998</v>
      </c>
      <c r="X95" s="162">
        <v>1.2989999999999999</v>
      </c>
      <c r="Y95" s="162">
        <v>1.4723999999999999</v>
      </c>
      <c r="Z95" s="162">
        <v>1.6287999999999998</v>
      </c>
      <c r="AA95" s="162">
        <v>1.7691999999999999</v>
      </c>
      <c r="AB95" s="162">
        <v>1.8912</v>
      </c>
      <c r="AC95" s="162">
        <v>1.9988999999999999</v>
      </c>
      <c r="AD95" s="162">
        <v>2.0911999999999997</v>
      </c>
      <c r="AE95" s="162">
        <v>2.1677999999999997</v>
      </c>
      <c r="AF95" s="162">
        <v>2.2324999999999999</v>
      </c>
      <c r="AG95" s="162">
        <v>2.2829999999999999</v>
      </c>
      <c r="AH95" s="162">
        <v>2.3237999999999994</v>
      </c>
      <c r="AI95" s="162">
        <v>2.3553999999999995</v>
      </c>
      <c r="AJ95" s="162">
        <v>2.3789999999999991</v>
      </c>
      <c r="AK95" s="162">
        <v>2.3987999999999992</v>
      </c>
      <c r="AL95" s="162">
        <v>2.4085599999999991</v>
      </c>
      <c r="AM95" s="162">
        <v>2.4183199999999991</v>
      </c>
      <c r="AN95" s="162">
        <v>2.4280799999999991</v>
      </c>
      <c r="AO95" s="162">
        <v>2.4378399999999991</v>
      </c>
      <c r="AP95" s="162">
        <v>2.4475999999999996</v>
      </c>
      <c r="AQ95" s="162">
        <v>2.4511599999999993</v>
      </c>
      <c r="AR95" s="162">
        <v>2.4547199999999996</v>
      </c>
      <c r="AS95" s="162">
        <v>2.4582799999999994</v>
      </c>
      <c r="AT95" s="162">
        <v>2.4618399999999996</v>
      </c>
      <c r="AU95" s="162">
        <v>2.4653999999999994</v>
      </c>
    </row>
    <row r="96" spans="1:47" ht="12.75" customHeight="1">
      <c r="A96" s="459">
        <v>41565</v>
      </c>
      <c r="B96" s="139">
        <v>42</v>
      </c>
      <c r="C96" s="162">
        <v>8.1749999999999989E-2</v>
      </c>
      <c r="D96" s="162">
        <v>8.1749999999999989E-2</v>
      </c>
      <c r="E96" s="162">
        <v>8.7599999999999997E-2</v>
      </c>
      <c r="F96" s="162">
        <v>8.8359999999999994E-2</v>
      </c>
      <c r="G96" s="162">
        <v>8.9399999999999993E-2</v>
      </c>
      <c r="H96" s="162">
        <v>9.509999999999999E-2</v>
      </c>
      <c r="I96" s="162">
        <v>0.10469999999999999</v>
      </c>
      <c r="J96" s="162">
        <v>0.1138</v>
      </c>
      <c r="K96" s="162">
        <v>0.12189999999999999</v>
      </c>
      <c r="L96" s="162">
        <v>0.12789999999999999</v>
      </c>
      <c r="M96" s="162">
        <v>0.13599999999999998</v>
      </c>
      <c r="N96" s="162">
        <v>0.14409999999999998</v>
      </c>
      <c r="O96" s="162">
        <v>0.15275999999999995</v>
      </c>
      <c r="P96" s="162">
        <v>0.15449999999999997</v>
      </c>
      <c r="Q96" s="162">
        <v>0.16479999999999995</v>
      </c>
      <c r="R96" s="162">
        <v>0.17059999999999995</v>
      </c>
      <c r="S96" s="162">
        <v>0.2742</v>
      </c>
      <c r="T96" s="162">
        <v>0.45275999999999988</v>
      </c>
      <c r="U96" s="162">
        <v>0.68879999999999986</v>
      </c>
      <c r="V96" s="162">
        <v>0.9251999999999998</v>
      </c>
      <c r="W96" s="162">
        <v>1.1434</v>
      </c>
      <c r="X96" s="162">
        <v>1.3383999999999998</v>
      </c>
      <c r="Y96" s="162">
        <v>1.5130999999999999</v>
      </c>
      <c r="Z96" s="162">
        <v>1.6688999999999998</v>
      </c>
      <c r="AA96" s="162">
        <v>1.8090999999999999</v>
      </c>
      <c r="AB96" s="162">
        <v>1.9333999999999998</v>
      </c>
      <c r="AC96" s="162">
        <v>2.0418999999999996</v>
      </c>
      <c r="AD96" s="162">
        <v>2.1351999999999998</v>
      </c>
      <c r="AE96" s="162">
        <v>2.2135999999999996</v>
      </c>
      <c r="AF96" s="162">
        <v>2.2790999999999997</v>
      </c>
      <c r="AG96" s="162">
        <v>2.3329999999999997</v>
      </c>
      <c r="AH96" s="162">
        <v>2.3743999999999992</v>
      </c>
      <c r="AI96" s="162">
        <v>2.4059999999999997</v>
      </c>
      <c r="AJ96" s="162">
        <v>2.4303999999999997</v>
      </c>
      <c r="AK96" s="162">
        <v>2.4489999999999994</v>
      </c>
      <c r="AL96" s="162">
        <v>2.4597599999999997</v>
      </c>
      <c r="AM96" s="162">
        <v>2.4705199999999992</v>
      </c>
      <c r="AN96" s="162">
        <v>2.4812799999999995</v>
      </c>
      <c r="AO96" s="162">
        <v>2.4920399999999994</v>
      </c>
      <c r="AP96" s="162">
        <v>2.5027999999999992</v>
      </c>
      <c r="AQ96" s="162">
        <v>2.5063999999999997</v>
      </c>
      <c r="AR96" s="162">
        <v>2.5099999999999998</v>
      </c>
      <c r="AS96" s="162">
        <v>2.5135999999999994</v>
      </c>
      <c r="AT96" s="162">
        <v>2.5171999999999994</v>
      </c>
      <c r="AU96" s="162">
        <v>2.5207999999999995</v>
      </c>
    </row>
    <row r="97" spans="1:47" ht="12.75" customHeight="1">
      <c r="A97" s="459">
        <v>41572</v>
      </c>
      <c r="B97" s="139">
        <v>43</v>
      </c>
      <c r="C97" s="162">
        <v>8.1499999999999989E-2</v>
      </c>
      <c r="D97" s="162">
        <v>8.1499999999999989E-2</v>
      </c>
      <c r="E97" s="162">
        <v>8.4959999999999994E-2</v>
      </c>
      <c r="F97" s="162">
        <v>8.7799999999999989E-2</v>
      </c>
      <c r="G97" s="162">
        <v>8.8399999999999992E-2</v>
      </c>
      <c r="H97" s="162">
        <v>9.7699999999999995E-2</v>
      </c>
      <c r="I97" s="162">
        <v>0.10332</v>
      </c>
      <c r="J97" s="162">
        <v>0.10962</v>
      </c>
      <c r="K97" s="162">
        <v>0.11929999999999999</v>
      </c>
      <c r="L97" s="162">
        <v>0.12495999999999999</v>
      </c>
      <c r="M97" s="162">
        <v>0.13179999999999997</v>
      </c>
      <c r="N97" s="162">
        <v>0.14069999999999999</v>
      </c>
      <c r="O97" s="162">
        <v>0.15025999999999995</v>
      </c>
      <c r="P97" s="162">
        <v>0.15605999999999995</v>
      </c>
      <c r="Q97" s="162">
        <v>0.16199999999999998</v>
      </c>
      <c r="R97" s="162">
        <v>0.16879999999999995</v>
      </c>
      <c r="S97" s="162">
        <v>0.27479999999999993</v>
      </c>
      <c r="T97" s="162">
        <v>0.45795999999999992</v>
      </c>
      <c r="U97" s="162">
        <v>0.69479999999999986</v>
      </c>
      <c r="V97" s="162">
        <v>0.93819999999999992</v>
      </c>
      <c r="W97" s="162">
        <v>1.1596</v>
      </c>
      <c r="X97" s="162">
        <v>1.3592</v>
      </c>
      <c r="Y97" s="162">
        <v>1.5371999999999999</v>
      </c>
      <c r="Z97" s="162">
        <v>1.6970999999999998</v>
      </c>
      <c r="AA97" s="162">
        <v>1.8405999999999998</v>
      </c>
      <c r="AB97" s="162">
        <v>1.9667999999999999</v>
      </c>
      <c r="AC97" s="162">
        <v>2.0745999999999998</v>
      </c>
      <c r="AD97" s="162">
        <v>2.1701999999999999</v>
      </c>
      <c r="AE97" s="162">
        <v>2.2505999999999999</v>
      </c>
      <c r="AF97" s="162">
        <v>2.3143999999999996</v>
      </c>
      <c r="AG97" s="162">
        <v>2.3707999999999996</v>
      </c>
      <c r="AH97" s="162">
        <v>2.4125999999999994</v>
      </c>
      <c r="AI97" s="162">
        <v>2.4453999999999994</v>
      </c>
      <c r="AJ97" s="162">
        <v>2.4705999999999992</v>
      </c>
      <c r="AK97" s="162">
        <v>2.4907999999999992</v>
      </c>
      <c r="AL97" s="162">
        <v>2.50244</v>
      </c>
      <c r="AM97" s="162">
        <v>2.5140799999999999</v>
      </c>
      <c r="AN97" s="162">
        <v>2.5257199999999997</v>
      </c>
      <c r="AO97" s="162">
        <v>2.5373599999999996</v>
      </c>
      <c r="AP97" s="162">
        <v>2.5489999999999995</v>
      </c>
      <c r="AQ97" s="162">
        <v>2.5533199999999994</v>
      </c>
      <c r="AR97" s="162">
        <v>2.5576399999999997</v>
      </c>
      <c r="AS97" s="162">
        <v>2.5619599999999996</v>
      </c>
      <c r="AT97" s="162">
        <v>2.5662799999999995</v>
      </c>
      <c r="AU97" s="162">
        <v>2.5705999999999998</v>
      </c>
    </row>
    <row r="98" spans="1:47" ht="12.75" customHeight="1">
      <c r="A98" s="459">
        <v>41578</v>
      </c>
      <c r="B98" s="139">
        <v>44</v>
      </c>
      <c r="C98" s="162">
        <v>9.35E-2</v>
      </c>
      <c r="D98" s="162">
        <v>9.35E-2</v>
      </c>
      <c r="E98" s="162">
        <v>9.0359999999999996E-2</v>
      </c>
      <c r="F98" s="162">
        <v>9.4059999999999991E-2</v>
      </c>
      <c r="G98" s="162">
        <v>9.3699999999999992E-2</v>
      </c>
      <c r="H98" s="162">
        <v>0.10505999999999999</v>
      </c>
      <c r="I98" s="162">
        <v>0.11019999999999999</v>
      </c>
      <c r="J98" s="162">
        <v>0.11989999999999999</v>
      </c>
      <c r="K98" s="162">
        <v>0.12669999999999998</v>
      </c>
      <c r="L98" s="162">
        <v>0.13279999999999997</v>
      </c>
      <c r="M98" s="162">
        <v>0.13949999999999999</v>
      </c>
      <c r="N98" s="162">
        <v>0.14629999999999999</v>
      </c>
      <c r="O98" s="162">
        <v>0.15315999999999999</v>
      </c>
      <c r="P98" s="162">
        <v>0.15955999999999998</v>
      </c>
      <c r="Q98" s="162">
        <v>0.16435999999999998</v>
      </c>
      <c r="R98" s="162">
        <v>0.16959999999999997</v>
      </c>
      <c r="S98" s="162">
        <v>0.25819999999999999</v>
      </c>
      <c r="T98" s="162">
        <v>0.4148599999999999</v>
      </c>
      <c r="U98" s="162">
        <v>0.62939999999999996</v>
      </c>
      <c r="V98" s="162">
        <v>0.85699999999999998</v>
      </c>
      <c r="W98" s="162">
        <v>1.0735999999999999</v>
      </c>
      <c r="X98" s="162">
        <v>1.2711999999999999</v>
      </c>
      <c r="Y98" s="162">
        <v>1.4483999999999999</v>
      </c>
      <c r="Z98" s="162">
        <v>1.607</v>
      </c>
      <c r="AA98" s="162">
        <v>1.7502</v>
      </c>
      <c r="AB98" s="162">
        <v>1.8774</v>
      </c>
      <c r="AC98" s="162">
        <v>1.9863999999999999</v>
      </c>
      <c r="AD98" s="162">
        <v>2.0823999999999998</v>
      </c>
      <c r="AE98" s="162">
        <v>2.1616</v>
      </c>
      <c r="AF98" s="162">
        <v>2.2267999999999999</v>
      </c>
      <c r="AG98" s="162">
        <v>2.2827999999999999</v>
      </c>
      <c r="AH98" s="162">
        <v>2.3261999999999996</v>
      </c>
      <c r="AI98" s="162">
        <v>2.3601999999999999</v>
      </c>
      <c r="AJ98" s="162">
        <v>2.3867999999999996</v>
      </c>
      <c r="AK98" s="162">
        <v>2.41</v>
      </c>
      <c r="AL98" s="162">
        <v>2.4223599999999998</v>
      </c>
      <c r="AM98" s="162">
        <v>2.43472</v>
      </c>
      <c r="AN98" s="162">
        <v>2.4470799999999997</v>
      </c>
      <c r="AO98" s="162">
        <v>2.4594399999999998</v>
      </c>
      <c r="AP98" s="162">
        <v>2.4718</v>
      </c>
      <c r="AQ98" s="162">
        <v>2.4767999999999999</v>
      </c>
      <c r="AR98" s="162">
        <v>2.4817999999999998</v>
      </c>
      <c r="AS98" s="162">
        <v>2.4867999999999997</v>
      </c>
      <c r="AT98" s="162">
        <v>2.4917999999999996</v>
      </c>
      <c r="AU98" s="162">
        <v>2.4967999999999999</v>
      </c>
    </row>
    <row r="99" spans="1:47" ht="12.75" customHeight="1">
      <c r="A99" s="459">
        <v>41586</v>
      </c>
      <c r="B99" s="139">
        <v>45</v>
      </c>
      <c r="C99" s="162">
        <v>9.8666669999999998E-2</v>
      </c>
      <c r="D99" s="162">
        <v>9.8666669999999998E-2</v>
      </c>
      <c r="E99" s="162">
        <v>0.103075</v>
      </c>
      <c r="F99" s="162">
        <v>0.10125000000000001</v>
      </c>
      <c r="G99" s="162">
        <v>8.7249999999999994E-2</v>
      </c>
      <c r="H99" s="162">
        <v>0.11462499999999999</v>
      </c>
      <c r="I99" s="162">
        <v>0.12132499999999999</v>
      </c>
      <c r="J99" s="162">
        <v>0.12549999999999997</v>
      </c>
      <c r="K99" s="162">
        <v>0.12587499999999999</v>
      </c>
      <c r="L99" s="162">
        <v>0.13824999999999998</v>
      </c>
      <c r="M99" s="162">
        <v>0.14399999999999996</v>
      </c>
      <c r="N99" s="162">
        <v>0.14762499999999998</v>
      </c>
      <c r="O99" s="162">
        <v>0.15869999999999995</v>
      </c>
      <c r="P99" s="162">
        <v>0.16162499999999996</v>
      </c>
      <c r="Q99" s="162">
        <v>0.16799999999999995</v>
      </c>
      <c r="R99" s="162">
        <v>0.17462499999999992</v>
      </c>
      <c r="S99" s="162">
        <v>0.25724999999999998</v>
      </c>
      <c r="T99" s="162">
        <v>0.40094999999999992</v>
      </c>
      <c r="U99" s="162">
        <v>0.59549999999999992</v>
      </c>
      <c r="V99" s="162">
        <v>0.80599999999999983</v>
      </c>
      <c r="W99" s="162">
        <v>1.0125</v>
      </c>
      <c r="X99" s="162">
        <v>1.2054999999999998</v>
      </c>
      <c r="Y99" s="162">
        <v>1.3773749999999998</v>
      </c>
      <c r="Z99" s="162">
        <v>1.5325</v>
      </c>
      <c r="AA99" s="162">
        <v>1.6755</v>
      </c>
      <c r="AB99" s="162">
        <v>1.7994999999999999</v>
      </c>
      <c r="AC99" s="162">
        <v>1.9103749999999999</v>
      </c>
      <c r="AD99" s="162">
        <v>2.00325</v>
      </c>
      <c r="AE99" s="162">
        <v>2.0854999999999997</v>
      </c>
      <c r="AF99" s="162">
        <v>2.1517499999999998</v>
      </c>
      <c r="AG99" s="162">
        <v>2.2097499999999997</v>
      </c>
      <c r="AH99" s="162">
        <v>2.2537500000000001</v>
      </c>
      <c r="AI99" s="162">
        <v>2.2877499999999995</v>
      </c>
      <c r="AJ99" s="162">
        <v>2.3147499999999992</v>
      </c>
      <c r="AK99" s="162">
        <v>2.3372499999999992</v>
      </c>
      <c r="AL99" s="162">
        <v>2.3505999999999991</v>
      </c>
      <c r="AM99" s="162">
        <v>2.3639499999999996</v>
      </c>
      <c r="AN99" s="162">
        <v>2.3772999999999995</v>
      </c>
      <c r="AO99" s="162">
        <v>2.3906499999999995</v>
      </c>
      <c r="AP99" s="162">
        <v>2.4039999999999999</v>
      </c>
      <c r="AQ99" s="162">
        <v>2.4089499999999995</v>
      </c>
      <c r="AR99" s="162">
        <v>2.4138999999999995</v>
      </c>
      <c r="AS99" s="162">
        <v>2.4188499999999995</v>
      </c>
      <c r="AT99" s="162">
        <v>2.4238</v>
      </c>
      <c r="AU99" s="162">
        <v>2.42875</v>
      </c>
    </row>
    <row r="100" spans="1:47" ht="12.75" customHeight="1">
      <c r="A100" s="459">
        <v>41593</v>
      </c>
      <c r="B100" s="139">
        <v>46</v>
      </c>
      <c r="C100" s="162">
        <v>8.6249999999999993E-2</v>
      </c>
      <c r="D100" s="162">
        <v>8.6249999999999993E-2</v>
      </c>
      <c r="E100" s="162">
        <v>9.509999999999999E-2</v>
      </c>
      <c r="F100" s="162">
        <v>9.6099999999999991E-2</v>
      </c>
      <c r="G100" s="162">
        <v>7.8599999999999989E-2</v>
      </c>
      <c r="H100" s="162">
        <v>0.11459999999999999</v>
      </c>
      <c r="I100" s="162">
        <v>0.11375999999999999</v>
      </c>
      <c r="J100" s="162">
        <v>0.11269999999999999</v>
      </c>
      <c r="K100" s="162">
        <v>0.1133</v>
      </c>
      <c r="L100" s="162">
        <v>0.1153</v>
      </c>
      <c r="M100" s="162">
        <v>0.11119999999999999</v>
      </c>
      <c r="N100" s="162">
        <v>0.11616</v>
      </c>
      <c r="O100" s="162">
        <v>0.12259999999999999</v>
      </c>
      <c r="P100" s="162">
        <v>0.12479999999999999</v>
      </c>
      <c r="Q100" s="162">
        <v>0.125</v>
      </c>
      <c r="R100" s="162">
        <v>0.13465999999999997</v>
      </c>
      <c r="S100" s="162">
        <v>0.20499999999999999</v>
      </c>
      <c r="T100" s="162">
        <v>0.34259999999999985</v>
      </c>
      <c r="U100" s="162">
        <v>0.54979999999999984</v>
      </c>
      <c r="V100" s="162">
        <v>0.77119999999999989</v>
      </c>
      <c r="W100" s="162">
        <v>0.98899999999999988</v>
      </c>
      <c r="X100" s="162">
        <v>1.19</v>
      </c>
      <c r="Y100" s="162">
        <v>1.3752</v>
      </c>
      <c r="Z100" s="162">
        <v>1.54</v>
      </c>
      <c r="AA100" s="162">
        <v>1.6876</v>
      </c>
      <c r="AB100" s="162">
        <v>1.8173999999999999</v>
      </c>
      <c r="AC100" s="162">
        <v>1.9287999999999998</v>
      </c>
      <c r="AD100" s="162">
        <v>2.0255999999999998</v>
      </c>
      <c r="AE100" s="162">
        <v>2.1095999999999999</v>
      </c>
      <c r="AF100" s="162">
        <v>2.1803999999999997</v>
      </c>
      <c r="AG100" s="162">
        <v>2.2391999999999999</v>
      </c>
      <c r="AH100" s="162">
        <v>2.2841999999999998</v>
      </c>
      <c r="AI100" s="162">
        <v>2.3203999999999994</v>
      </c>
      <c r="AJ100" s="162">
        <v>2.3481999999999994</v>
      </c>
      <c r="AK100" s="162">
        <v>2.3719999999999999</v>
      </c>
      <c r="AL100" s="162">
        <v>2.3857599999999994</v>
      </c>
      <c r="AM100" s="162">
        <v>2.3995199999999994</v>
      </c>
      <c r="AN100" s="162">
        <v>2.4132799999999994</v>
      </c>
      <c r="AO100" s="162">
        <v>2.4270399999999994</v>
      </c>
      <c r="AP100" s="162">
        <v>2.4407999999999994</v>
      </c>
      <c r="AQ100" s="162">
        <v>2.4462399999999995</v>
      </c>
      <c r="AR100" s="162">
        <v>2.4516799999999996</v>
      </c>
      <c r="AS100" s="162">
        <v>2.4571199999999997</v>
      </c>
      <c r="AT100" s="162">
        <v>2.4625599999999999</v>
      </c>
      <c r="AU100" s="162">
        <v>2.468</v>
      </c>
    </row>
    <row r="101" spans="1:47" ht="12.75" customHeight="1">
      <c r="A101" s="459">
        <v>41600</v>
      </c>
      <c r="B101" s="139">
        <v>47</v>
      </c>
      <c r="C101" s="162">
        <v>7.3999999999999996E-2</v>
      </c>
      <c r="D101" s="162">
        <v>7.3999999999999996E-2</v>
      </c>
      <c r="E101" s="162">
        <v>8.8999999999999996E-2</v>
      </c>
      <c r="F101" s="162">
        <v>9.4199999999999992E-2</v>
      </c>
      <c r="G101" s="162">
        <v>9.9659999999999999E-2</v>
      </c>
      <c r="H101" s="162">
        <v>0.10485999999999999</v>
      </c>
      <c r="I101" s="162">
        <v>0.107</v>
      </c>
      <c r="J101" s="162">
        <v>0.1061</v>
      </c>
      <c r="K101" s="162">
        <v>0.10639999999999999</v>
      </c>
      <c r="L101" s="162">
        <v>0.10625999999999999</v>
      </c>
      <c r="M101" s="162">
        <v>0.10579999999999999</v>
      </c>
      <c r="N101" s="162">
        <v>0.10686</v>
      </c>
      <c r="O101" s="162">
        <v>0.10525999999999999</v>
      </c>
      <c r="P101" s="162">
        <v>0.10976</v>
      </c>
      <c r="Q101" s="162">
        <v>0.1119</v>
      </c>
      <c r="R101" s="162">
        <v>0.1128</v>
      </c>
      <c r="S101" s="162">
        <v>0.16919999999999993</v>
      </c>
      <c r="T101" s="162">
        <v>0.30669999999999997</v>
      </c>
      <c r="U101" s="162">
        <v>0.51859999999999995</v>
      </c>
      <c r="V101" s="162">
        <v>0.74959999999999982</v>
      </c>
      <c r="W101" s="162">
        <v>0.97739999999999982</v>
      </c>
      <c r="X101" s="162">
        <v>1.1887999999999999</v>
      </c>
      <c r="Y101" s="162">
        <v>1.3794</v>
      </c>
      <c r="Z101" s="162">
        <v>1.5509999999999999</v>
      </c>
      <c r="AA101" s="162">
        <v>1.7012999999999998</v>
      </c>
      <c r="AB101" s="162">
        <v>1.8361999999999998</v>
      </c>
      <c r="AC101" s="162">
        <v>1.9515999999999998</v>
      </c>
      <c r="AD101" s="162">
        <v>2.0505999999999998</v>
      </c>
      <c r="AE101" s="162">
        <v>2.1357999999999997</v>
      </c>
      <c r="AF101" s="162">
        <v>2.2077999999999998</v>
      </c>
      <c r="AG101" s="162">
        <v>2.2651999999999997</v>
      </c>
      <c r="AH101" s="162">
        <v>2.3107999999999995</v>
      </c>
      <c r="AI101" s="162">
        <v>2.3477999999999994</v>
      </c>
      <c r="AJ101" s="162">
        <v>2.3765999999999998</v>
      </c>
      <c r="AK101" s="162">
        <v>2.4020999999999995</v>
      </c>
      <c r="AL101" s="162">
        <v>2.4163599999999992</v>
      </c>
      <c r="AM101" s="162">
        <v>2.4306199999999993</v>
      </c>
      <c r="AN101" s="162">
        <v>2.4448799999999995</v>
      </c>
      <c r="AO101" s="162">
        <v>2.4591399999999992</v>
      </c>
      <c r="AP101" s="162">
        <v>2.4733999999999994</v>
      </c>
      <c r="AQ101" s="162">
        <v>2.4788599999999992</v>
      </c>
      <c r="AR101" s="162">
        <v>2.4843199999999994</v>
      </c>
      <c r="AS101" s="162">
        <v>2.4897799999999997</v>
      </c>
      <c r="AT101" s="162">
        <v>2.4952399999999995</v>
      </c>
      <c r="AU101" s="162">
        <v>2.5006999999999997</v>
      </c>
    </row>
    <row r="102" spans="1:47" ht="12.75" customHeight="1">
      <c r="A102" s="459">
        <v>41607</v>
      </c>
      <c r="B102" s="139">
        <v>48</v>
      </c>
      <c r="C102" s="162">
        <v>9.2249999999999999E-2</v>
      </c>
      <c r="D102" s="162">
        <v>9.2249999999999999E-2</v>
      </c>
      <c r="E102" s="162">
        <v>0.11015999999999999</v>
      </c>
      <c r="F102" s="162">
        <v>0.1132</v>
      </c>
      <c r="G102" s="162">
        <v>0.11309999999999999</v>
      </c>
      <c r="H102" s="162">
        <v>0.12219999999999999</v>
      </c>
      <c r="I102" s="162">
        <v>0.11149999999999999</v>
      </c>
      <c r="J102" s="162">
        <v>0.1036</v>
      </c>
      <c r="K102" s="162">
        <v>0.10299999999999999</v>
      </c>
      <c r="L102" s="162">
        <v>9.885999999999999E-2</v>
      </c>
      <c r="M102" s="162">
        <v>9.7359999999999988E-2</v>
      </c>
      <c r="N102" s="162">
        <v>9.5299999999999996E-2</v>
      </c>
      <c r="O102" s="162">
        <v>9.8199999999999996E-2</v>
      </c>
      <c r="P102" s="162">
        <v>9.7099999999999992E-2</v>
      </c>
      <c r="Q102" s="162">
        <v>9.4059999999999991E-2</v>
      </c>
      <c r="R102" s="162">
        <v>0.10009999999999999</v>
      </c>
      <c r="S102" s="162">
        <v>0.15</v>
      </c>
      <c r="T102" s="162">
        <v>0.28659999999999997</v>
      </c>
      <c r="U102" s="162">
        <v>0.49559999999999987</v>
      </c>
      <c r="V102" s="162">
        <v>0.72599999999999998</v>
      </c>
      <c r="W102" s="162">
        <v>0.95319999999999983</v>
      </c>
      <c r="X102" s="162">
        <v>1.1654</v>
      </c>
      <c r="Y102" s="162">
        <v>1.3572</v>
      </c>
      <c r="Z102" s="162">
        <v>1.5289999999999999</v>
      </c>
      <c r="AA102" s="162">
        <v>1.6809999999999998</v>
      </c>
      <c r="AB102" s="162">
        <v>1.8141999999999998</v>
      </c>
      <c r="AC102" s="162">
        <v>1.9291999999999998</v>
      </c>
      <c r="AD102" s="162">
        <v>2.0284</v>
      </c>
      <c r="AE102" s="162">
        <v>2.1127999999999996</v>
      </c>
      <c r="AF102" s="162">
        <v>2.1827999999999999</v>
      </c>
      <c r="AG102" s="162">
        <v>2.2387999999999999</v>
      </c>
      <c r="AH102" s="162">
        <v>2.2837999999999998</v>
      </c>
      <c r="AI102" s="162">
        <v>2.3203999999999994</v>
      </c>
      <c r="AJ102" s="162">
        <v>2.3491999999999997</v>
      </c>
      <c r="AK102" s="162">
        <v>2.3737999999999997</v>
      </c>
      <c r="AL102" s="162">
        <v>2.3874399999999993</v>
      </c>
      <c r="AM102" s="162">
        <v>2.4010799999999994</v>
      </c>
      <c r="AN102" s="162">
        <v>2.4147199999999995</v>
      </c>
      <c r="AO102" s="162">
        <v>2.4283599999999992</v>
      </c>
      <c r="AP102" s="162">
        <v>2.4419999999999993</v>
      </c>
      <c r="AQ102" s="162">
        <v>2.4461199999999992</v>
      </c>
      <c r="AR102" s="162">
        <v>2.4502399999999995</v>
      </c>
      <c r="AS102" s="162">
        <v>2.4543599999999994</v>
      </c>
      <c r="AT102" s="162">
        <v>2.4584799999999993</v>
      </c>
      <c r="AU102" s="162">
        <v>2.4625999999999997</v>
      </c>
    </row>
    <row r="103" spans="1:47" ht="12.75" customHeight="1">
      <c r="A103" s="459">
        <v>41614</v>
      </c>
      <c r="B103" s="139">
        <v>49</v>
      </c>
      <c r="C103" s="162">
        <v>0.12824999999999998</v>
      </c>
      <c r="D103" s="162">
        <v>0.12824999999999998</v>
      </c>
      <c r="E103" s="162">
        <v>0.13285999999999998</v>
      </c>
      <c r="F103" s="162">
        <v>0.12146</v>
      </c>
      <c r="G103" s="162">
        <v>0.14121999999999998</v>
      </c>
      <c r="H103" s="162">
        <v>0.13285999999999998</v>
      </c>
      <c r="I103" s="162">
        <v>0.12479999999999999</v>
      </c>
      <c r="J103" s="162">
        <v>0.1191</v>
      </c>
      <c r="K103" s="162">
        <v>0.11499999999999999</v>
      </c>
      <c r="L103" s="162">
        <v>0.10605999999999999</v>
      </c>
      <c r="M103" s="162">
        <v>0.10969999999999999</v>
      </c>
      <c r="N103" s="162">
        <v>0.10779999999999999</v>
      </c>
      <c r="O103" s="162">
        <v>0.11009999999999999</v>
      </c>
      <c r="P103" s="162">
        <v>0.1045</v>
      </c>
      <c r="Q103" s="162">
        <v>0.108</v>
      </c>
      <c r="R103" s="162">
        <v>0.10859999999999999</v>
      </c>
      <c r="S103" s="162">
        <v>0.15479999999999997</v>
      </c>
      <c r="T103" s="162">
        <v>0.28915999999999992</v>
      </c>
      <c r="U103" s="162">
        <v>0.48869999999999991</v>
      </c>
      <c r="V103" s="162">
        <v>0.7145999999999999</v>
      </c>
      <c r="W103" s="162">
        <v>0.93739999999999979</v>
      </c>
      <c r="X103" s="162">
        <v>1.1435999999999999</v>
      </c>
      <c r="Y103" s="162">
        <v>1.331</v>
      </c>
      <c r="Z103" s="162">
        <v>1.4993999999999998</v>
      </c>
      <c r="AA103" s="162">
        <v>1.6488999999999998</v>
      </c>
      <c r="AB103" s="162">
        <v>1.7804</v>
      </c>
      <c r="AC103" s="162">
        <v>1.8941999999999999</v>
      </c>
      <c r="AD103" s="162">
        <v>1.994</v>
      </c>
      <c r="AE103" s="162">
        <v>2.0773999999999999</v>
      </c>
      <c r="AF103" s="162">
        <v>2.1471999999999998</v>
      </c>
      <c r="AG103" s="162">
        <v>2.2063999999999999</v>
      </c>
      <c r="AH103" s="162">
        <v>2.2507999999999999</v>
      </c>
      <c r="AI103" s="162">
        <v>2.2861999999999991</v>
      </c>
      <c r="AJ103" s="162">
        <v>2.3135999999999992</v>
      </c>
      <c r="AK103" s="162">
        <v>2.3339999999999996</v>
      </c>
      <c r="AL103" s="162">
        <v>2.3465199999999995</v>
      </c>
      <c r="AM103" s="162">
        <v>2.3590399999999994</v>
      </c>
      <c r="AN103" s="162">
        <v>2.3715599999999997</v>
      </c>
      <c r="AO103" s="162">
        <v>2.3840799999999995</v>
      </c>
      <c r="AP103" s="162">
        <v>2.3965999999999994</v>
      </c>
      <c r="AQ103" s="162">
        <v>2.4008799999999995</v>
      </c>
      <c r="AR103" s="162">
        <v>2.4051599999999995</v>
      </c>
      <c r="AS103" s="162">
        <v>2.4094399999999991</v>
      </c>
      <c r="AT103" s="162">
        <v>2.4137199999999992</v>
      </c>
      <c r="AU103" s="162">
        <v>2.4179999999999997</v>
      </c>
    </row>
    <row r="104" spans="1:47" ht="12.75" customHeight="1">
      <c r="A104" s="459">
        <v>41621</v>
      </c>
      <c r="B104" s="139">
        <v>50</v>
      </c>
      <c r="C104" s="162">
        <v>0.1205</v>
      </c>
      <c r="D104" s="162">
        <v>0.1205</v>
      </c>
      <c r="E104" s="162">
        <v>0.12129999999999999</v>
      </c>
      <c r="F104" s="162">
        <v>0.1239</v>
      </c>
      <c r="G104" s="162">
        <v>0.16045999999999996</v>
      </c>
      <c r="H104" s="162">
        <v>0.14329999999999998</v>
      </c>
      <c r="I104" s="162">
        <v>0.1331</v>
      </c>
      <c r="J104" s="162">
        <v>0.12899999999999998</v>
      </c>
      <c r="K104" s="162">
        <v>0.1211</v>
      </c>
      <c r="L104" s="162">
        <v>0.1235</v>
      </c>
      <c r="M104" s="162">
        <v>0.123</v>
      </c>
      <c r="N104" s="162">
        <v>0.11765999999999999</v>
      </c>
      <c r="O104" s="162">
        <v>0.122</v>
      </c>
      <c r="P104" s="162">
        <v>0.1225</v>
      </c>
      <c r="Q104" s="162">
        <v>0.1167</v>
      </c>
      <c r="R104" s="162">
        <v>0.12386</v>
      </c>
      <c r="S104" s="162">
        <v>0.16779999999999998</v>
      </c>
      <c r="T104" s="162">
        <v>0.30339999999999989</v>
      </c>
      <c r="U104" s="162">
        <v>0.53019999999999978</v>
      </c>
      <c r="V104" s="162">
        <v>0.77159999999999984</v>
      </c>
      <c r="W104" s="162">
        <v>0.99899999999999989</v>
      </c>
      <c r="X104" s="162">
        <v>1.2073999999999998</v>
      </c>
      <c r="Y104" s="162">
        <v>1.3965999999999998</v>
      </c>
      <c r="Z104" s="162">
        <v>1.5659999999999998</v>
      </c>
      <c r="AA104" s="162">
        <v>1.7173999999999998</v>
      </c>
      <c r="AB104" s="162">
        <v>1.8483999999999998</v>
      </c>
      <c r="AC104" s="162">
        <v>1.9603999999999999</v>
      </c>
      <c r="AD104" s="162">
        <v>2.0591999999999997</v>
      </c>
      <c r="AE104" s="162">
        <v>2.1421999999999999</v>
      </c>
      <c r="AF104" s="162">
        <v>2.2115999999999998</v>
      </c>
      <c r="AG104" s="162">
        <v>2.2667999999999999</v>
      </c>
      <c r="AH104" s="162">
        <v>2.3103999999999991</v>
      </c>
      <c r="AI104" s="162">
        <v>2.3441999999999994</v>
      </c>
      <c r="AJ104" s="162">
        <v>2.3699999999999992</v>
      </c>
      <c r="AK104" s="162">
        <v>2.3929999999999993</v>
      </c>
      <c r="AL104" s="162">
        <v>2.4038399999999998</v>
      </c>
      <c r="AM104" s="162">
        <v>2.4146799999999993</v>
      </c>
      <c r="AN104" s="162">
        <v>2.4255199999999997</v>
      </c>
      <c r="AO104" s="162">
        <v>2.4363599999999992</v>
      </c>
      <c r="AP104" s="162">
        <v>2.4471999999999996</v>
      </c>
      <c r="AQ104" s="162">
        <v>2.4494799999999994</v>
      </c>
      <c r="AR104" s="162">
        <v>2.4517599999999993</v>
      </c>
      <c r="AS104" s="162">
        <v>2.4540399999999996</v>
      </c>
      <c r="AT104" s="162">
        <v>2.4563199999999994</v>
      </c>
      <c r="AU104" s="162">
        <v>2.4585999999999992</v>
      </c>
    </row>
    <row r="105" spans="1:47" ht="12.75" customHeight="1">
      <c r="A105" s="459">
        <v>41628</v>
      </c>
      <c r="B105" s="139">
        <v>51</v>
      </c>
      <c r="C105" s="162">
        <v>0.13474999999999998</v>
      </c>
      <c r="D105" s="162">
        <v>0.13474999999999998</v>
      </c>
      <c r="E105" s="162">
        <v>0.15709999999999996</v>
      </c>
      <c r="F105" s="162">
        <v>0.16899999999999993</v>
      </c>
      <c r="G105" s="162">
        <v>0.18595999999999996</v>
      </c>
      <c r="H105" s="162">
        <v>0.17299999999999993</v>
      </c>
      <c r="I105" s="162">
        <v>0.16699999999999993</v>
      </c>
      <c r="J105" s="162">
        <v>0.16599999999999998</v>
      </c>
      <c r="K105" s="162">
        <v>0.16559999999999997</v>
      </c>
      <c r="L105" s="162">
        <v>0.16489999999999996</v>
      </c>
      <c r="M105" s="162">
        <v>0.16549999999999998</v>
      </c>
      <c r="N105" s="162">
        <v>0.16649999999999995</v>
      </c>
      <c r="O105" s="162">
        <v>0.16525999999999996</v>
      </c>
      <c r="P105" s="162">
        <v>0.16509999999999997</v>
      </c>
      <c r="Q105" s="162">
        <v>0.16629999999999998</v>
      </c>
      <c r="R105" s="162">
        <v>0.16659999999999997</v>
      </c>
      <c r="S105" s="162">
        <v>0.20919999999999991</v>
      </c>
      <c r="T105" s="162">
        <v>0.34621999999999997</v>
      </c>
      <c r="U105" s="162">
        <v>0.56379999999999986</v>
      </c>
      <c r="V105" s="162">
        <v>0.79759999999999986</v>
      </c>
      <c r="W105" s="162">
        <v>1.0213999999999999</v>
      </c>
      <c r="X105" s="162">
        <v>1.2262</v>
      </c>
      <c r="Y105" s="162">
        <v>1.4125999999999999</v>
      </c>
      <c r="Z105" s="162">
        <v>1.5805999999999998</v>
      </c>
      <c r="AA105" s="162">
        <v>1.7307999999999999</v>
      </c>
      <c r="AB105" s="162">
        <v>1.8623999999999998</v>
      </c>
      <c r="AC105" s="162">
        <v>1.974</v>
      </c>
      <c r="AD105" s="162">
        <v>2.0715999999999997</v>
      </c>
      <c r="AE105" s="162">
        <v>2.1537999999999999</v>
      </c>
      <c r="AF105" s="162">
        <v>2.2235999999999998</v>
      </c>
      <c r="AG105" s="162">
        <v>2.2793999999999999</v>
      </c>
      <c r="AH105" s="162">
        <v>2.3225999999999996</v>
      </c>
      <c r="AI105" s="162">
        <v>2.3557999999999995</v>
      </c>
      <c r="AJ105" s="162">
        <v>2.3799999999999994</v>
      </c>
      <c r="AK105" s="162">
        <v>2.4001999999999994</v>
      </c>
      <c r="AL105" s="162">
        <v>2.4103999999999997</v>
      </c>
      <c r="AM105" s="162">
        <v>2.4205999999999994</v>
      </c>
      <c r="AN105" s="162">
        <v>2.4307999999999992</v>
      </c>
      <c r="AO105" s="162">
        <v>2.4409999999999994</v>
      </c>
      <c r="AP105" s="162">
        <v>2.4511999999999992</v>
      </c>
      <c r="AQ105" s="162">
        <v>2.4530399999999992</v>
      </c>
      <c r="AR105" s="162">
        <v>2.4548799999999997</v>
      </c>
      <c r="AS105" s="162">
        <v>2.4567199999999993</v>
      </c>
      <c r="AT105" s="162">
        <v>2.4585599999999994</v>
      </c>
      <c r="AU105" s="162">
        <v>2.4603999999999999</v>
      </c>
    </row>
    <row r="106" spans="1:47" ht="12.75" customHeight="1">
      <c r="A106" s="459">
        <v>41635</v>
      </c>
      <c r="B106" s="139">
        <v>52</v>
      </c>
      <c r="C106" s="162">
        <v>0.18099999999999994</v>
      </c>
      <c r="D106" s="162">
        <v>0.18099999999999994</v>
      </c>
      <c r="E106" s="162">
        <v>0.17859999999999995</v>
      </c>
      <c r="F106" s="162">
        <v>0.21909999999999993</v>
      </c>
      <c r="G106" s="162">
        <v>0.19349999999999992</v>
      </c>
      <c r="H106" s="162">
        <v>0.18119999999999994</v>
      </c>
      <c r="I106" s="162">
        <v>0.17539999999999992</v>
      </c>
      <c r="J106" s="162">
        <v>0.17199999999999996</v>
      </c>
      <c r="K106" s="162">
        <v>0.16885999999999993</v>
      </c>
      <c r="L106" s="162">
        <v>0.16819999999999996</v>
      </c>
      <c r="M106" s="162">
        <v>0.16739999999999999</v>
      </c>
      <c r="N106" s="162">
        <v>0.16345999999999997</v>
      </c>
      <c r="O106" s="162">
        <v>0.16575999999999996</v>
      </c>
      <c r="P106" s="162">
        <v>0.16475999999999996</v>
      </c>
      <c r="Q106" s="162">
        <v>0.16345999999999997</v>
      </c>
      <c r="R106" s="162">
        <v>0.16269999999999996</v>
      </c>
      <c r="S106" s="162">
        <v>0.20899999999999994</v>
      </c>
      <c r="T106" s="162">
        <v>0.35655999999999999</v>
      </c>
      <c r="U106" s="162">
        <v>0.57159999999999989</v>
      </c>
      <c r="V106" s="162">
        <v>0.80379999999999985</v>
      </c>
      <c r="W106" s="162">
        <v>1.0246</v>
      </c>
      <c r="X106" s="162">
        <v>1.2267999999999999</v>
      </c>
      <c r="Y106" s="162">
        <v>1.4119999999999999</v>
      </c>
      <c r="Z106" s="162">
        <v>1.5791999999999999</v>
      </c>
      <c r="AA106" s="162">
        <v>1.7293999999999998</v>
      </c>
      <c r="AB106" s="162">
        <v>1.8585999999999998</v>
      </c>
      <c r="AC106" s="162">
        <v>1.9685999999999999</v>
      </c>
      <c r="AD106" s="162">
        <v>2.0643999999999996</v>
      </c>
      <c r="AE106" s="162">
        <v>2.1454</v>
      </c>
      <c r="AF106" s="162">
        <v>2.2148999999999996</v>
      </c>
      <c r="AG106" s="162">
        <v>2.2723999999999998</v>
      </c>
      <c r="AH106" s="162">
        <v>2.3147999999999995</v>
      </c>
      <c r="AI106" s="162">
        <v>2.3471999999999995</v>
      </c>
      <c r="AJ106" s="162">
        <v>2.3713999999999995</v>
      </c>
      <c r="AK106" s="162">
        <v>2.3911999999999995</v>
      </c>
      <c r="AL106" s="162">
        <v>2.4009999999999998</v>
      </c>
      <c r="AM106" s="162">
        <v>2.4107999999999996</v>
      </c>
      <c r="AN106" s="162">
        <v>2.4205999999999994</v>
      </c>
      <c r="AO106" s="162">
        <v>2.4303999999999997</v>
      </c>
      <c r="AP106" s="162">
        <v>2.4401999999999995</v>
      </c>
      <c r="AQ106" s="162">
        <v>2.4415999999999993</v>
      </c>
      <c r="AR106" s="162">
        <v>2.4429999999999992</v>
      </c>
      <c r="AS106" s="162">
        <v>2.4443999999999995</v>
      </c>
      <c r="AT106" s="162">
        <v>2.4457999999999998</v>
      </c>
      <c r="AU106" s="162">
        <v>2.4471999999999996</v>
      </c>
    </row>
    <row r="107" spans="1:47" ht="12.75" customHeight="1">
      <c r="A107" s="459">
        <v>41642</v>
      </c>
      <c r="B107" s="139">
        <v>1</v>
      </c>
      <c r="C107" s="162">
        <v>0.16449999999999995</v>
      </c>
      <c r="D107" s="162">
        <v>0.16449999999999995</v>
      </c>
      <c r="E107" s="162">
        <v>0.25479999999999992</v>
      </c>
      <c r="F107" s="162">
        <v>0.20479999999999993</v>
      </c>
      <c r="G107" s="162">
        <v>0.18189999999999998</v>
      </c>
      <c r="H107" s="162">
        <v>0.16959999999999997</v>
      </c>
      <c r="I107" s="162">
        <v>0.16539999999999999</v>
      </c>
      <c r="J107" s="162">
        <v>0.15425999999999995</v>
      </c>
      <c r="K107" s="162">
        <v>0.15495999999999999</v>
      </c>
      <c r="L107" s="162">
        <v>0.14599999999999996</v>
      </c>
      <c r="M107" s="162">
        <v>0.12945999999999999</v>
      </c>
      <c r="N107" s="162">
        <v>0.14361999999999997</v>
      </c>
      <c r="O107" s="162">
        <v>0.14455999999999997</v>
      </c>
      <c r="P107" s="162">
        <v>0.13699999999999998</v>
      </c>
      <c r="Q107" s="162">
        <v>0.15781999999999996</v>
      </c>
      <c r="R107" s="162">
        <v>0.15745999999999996</v>
      </c>
      <c r="S107" s="162">
        <v>0.19659999999999997</v>
      </c>
      <c r="T107" s="162">
        <v>0.40145999999999993</v>
      </c>
      <c r="U107" s="162">
        <v>0.62579999999999991</v>
      </c>
      <c r="V107" s="162">
        <v>0.86199999999999988</v>
      </c>
      <c r="W107" s="162">
        <v>1.0837999999999999</v>
      </c>
      <c r="X107" s="162">
        <v>1.2831999999999999</v>
      </c>
      <c r="Y107" s="162">
        <v>1.4658</v>
      </c>
      <c r="Z107" s="162">
        <v>1.6315999999999999</v>
      </c>
      <c r="AA107" s="162">
        <v>1.7786</v>
      </c>
      <c r="AB107" s="162">
        <v>1.9057999999999999</v>
      </c>
      <c r="AC107" s="162">
        <v>2.0159999999999996</v>
      </c>
      <c r="AD107" s="162">
        <v>2.1057999999999999</v>
      </c>
      <c r="AE107" s="162">
        <v>2.1859999999999999</v>
      </c>
      <c r="AF107" s="162">
        <v>2.2622</v>
      </c>
      <c r="AG107" s="162">
        <v>2.2970399999999995</v>
      </c>
      <c r="AH107" s="162">
        <v>2.3318799999999995</v>
      </c>
      <c r="AI107" s="162">
        <v>2.3667199999999995</v>
      </c>
      <c r="AJ107" s="162">
        <v>2.4015599999999999</v>
      </c>
      <c r="AK107" s="162">
        <v>2.4363999999999995</v>
      </c>
      <c r="AL107" s="162">
        <v>2.4471599999999993</v>
      </c>
      <c r="AM107" s="162">
        <v>2.4579199999999992</v>
      </c>
      <c r="AN107" s="162">
        <v>2.4686799999999995</v>
      </c>
      <c r="AO107" s="162">
        <v>2.4794399999999994</v>
      </c>
      <c r="AP107" s="162">
        <v>2.4901999999999993</v>
      </c>
      <c r="AQ107" s="162">
        <v>2.4919599999999997</v>
      </c>
      <c r="AR107" s="162">
        <v>2.4937199999999997</v>
      </c>
      <c r="AS107" s="162">
        <v>2.4954799999999993</v>
      </c>
      <c r="AT107" s="162">
        <v>2.4972399999999992</v>
      </c>
      <c r="AU107" s="162">
        <v>2.4989999999999997</v>
      </c>
    </row>
    <row r="108" spans="1:47" ht="12.75" customHeight="1">
      <c r="A108" s="459">
        <v>41649</v>
      </c>
      <c r="B108" s="139">
        <v>2</v>
      </c>
      <c r="C108" s="162">
        <v>0.27366666999999989</v>
      </c>
      <c r="D108" s="162">
        <v>0.27366666999999989</v>
      </c>
      <c r="E108" s="162">
        <v>0.14579999999999999</v>
      </c>
      <c r="F108" s="162">
        <v>0.14219999999999999</v>
      </c>
      <c r="G108" s="162">
        <v>0.15359999999999996</v>
      </c>
      <c r="H108" s="162">
        <v>0.15499999999999997</v>
      </c>
      <c r="I108" s="162">
        <v>0.15459999999999996</v>
      </c>
      <c r="J108" s="162">
        <v>0.15239999999999995</v>
      </c>
      <c r="K108" s="162">
        <v>0.15019999999999997</v>
      </c>
      <c r="L108" s="162">
        <v>0.13809999999999997</v>
      </c>
      <c r="M108" s="162">
        <v>0.14559999999999998</v>
      </c>
      <c r="N108" s="162">
        <v>0.14019999999999999</v>
      </c>
      <c r="O108" s="162">
        <v>0.1404</v>
      </c>
      <c r="P108" s="162">
        <v>0.14219999999999999</v>
      </c>
      <c r="Q108" s="162">
        <v>0.14419999999999997</v>
      </c>
      <c r="R108" s="162">
        <v>0.15089999999999995</v>
      </c>
      <c r="S108" s="162">
        <v>0.2198</v>
      </c>
      <c r="T108" s="162">
        <v>0.41199999999999992</v>
      </c>
      <c r="U108" s="162">
        <v>0.65079999999999982</v>
      </c>
      <c r="V108" s="162">
        <v>0.89299999999999979</v>
      </c>
      <c r="W108" s="162">
        <v>1.117</v>
      </c>
      <c r="X108" s="162">
        <v>1.3183999999999998</v>
      </c>
      <c r="Y108" s="162">
        <v>1.5013999999999998</v>
      </c>
      <c r="Z108" s="162">
        <v>1.6669999999999998</v>
      </c>
      <c r="AA108" s="162">
        <v>1.8139999999999998</v>
      </c>
      <c r="AB108" s="162">
        <v>1.9413999999999998</v>
      </c>
      <c r="AC108" s="162">
        <v>2.0513999999999997</v>
      </c>
      <c r="AD108" s="162">
        <v>2.1447999999999996</v>
      </c>
      <c r="AE108" s="162">
        <v>2.2249999999999996</v>
      </c>
      <c r="AF108" s="162">
        <v>2.2957999999999998</v>
      </c>
      <c r="AG108" s="162">
        <v>2.3649999999999998</v>
      </c>
      <c r="AH108" s="162">
        <v>2.4069999999999991</v>
      </c>
      <c r="AI108" s="162">
        <v>2.4389999999999992</v>
      </c>
      <c r="AJ108" s="162">
        <v>2.4629999999999992</v>
      </c>
      <c r="AK108" s="162">
        <v>2.4693999999999994</v>
      </c>
      <c r="AL108" s="162">
        <v>2.4795199999999995</v>
      </c>
      <c r="AM108" s="162">
        <v>2.4896399999999992</v>
      </c>
      <c r="AN108" s="162">
        <v>2.4997599999999998</v>
      </c>
      <c r="AO108" s="162">
        <v>2.5098799999999994</v>
      </c>
      <c r="AP108" s="162">
        <v>2.5199999999999996</v>
      </c>
      <c r="AQ108" s="162">
        <v>2.5222399999999991</v>
      </c>
      <c r="AR108" s="162">
        <v>2.5244799999999992</v>
      </c>
      <c r="AS108" s="162">
        <v>2.5267199999999992</v>
      </c>
      <c r="AT108" s="162">
        <v>2.5289599999999992</v>
      </c>
      <c r="AU108" s="162">
        <v>2.5311999999999997</v>
      </c>
    </row>
    <row r="109" spans="1:47" ht="12.75" customHeight="1">
      <c r="A109" s="459">
        <v>41656</v>
      </c>
      <c r="B109" s="139">
        <v>3</v>
      </c>
      <c r="C109" s="162">
        <v>0.122</v>
      </c>
      <c r="D109" s="162">
        <v>0.122</v>
      </c>
      <c r="E109" s="162">
        <v>0.15339999999999998</v>
      </c>
      <c r="F109" s="162">
        <v>0.15249999999999997</v>
      </c>
      <c r="G109" s="162">
        <v>0.15739999999999998</v>
      </c>
      <c r="H109" s="162">
        <v>0.15859999999999996</v>
      </c>
      <c r="I109" s="162">
        <v>0.15779999999999997</v>
      </c>
      <c r="J109" s="162">
        <v>0.15699999999999995</v>
      </c>
      <c r="K109" s="162">
        <v>0.15769999999999998</v>
      </c>
      <c r="L109" s="162">
        <v>0.15889999999999996</v>
      </c>
      <c r="M109" s="162">
        <v>0.15939999999999999</v>
      </c>
      <c r="N109" s="162">
        <v>0.15949999999999998</v>
      </c>
      <c r="O109" s="162">
        <v>0.16949999999999998</v>
      </c>
      <c r="P109" s="162">
        <v>0.15359999999999996</v>
      </c>
      <c r="Q109" s="162">
        <v>0.16099999999999995</v>
      </c>
      <c r="R109" s="162">
        <v>0.16279999999999994</v>
      </c>
      <c r="S109" s="162">
        <v>0.22679999999999995</v>
      </c>
      <c r="T109" s="162">
        <v>0.40565999999999991</v>
      </c>
      <c r="U109" s="162">
        <v>0.63679999999999981</v>
      </c>
      <c r="V109" s="162">
        <v>0.87659999999999982</v>
      </c>
      <c r="W109" s="162">
        <v>1.1013999999999999</v>
      </c>
      <c r="X109" s="162">
        <v>1.3046</v>
      </c>
      <c r="Y109" s="162">
        <v>1.4907999999999999</v>
      </c>
      <c r="Z109" s="162">
        <v>1.6576</v>
      </c>
      <c r="AA109" s="162">
        <v>1.8053999999999999</v>
      </c>
      <c r="AB109" s="162">
        <v>1.9336</v>
      </c>
      <c r="AC109" s="162">
        <v>2.0453999999999999</v>
      </c>
      <c r="AD109" s="162">
        <v>2.1407999999999996</v>
      </c>
      <c r="AE109" s="162">
        <v>2.2223999999999999</v>
      </c>
      <c r="AF109" s="162">
        <v>2.2899999999999996</v>
      </c>
      <c r="AG109" s="162">
        <v>2.3479999999999994</v>
      </c>
      <c r="AH109" s="162">
        <v>2.3907999999999996</v>
      </c>
      <c r="AI109" s="162">
        <v>2.4243999999999994</v>
      </c>
      <c r="AJ109" s="162">
        <v>2.4497999999999998</v>
      </c>
      <c r="AK109" s="162">
        <v>2.4717999999999996</v>
      </c>
      <c r="AL109" s="162">
        <v>2.4832399999999994</v>
      </c>
      <c r="AM109" s="162">
        <v>2.4946799999999993</v>
      </c>
      <c r="AN109" s="162">
        <v>2.5061199999999997</v>
      </c>
      <c r="AO109" s="162">
        <v>2.5175599999999996</v>
      </c>
      <c r="AP109" s="162">
        <v>2.5289999999999999</v>
      </c>
      <c r="AQ109" s="162">
        <v>2.5317999999999992</v>
      </c>
      <c r="AR109" s="162">
        <v>2.5345999999999993</v>
      </c>
      <c r="AS109" s="162">
        <v>2.5373999999999994</v>
      </c>
      <c r="AT109" s="162">
        <v>2.5401999999999996</v>
      </c>
      <c r="AU109" s="162">
        <v>2.5429999999999997</v>
      </c>
    </row>
    <row r="110" spans="1:47" ht="12.75" customHeight="1">
      <c r="A110" s="459">
        <v>41663</v>
      </c>
      <c r="B110" s="139">
        <v>4</v>
      </c>
      <c r="C110" s="162">
        <v>0.20249999999999996</v>
      </c>
      <c r="D110" s="162">
        <v>0.20249999999999996</v>
      </c>
      <c r="E110" s="162">
        <v>0.19919999999999993</v>
      </c>
      <c r="F110" s="162">
        <v>0.19989999999999997</v>
      </c>
      <c r="G110" s="162">
        <v>0.19059999999999996</v>
      </c>
      <c r="H110" s="162">
        <v>0.18975999999999996</v>
      </c>
      <c r="I110" s="162">
        <v>0.18569999999999998</v>
      </c>
      <c r="J110" s="162">
        <v>0.18015999999999996</v>
      </c>
      <c r="K110" s="162">
        <v>0.18049999999999997</v>
      </c>
      <c r="L110" s="162">
        <v>0.17989999999999998</v>
      </c>
      <c r="M110" s="162">
        <v>0.17706</v>
      </c>
      <c r="N110" s="162">
        <v>0.17579999999999998</v>
      </c>
      <c r="O110" s="162">
        <v>0.17159999999999997</v>
      </c>
      <c r="P110" s="162">
        <v>0.17429999999999995</v>
      </c>
      <c r="Q110" s="162">
        <v>0.16789999999999997</v>
      </c>
      <c r="R110" s="162">
        <v>0.17409999999999995</v>
      </c>
      <c r="S110" s="162">
        <v>0.22199999999999998</v>
      </c>
      <c r="T110" s="162">
        <v>0.36805999999999989</v>
      </c>
      <c r="U110" s="162">
        <v>0.59019999999999984</v>
      </c>
      <c r="V110" s="162">
        <v>0.81899999999999995</v>
      </c>
      <c r="W110" s="162">
        <v>1.0397999999999998</v>
      </c>
      <c r="X110" s="162">
        <v>1.2431999999999999</v>
      </c>
      <c r="Y110" s="162">
        <v>1.4278</v>
      </c>
      <c r="Z110" s="162">
        <v>1.5955999999999999</v>
      </c>
      <c r="AA110" s="162">
        <v>1.7442</v>
      </c>
      <c r="AB110" s="162">
        <v>1.8743999999999998</v>
      </c>
      <c r="AC110" s="162">
        <v>1.9875999999999998</v>
      </c>
      <c r="AD110" s="162">
        <v>2.0855999999999999</v>
      </c>
      <c r="AE110" s="162">
        <v>2.17</v>
      </c>
      <c r="AF110" s="162">
        <v>2.2397999999999998</v>
      </c>
      <c r="AG110" s="162">
        <v>2.2981999999999991</v>
      </c>
      <c r="AH110" s="162">
        <v>2.3433999999999995</v>
      </c>
      <c r="AI110" s="162">
        <v>2.3785999999999996</v>
      </c>
      <c r="AJ110" s="162">
        <v>2.4065999999999992</v>
      </c>
      <c r="AK110" s="162">
        <v>2.4297999999999993</v>
      </c>
      <c r="AL110" s="162">
        <v>2.4422799999999993</v>
      </c>
      <c r="AM110" s="162">
        <v>2.4547599999999994</v>
      </c>
      <c r="AN110" s="162">
        <v>2.4672399999999994</v>
      </c>
      <c r="AO110" s="162">
        <v>2.4797199999999995</v>
      </c>
      <c r="AP110" s="162">
        <v>2.4921999999999995</v>
      </c>
      <c r="AQ110" s="162">
        <v>2.4959199999999995</v>
      </c>
      <c r="AR110" s="162">
        <v>2.4996399999999994</v>
      </c>
      <c r="AS110" s="162">
        <v>2.5033599999999994</v>
      </c>
      <c r="AT110" s="162">
        <v>2.5070799999999998</v>
      </c>
      <c r="AU110" s="162">
        <v>2.5107999999999997</v>
      </c>
    </row>
    <row r="111" spans="1:47" ht="12.75" customHeight="1">
      <c r="A111" s="459">
        <v>41670</v>
      </c>
      <c r="B111" s="139">
        <v>5</v>
      </c>
      <c r="C111" s="162">
        <v>0.28949999999999992</v>
      </c>
      <c r="D111" s="162">
        <v>0.28949999999999992</v>
      </c>
      <c r="E111" s="162">
        <v>0.21689999999999993</v>
      </c>
      <c r="F111" s="162">
        <v>0.21219999999999997</v>
      </c>
      <c r="G111" s="162">
        <v>0.20075999999999991</v>
      </c>
      <c r="H111" s="162">
        <v>0.19655999999999996</v>
      </c>
      <c r="I111" s="162">
        <v>0.18931999999999996</v>
      </c>
      <c r="J111" s="162">
        <v>0.18469999999999995</v>
      </c>
      <c r="K111" s="162">
        <v>0.17815999999999996</v>
      </c>
      <c r="L111" s="162">
        <v>0.17199999999999996</v>
      </c>
      <c r="M111" s="162">
        <v>0.16879999999999995</v>
      </c>
      <c r="N111" s="162">
        <v>0.16639999999999996</v>
      </c>
      <c r="O111" s="162">
        <v>0.15975999999999999</v>
      </c>
      <c r="P111" s="162">
        <v>0.16195999999999997</v>
      </c>
      <c r="Q111" s="162">
        <v>0.16039999999999996</v>
      </c>
      <c r="R111" s="162">
        <v>0.16019999999999998</v>
      </c>
      <c r="S111" s="162">
        <v>0.19999999999999998</v>
      </c>
      <c r="T111" s="162">
        <v>0.33555999999999986</v>
      </c>
      <c r="U111" s="162">
        <v>0.53499999999999992</v>
      </c>
      <c r="V111" s="162">
        <v>0.75479999999999992</v>
      </c>
      <c r="W111" s="162">
        <v>0.97139999999999982</v>
      </c>
      <c r="X111" s="162">
        <v>1.1715</v>
      </c>
      <c r="Y111" s="162">
        <v>1.3539999999999999</v>
      </c>
      <c r="Z111" s="162">
        <v>1.5187999999999999</v>
      </c>
      <c r="AA111" s="162">
        <v>1.6647999999999998</v>
      </c>
      <c r="AB111" s="162">
        <v>1.7944</v>
      </c>
      <c r="AC111" s="162">
        <v>1.9067999999999998</v>
      </c>
      <c r="AD111" s="162">
        <v>2.0029999999999997</v>
      </c>
      <c r="AE111" s="162">
        <v>2.0869999999999997</v>
      </c>
      <c r="AF111" s="162">
        <v>2.1570999999999998</v>
      </c>
      <c r="AG111" s="162">
        <v>2.2173999999999996</v>
      </c>
      <c r="AH111" s="162">
        <v>2.2622</v>
      </c>
      <c r="AI111" s="162">
        <v>2.2973999999999997</v>
      </c>
      <c r="AJ111" s="162">
        <v>2.3247999999999998</v>
      </c>
      <c r="AK111" s="162">
        <v>2.3441999999999994</v>
      </c>
      <c r="AL111" s="162">
        <v>2.3568399999999996</v>
      </c>
      <c r="AM111" s="162">
        <v>2.3694799999999994</v>
      </c>
      <c r="AN111" s="162">
        <v>2.3821199999999991</v>
      </c>
      <c r="AO111" s="162">
        <v>2.3947599999999993</v>
      </c>
      <c r="AP111" s="162">
        <v>2.4073999999999995</v>
      </c>
      <c r="AQ111" s="162">
        <v>2.4111399999999996</v>
      </c>
      <c r="AR111" s="162">
        <v>2.4148799999999992</v>
      </c>
      <c r="AS111" s="162">
        <v>2.4186199999999993</v>
      </c>
      <c r="AT111" s="162">
        <v>2.4223599999999994</v>
      </c>
      <c r="AU111" s="162">
        <v>2.4260999999999995</v>
      </c>
    </row>
    <row r="112" spans="1:47" ht="12.75" customHeight="1">
      <c r="A112" s="459">
        <v>41677</v>
      </c>
      <c r="B112" s="139">
        <v>6</v>
      </c>
      <c r="C112" s="162">
        <v>0.16974999999999996</v>
      </c>
      <c r="D112" s="162">
        <v>0.16974999999999996</v>
      </c>
      <c r="E112" s="162">
        <v>0.18915999999999999</v>
      </c>
      <c r="F112" s="162">
        <v>0.17965999999999996</v>
      </c>
      <c r="G112" s="162">
        <v>0.19055999999999995</v>
      </c>
      <c r="H112" s="162">
        <v>0.18315999999999999</v>
      </c>
      <c r="I112" s="162">
        <v>0.17629999999999996</v>
      </c>
      <c r="J112" s="162">
        <v>0.16689999999999994</v>
      </c>
      <c r="K112" s="162">
        <v>0.16275999999999996</v>
      </c>
      <c r="L112" s="162">
        <v>0.15619999999999998</v>
      </c>
      <c r="M112" s="162">
        <v>0.15299999999999997</v>
      </c>
      <c r="N112" s="162">
        <v>0.14859999999999995</v>
      </c>
      <c r="O112" s="162">
        <v>0.14619999999999997</v>
      </c>
      <c r="P112" s="162">
        <v>0.14999999999999997</v>
      </c>
      <c r="Q112" s="162">
        <v>0.14489999999999995</v>
      </c>
      <c r="R112" s="162">
        <v>0.14379999999999998</v>
      </c>
      <c r="S112" s="162">
        <v>0.17219999999999996</v>
      </c>
      <c r="T112" s="162">
        <v>0.29785999999999985</v>
      </c>
      <c r="U112" s="162">
        <v>0.48779999999999984</v>
      </c>
      <c r="V112" s="162">
        <v>0.7013999999999998</v>
      </c>
      <c r="W112" s="162">
        <v>0.91299999999999981</v>
      </c>
      <c r="X112" s="162">
        <v>1.1112</v>
      </c>
      <c r="Y112" s="162">
        <v>1.2924</v>
      </c>
      <c r="Z112" s="162">
        <v>1.4555999999999998</v>
      </c>
      <c r="AA112" s="162">
        <v>1.6012</v>
      </c>
      <c r="AB112" s="162">
        <v>1.7282999999999999</v>
      </c>
      <c r="AC112" s="162">
        <v>1.8384999999999998</v>
      </c>
      <c r="AD112" s="162">
        <v>1.9348999999999998</v>
      </c>
      <c r="AE112" s="162">
        <v>2.0175999999999998</v>
      </c>
      <c r="AF112" s="162">
        <v>2.0858999999999996</v>
      </c>
      <c r="AG112" s="162">
        <v>2.1445999999999996</v>
      </c>
      <c r="AH112" s="162">
        <v>2.1887999999999996</v>
      </c>
      <c r="AI112" s="162">
        <v>2.2233999999999998</v>
      </c>
      <c r="AJ112" s="162">
        <v>2.25</v>
      </c>
      <c r="AK112" s="162">
        <v>2.2699999999999996</v>
      </c>
      <c r="AL112" s="162">
        <v>2.2825599999999997</v>
      </c>
      <c r="AM112" s="162">
        <v>2.2951199999999994</v>
      </c>
      <c r="AN112" s="162">
        <v>2.3076799999999995</v>
      </c>
      <c r="AO112" s="162">
        <v>2.3202399999999996</v>
      </c>
      <c r="AP112" s="162">
        <v>2.3327999999999998</v>
      </c>
      <c r="AQ112" s="162">
        <v>2.3364399999999996</v>
      </c>
      <c r="AR112" s="162">
        <v>2.3400799999999995</v>
      </c>
      <c r="AS112" s="162">
        <v>2.3437199999999994</v>
      </c>
      <c r="AT112" s="162">
        <v>2.3473599999999997</v>
      </c>
      <c r="AU112" s="162">
        <v>2.3509999999999995</v>
      </c>
    </row>
    <row r="113" spans="1:47" ht="12.75" customHeight="1">
      <c r="A113" s="459">
        <v>41684</v>
      </c>
      <c r="B113" s="139">
        <v>7</v>
      </c>
      <c r="C113" s="162">
        <v>0.13749999999999998</v>
      </c>
      <c r="D113" s="162">
        <v>0.13749999999999998</v>
      </c>
      <c r="E113" s="162">
        <v>0.17401999999999995</v>
      </c>
      <c r="F113" s="162">
        <v>0.17189999999999997</v>
      </c>
      <c r="G113" s="162">
        <v>0.17211999999999994</v>
      </c>
      <c r="H113" s="162">
        <v>0.15589999999999998</v>
      </c>
      <c r="I113" s="162">
        <v>0.14655999999999997</v>
      </c>
      <c r="J113" s="162">
        <v>0.13635999999999998</v>
      </c>
      <c r="K113" s="162">
        <v>0.12781999999999999</v>
      </c>
      <c r="L113" s="162">
        <v>0.12472</v>
      </c>
      <c r="M113" s="162">
        <v>0.12229999999999999</v>
      </c>
      <c r="N113" s="162">
        <v>0.1206</v>
      </c>
      <c r="O113" s="162">
        <v>0.1162</v>
      </c>
      <c r="P113" s="162">
        <v>0.11589999999999999</v>
      </c>
      <c r="Q113" s="162">
        <v>0.11499999999999999</v>
      </c>
      <c r="R113" s="162">
        <v>0.11409999999999999</v>
      </c>
      <c r="S113" s="162">
        <v>0.14739999999999998</v>
      </c>
      <c r="T113" s="162">
        <v>0.2651599999999999</v>
      </c>
      <c r="U113" s="162">
        <v>0.4423999999999999</v>
      </c>
      <c r="V113" s="162">
        <v>0.64989999999999992</v>
      </c>
      <c r="W113" s="162">
        <v>0.85659999999999981</v>
      </c>
      <c r="X113" s="162">
        <v>1.0523999999999998</v>
      </c>
      <c r="Y113" s="162">
        <v>1.2315999999999998</v>
      </c>
      <c r="Z113" s="162">
        <v>1.3945999999999998</v>
      </c>
      <c r="AA113" s="162">
        <v>1.5409999999999999</v>
      </c>
      <c r="AB113" s="162">
        <v>1.6687999999999998</v>
      </c>
      <c r="AC113" s="162">
        <v>1.7799999999999998</v>
      </c>
      <c r="AD113" s="162">
        <v>1.8772</v>
      </c>
      <c r="AE113" s="162">
        <v>1.9609999999999999</v>
      </c>
      <c r="AF113" s="162">
        <v>2.0305999999999997</v>
      </c>
      <c r="AG113" s="162">
        <v>2.0891999999999999</v>
      </c>
      <c r="AH113" s="162">
        <v>2.1337999999999999</v>
      </c>
      <c r="AI113" s="162">
        <v>2.1694</v>
      </c>
      <c r="AJ113" s="162">
        <v>2.1973999999999996</v>
      </c>
      <c r="AK113" s="162">
        <v>2.2185999999999999</v>
      </c>
      <c r="AL113" s="162">
        <v>2.2315999999999998</v>
      </c>
      <c r="AM113" s="162">
        <v>2.2445999999999997</v>
      </c>
      <c r="AN113" s="162">
        <v>2.2575999999999996</v>
      </c>
      <c r="AO113" s="162">
        <v>2.2706</v>
      </c>
      <c r="AP113" s="162">
        <v>2.2835999999999999</v>
      </c>
      <c r="AQ113" s="162">
        <v>2.2875999999999994</v>
      </c>
      <c r="AR113" s="162">
        <v>2.2915999999999994</v>
      </c>
      <c r="AS113" s="162">
        <v>2.2955999999999994</v>
      </c>
      <c r="AT113" s="162">
        <v>2.2995999999999994</v>
      </c>
      <c r="AU113" s="162">
        <v>2.3035999999999994</v>
      </c>
    </row>
    <row r="114" spans="1:47" ht="12.75" customHeight="1">
      <c r="A114" s="459">
        <v>41691</v>
      </c>
      <c r="B114" s="139">
        <v>8</v>
      </c>
      <c r="C114" s="162">
        <v>0.14449999999999996</v>
      </c>
      <c r="D114" s="162">
        <v>0.14449999999999996</v>
      </c>
      <c r="E114" s="162">
        <v>0.19305999999999993</v>
      </c>
      <c r="F114" s="162">
        <v>0.18959999999999999</v>
      </c>
      <c r="G114" s="162">
        <v>0.17221999999999993</v>
      </c>
      <c r="H114" s="162">
        <v>0.15923999999999996</v>
      </c>
      <c r="I114" s="162">
        <v>0.14697999999999997</v>
      </c>
      <c r="J114" s="162">
        <v>0.1404</v>
      </c>
      <c r="K114" s="162">
        <v>0.13085999999999998</v>
      </c>
      <c r="L114" s="162">
        <v>0.12639999999999998</v>
      </c>
      <c r="M114" s="162">
        <v>0.12189999999999999</v>
      </c>
      <c r="N114" s="162">
        <v>0.1195</v>
      </c>
      <c r="O114" s="162">
        <v>0.11639999999999999</v>
      </c>
      <c r="P114" s="162">
        <v>0.1123</v>
      </c>
      <c r="Q114" s="162">
        <v>0.11399999999999999</v>
      </c>
      <c r="R114" s="162">
        <v>0.11289999999999999</v>
      </c>
      <c r="S114" s="162">
        <v>0.14199999999999999</v>
      </c>
      <c r="T114" s="162">
        <v>0.26189999999999986</v>
      </c>
      <c r="U114" s="162">
        <v>0.44799999999999995</v>
      </c>
      <c r="V114" s="162">
        <v>0.65399999999999991</v>
      </c>
      <c r="W114" s="162">
        <v>0.86149999999999993</v>
      </c>
      <c r="X114" s="162">
        <v>1.0606</v>
      </c>
      <c r="Y114" s="162">
        <v>1.2429999999999999</v>
      </c>
      <c r="Z114" s="162">
        <v>1.4089999999999998</v>
      </c>
      <c r="AA114" s="162">
        <v>1.5557999999999998</v>
      </c>
      <c r="AB114" s="162">
        <v>1.6856</v>
      </c>
      <c r="AC114" s="162">
        <v>1.7981999999999998</v>
      </c>
      <c r="AD114" s="162">
        <v>1.8967999999999998</v>
      </c>
      <c r="AE114" s="162">
        <v>1.9811999999999999</v>
      </c>
      <c r="AF114" s="162">
        <v>2.0511999999999997</v>
      </c>
      <c r="AG114" s="162">
        <v>2.1093999999999999</v>
      </c>
      <c r="AH114" s="162">
        <v>2.1549999999999998</v>
      </c>
      <c r="AI114" s="162">
        <v>2.1909999999999998</v>
      </c>
      <c r="AJ114" s="162">
        <v>2.2199999999999998</v>
      </c>
      <c r="AK114" s="162">
        <v>2.2417999999999996</v>
      </c>
      <c r="AL114" s="162">
        <v>2.2553199999999998</v>
      </c>
      <c r="AM114" s="162">
        <v>2.26884</v>
      </c>
      <c r="AN114" s="162">
        <v>2.2823599999999997</v>
      </c>
      <c r="AO114" s="162">
        <v>2.2958799999999995</v>
      </c>
      <c r="AP114" s="162">
        <v>2.3093999999999992</v>
      </c>
      <c r="AQ114" s="162">
        <v>2.3139999999999992</v>
      </c>
      <c r="AR114" s="162">
        <v>2.3186</v>
      </c>
      <c r="AS114" s="162">
        <v>2.3231999999999999</v>
      </c>
      <c r="AT114" s="162">
        <v>2.3277999999999999</v>
      </c>
      <c r="AU114" s="162">
        <v>2.3323999999999998</v>
      </c>
    </row>
    <row r="115" spans="1:47" ht="12.75" customHeight="1">
      <c r="A115" s="459">
        <v>41698</v>
      </c>
      <c r="B115" s="139">
        <v>9</v>
      </c>
      <c r="C115" s="162">
        <v>0.15899999999999995</v>
      </c>
      <c r="D115" s="162">
        <v>0.15899999999999995</v>
      </c>
      <c r="E115" s="162">
        <v>0.18633999999999998</v>
      </c>
      <c r="F115" s="162">
        <v>0.18475999999999992</v>
      </c>
      <c r="G115" s="162">
        <v>0.16213999999999998</v>
      </c>
      <c r="H115" s="162">
        <v>0.14809999999999998</v>
      </c>
      <c r="I115" s="162">
        <v>0.13532</v>
      </c>
      <c r="J115" s="162">
        <v>0.12855999999999998</v>
      </c>
      <c r="K115" s="162">
        <v>0.12259999999999999</v>
      </c>
      <c r="L115" s="162">
        <v>0.11849999999999999</v>
      </c>
      <c r="M115" s="162">
        <v>0.11373999999999999</v>
      </c>
      <c r="N115" s="162">
        <v>0.11185999999999999</v>
      </c>
      <c r="O115" s="162">
        <v>0.10719999999999999</v>
      </c>
      <c r="P115" s="162">
        <v>0.10995999999999999</v>
      </c>
      <c r="Q115" s="162">
        <v>0.10746</v>
      </c>
      <c r="R115" s="162">
        <v>0.1055</v>
      </c>
      <c r="S115" s="162">
        <v>0.13979999999999998</v>
      </c>
      <c r="T115" s="162">
        <v>0.25649999999999995</v>
      </c>
      <c r="U115" s="162">
        <v>0.43859999999999988</v>
      </c>
      <c r="V115" s="162">
        <v>0.64349999999999996</v>
      </c>
      <c r="W115" s="162">
        <v>0.84989999999999988</v>
      </c>
      <c r="X115" s="162">
        <v>1.0489999999999999</v>
      </c>
      <c r="Y115" s="162">
        <v>1.2335999999999998</v>
      </c>
      <c r="Z115" s="162">
        <v>1.3995</v>
      </c>
      <c r="AA115" s="162">
        <v>1.5488999999999999</v>
      </c>
      <c r="AB115" s="162">
        <v>1.6805999999999999</v>
      </c>
      <c r="AC115" s="162">
        <v>1.7952999999999999</v>
      </c>
      <c r="AD115" s="162">
        <v>1.8945999999999998</v>
      </c>
      <c r="AE115" s="162">
        <v>1.9802</v>
      </c>
      <c r="AF115" s="162">
        <v>2.0526999999999997</v>
      </c>
      <c r="AG115" s="162">
        <v>2.1135999999999999</v>
      </c>
      <c r="AH115" s="162">
        <v>2.1597999999999997</v>
      </c>
      <c r="AI115" s="162">
        <v>2.1978</v>
      </c>
      <c r="AJ115" s="162">
        <v>2.2273999999999998</v>
      </c>
      <c r="AK115" s="162">
        <v>2.2485999999999997</v>
      </c>
      <c r="AL115" s="162">
        <v>2.2626799999999996</v>
      </c>
      <c r="AM115" s="162">
        <v>2.2767599999999999</v>
      </c>
      <c r="AN115" s="162">
        <v>2.2908399999999998</v>
      </c>
      <c r="AO115" s="162">
        <v>2.3049199999999996</v>
      </c>
      <c r="AP115" s="162">
        <v>2.3189999999999995</v>
      </c>
      <c r="AQ115" s="162">
        <v>2.3241999999999994</v>
      </c>
      <c r="AR115" s="162">
        <v>2.3293999999999997</v>
      </c>
      <c r="AS115" s="162">
        <v>2.3345999999999996</v>
      </c>
      <c r="AT115" s="162">
        <v>2.3397999999999994</v>
      </c>
      <c r="AU115" s="162">
        <v>2.3449999999999998</v>
      </c>
    </row>
    <row r="116" spans="1:47" ht="12.75" customHeight="1">
      <c r="A116" s="459">
        <v>41705</v>
      </c>
      <c r="B116" s="139">
        <v>10</v>
      </c>
      <c r="C116" s="162">
        <v>0.16766666999999993</v>
      </c>
      <c r="D116" s="162">
        <v>0.16766666999999993</v>
      </c>
      <c r="E116" s="162">
        <v>0.18687499999999996</v>
      </c>
      <c r="F116" s="162">
        <v>0.18812499999999996</v>
      </c>
      <c r="G116" s="162">
        <v>0.15702499999999997</v>
      </c>
      <c r="H116" s="162">
        <v>0.14399999999999996</v>
      </c>
      <c r="I116" s="162">
        <v>0.13369999999999999</v>
      </c>
      <c r="J116" s="162">
        <v>0.12819999999999998</v>
      </c>
      <c r="K116" s="162">
        <v>0.123875</v>
      </c>
      <c r="L116" s="162">
        <v>0.12169999999999999</v>
      </c>
      <c r="M116" s="162">
        <v>0.11597499999999999</v>
      </c>
      <c r="N116" s="162">
        <v>0.11387499999999999</v>
      </c>
      <c r="O116" s="162">
        <v>0.11082499999999999</v>
      </c>
      <c r="P116" s="162">
        <v>0.11137499999999999</v>
      </c>
      <c r="Q116" s="162">
        <v>0.10919999999999999</v>
      </c>
      <c r="R116" s="162">
        <v>0.11024999999999999</v>
      </c>
      <c r="S116" s="162">
        <v>0.14249999999999999</v>
      </c>
      <c r="T116" s="162">
        <v>0.25744999999999996</v>
      </c>
      <c r="U116" s="162">
        <v>0.43299999999999988</v>
      </c>
      <c r="V116" s="162">
        <v>0.62949999999999995</v>
      </c>
      <c r="W116" s="162">
        <v>0.83049999999999979</v>
      </c>
      <c r="X116" s="162">
        <v>1.02325</v>
      </c>
      <c r="Y116" s="162">
        <v>1.204</v>
      </c>
      <c r="Z116" s="162">
        <v>1.3677499999999998</v>
      </c>
      <c r="AA116" s="162">
        <v>1.5149999999999999</v>
      </c>
      <c r="AB116" s="162">
        <v>1.6475</v>
      </c>
      <c r="AC116" s="162">
        <v>1.7619999999999998</v>
      </c>
      <c r="AD116" s="162">
        <v>1.8614999999999999</v>
      </c>
      <c r="AE116" s="162">
        <v>1.9469999999999998</v>
      </c>
      <c r="AF116" s="162">
        <v>2.0187499999999998</v>
      </c>
      <c r="AG116" s="162">
        <v>2.0772499999999998</v>
      </c>
      <c r="AH116" s="162">
        <v>2.12425</v>
      </c>
      <c r="AI116" s="162">
        <v>2.1617499999999996</v>
      </c>
      <c r="AJ116" s="162">
        <v>2.1909999999999998</v>
      </c>
      <c r="AK116" s="162">
        <v>2.2159999999999997</v>
      </c>
      <c r="AL116" s="162">
        <v>2.2301249999999997</v>
      </c>
      <c r="AM116" s="162">
        <v>2.2442499999999996</v>
      </c>
      <c r="AN116" s="162">
        <v>2.2583749999999996</v>
      </c>
      <c r="AO116" s="162">
        <v>2.2725</v>
      </c>
      <c r="AP116" s="162">
        <v>2.2866249999999995</v>
      </c>
      <c r="AQ116" s="162">
        <v>2.2916999999999996</v>
      </c>
      <c r="AR116" s="162">
        <v>2.2967749999999993</v>
      </c>
      <c r="AS116" s="162">
        <v>2.3018499999999995</v>
      </c>
      <c r="AT116" s="162">
        <v>2.3069249999999997</v>
      </c>
      <c r="AU116" s="162">
        <v>2.3119999999999994</v>
      </c>
    </row>
    <row r="117" spans="1:47" ht="12.75" customHeight="1">
      <c r="A117" s="459">
        <v>41712</v>
      </c>
      <c r="B117" s="139">
        <v>11</v>
      </c>
      <c r="C117" s="162">
        <v>0.15899999999999995</v>
      </c>
      <c r="D117" s="162">
        <v>0.15899999999999995</v>
      </c>
      <c r="E117" s="162">
        <v>0.15881999999999996</v>
      </c>
      <c r="F117" s="162">
        <v>0.16001999999999997</v>
      </c>
      <c r="G117" s="162">
        <v>0.15435999999999997</v>
      </c>
      <c r="H117" s="162">
        <v>0.14799999999999996</v>
      </c>
      <c r="I117" s="162">
        <v>0.1404</v>
      </c>
      <c r="J117" s="162">
        <v>0.13749999999999998</v>
      </c>
      <c r="K117" s="162">
        <v>0.13255999999999998</v>
      </c>
      <c r="L117" s="162">
        <v>0.13019999999999998</v>
      </c>
      <c r="M117" s="162">
        <v>0.12709999999999999</v>
      </c>
      <c r="N117" s="162">
        <v>0.12689999999999999</v>
      </c>
      <c r="O117" s="162">
        <v>0.1235</v>
      </c>
      <c r="P117" s="162">
        <v>0.12359999999999999</v>
      </c>
      <c r="Q117" s="162">
        <v>0.12559999999999999</v>
      </c>
      <c r="R117" s="162">
        <v>0.12559999999999999</v>
      </c>
      <c r="S117" s="162">
        <v>0.16459999999999997</v>
      </c>
      <c r="T117" s="162">
        <v>0.27839999999999998</v>
      </c>
      <c r="U117" s="162">
        <v>0.44779999999999998</v>
      </c>
      <c r="V117" s="162">
        <v>0.63569999999999993</v>
      </c>
      <c r="W117" s="162">
        <v>0.8294999999999999</v>
      </c>
      <c r="X117" s="162">
        <v>1.0165999999999999</v>
      </c>
      <c r="Y117" s="162">
        <v>1.1922999999999999</v>
      </c>
      <c r="Z117" s="162">
        <v>1.3523999999999998</v>
      </c>
      <c r="AA117" s="162">
        <v>1.4970999999999999</v>
      </c>
      <c r="AB117" s="162">
        <v>1.6265999999999998</v>
      </c>
      <c r="AC117" s="162">
        <v>1.7394999999999998</v>
      </c>
      <c r="AD117" s="162">
        <v>1.8361999999999998</v>
      </c>
      <c r="AE117" s="162">
        <v>1.9198</v>
      </c>
      <c r="AF117" s="162">
        <v>1.9945999999999999</v>
      </c>
      <c r="AG117" s="162">
        <v>2.0553999999999997</v>
      </c>
      <c r="AH117" s="162">
        <v>2.1019999999999999</v>
      </c>
      <c r="AI117" s="162">
        <v>2.1385999999999998</v>
      </c>
      <c r="AJ117" s="162">
        <v>2.1677999999999997</v>
      </c>
      <c r="AK117" s="162">
        <v>2.1888999999999998</v>
      </c>
      <c r="AL117" s="162">
        <v>2.2029199999999998</v>
      </c>
      <c r="AM117" s="162">
        <v>2.2169399999999997</v>
      </c>
      <c r="AN117" s="162">
        <v>2.2309599999999996</v>
      </c>
      <c r="AO117" s="162">
        <v>2.24498</v>
      </c>
      <c r="AP117" s="162">
        <v>2.2589999999999999</v>
      </c>
      <c r="AQ117" s="162">
        <v>2.2632999999999996</v>
      </c>
      <c r="AR117" s="162">
        <v>2.2675999999999998</v>
      </c>
      <c r="AS117" s="162">
        <v>2.2718999999999996</v>
      </c>
      <c r="AT117" s="162">
        <v>2.2761999999999998</v>
      </c>
      <c r="AU117" s="162">
        <v>2.2805</v>
      </c>
    </row>
    <row r="118" spans="1:47" ht="12.75" customHeight="1">
      <c r="A118" s="459">
        <v>41719</v>
      </c>
      <c r="B118" s="139">
        <v>12</v>
      </c>
      <c r="C118" s="162">
        <v>0.17</v>
      </c>
      <c r="D118" s="162">
        <v>0.17</v>
      </c>
      <c r="E118" s="162">
        <v>0.17862</v>
      </c>
      <c r="F118" s="162">
        <v>0.18015999999999999</v>
      </c>
      <c r="G118" s="162">
        <v>0.17863999999999999</v>
      </c>
      <c r="H118" s="162">
        <v>0.17369999999999999</v>
      </c>
      <c r="I118" s="162">
        <v>0.16639999999999999</v>
      </c>
      <c r="J118" s="162">
        <v>0.16300000000000001</v>
      </c>
      <c r="K118" s="162">
        <v>0.16162000000000001</v>
      </c>
      <c r="L118" s="162">
        <v>0.15679999999999999</v>
      </c>
      <c r="M118" s="162">
        <v>0.15448000000000001</v>
      </c>
      <c r="N118" s="162">
        <v>0.15148</v>
      </c>
      <c r="O118" s="162">
        <v>0.14929999999999999</v>
      </c>
      <c r="P118" s="162">
        <v>0.15026</v>
      </c>
      <c r="Q118" s="162">
        <v>0.1487</v>
      </c>
      <c r="R118" s="162">
        <v>0.14810000000000001</v>
      </c>
      <c r="S118" s="162">
        <v>0.1726</v>
      </c>
      <c r="T118" s="162">
        <v>0.27626000000000001</v>
      </c>
      <c r="U118" s="162">
        <v>0.43680000000000002</v>
      </c>
      <c r="V118" s="162">
        <v>0.62060000000000004</v>
      </c>
      <c r="W118" s="162">
        <v>0.81200000000000006</v>
      </c>
      <c r="X118" s="162">
        <v>0.99950000000000006</v>
      </c>
      <c r="Y118" s="162">
        <v>1.1782999999999999</v>
      </c>
      <c r="Z118" s="162">
        <v>1.34</v>
      </c>
      <c r="AA118" s="162">
        <v>1.4862</v>
      </c>
      <c r="AB118" s="162">
        <v>1.6172</v>
      </c>
      <c r="AC118" s="162">
        <v>1.7332000000000001</v>
      </c>
      <c r="AD118" s="162">
        <v>1.8317000000000001</v>
      </c>
      <c r="AE118" s="162">
        <v>1.9172</v>
      </c>
      <c r="AF118" s="162">
        <v>1.9919</v>
      </c>
      <c r="AG118" s="162">
        <v>2.0501999999999998</v>
      </c>
      <c r="AH118" s="162">
        <v>2.0981999999999998</v>
      </c>
      <c r="AI118" s="162">
        <v>2.1368</v>
      </c>
      <c r="AJ118" s="162">
        <v>2.1680000000000001</v>
      </c>
      <c r="AK118" s="162">
        <v>2.1930999999999998</v>
      </c>
      <c r="AL118" s="162">
        <v>2.2080799999999998</v>
      </c>
      <c r="AM118" s="162">
        <v>2.2230599999999998</v>
      </c>
      <c r="AN118" s="162">
        <v>2.2380399999999998</v>
      </c>
      <c r="AO118" s="162">
        <v>2.2530199999999998</v>
      </c>
      <c r="AP118" s="162">
        <v>2.2679999999999998</v>
      </c>
      <c r="AQ118" s="162">
        <v>2.2732399999999999</v>
      </c>
      <c r="AR118" s="162">
        <v>2.2784800000000001</v>
      </c>
      <c r="AS118" s="162">
        <v>2.2837200000000002</v>
      </c>
      <c r="AT118" s="162">
        <v>2.2889599999999999</v>
      </c>
      <c r="AU118" s="162">
        <v>2.2942</v>
      </c>
    </row>
    <row r="119" spans="1:47" ht="12.75" customHeight="1">
      <c r="A119" s="459">
        <v>41726</v>
      </c>
      <c r="B119" s="139">
        <v>13</v>
      </c>
      <c r="C119" s="162">
        <v>0.16325000000000001</v>
      </c>
      <c r="D119" s="162">
        <v>0.16325000000000001</v>
      </c>
      <c r="E119" s="162">
        <v>0.19089999999999999</v>
      </c>
      <c r="F119" s="162">
        <v>0.19245999999999999</v>
      </c>
      <c r="G119" s="162">
        <v>0.19342000000000001</v>
      </c>
      <c r="H119" s="162">
        <v>0.18809999999999999</v>
      </c>
      <c r="I119" s="162">
        <v>0.18279999999999999</v>
      </c>
      <c r="J119" s="162">
        <v>0.1807</v>
      </c>
      <c r="K119" s="162">
        <v>0.1784</v>
      </c>
      <c r="L119" s="162">
        <v>0.17660000000000001</v>
      </c>
      <c r="M119" s="162">
        <v>0.17469999999999999</v>
      </c>
      <c r="N119" s="162">
        <v>0.17180000000000001</v>
      </c>
      <c r="O119" s="162">
        <v>0.17119999999999999</v>
      </c>
      <c r="P119" s="162">
        <v>0.17050000000000001</v>
      </c>
      <c r="Q119" s="162">
        <v>0.1706</v>
      </c>
      <c r="R119" s="162">
        <v>0.1714</v>
      </c>
      <c r="S119" s="162">
        <v>0.20599999999999999</v>
      </c>
      <c r="T119" s="162">
        <v>0.313</v>
      </c>
      <c r="U119" s="162">
        <v>0.47310000000000002</v>
      </c>
      <c r="V119" s="162">
        <v>0.65569999999999995</v>
      </c>
      <c r="W119" s="162">
        <v>0.84389999999999998</v>
      </c>
      <c r="X119" s="162">
        <v>1.0273000000000001</v>
      </c>
      <c r="Y119" s="162">
        <v>1.202</v>
      </c>
      <c r="Z119" s="162">
        <v>1.3620000000000001</v>
      </c>
      <c r="AA119" s="162">
        <v>1.5069999999999999</v>
      </c>
      <c r="AB119" s="162">
        <v>1.6358999999999999</v>
      </c>
      <c r="AC119" s="162">
        <v>1.7496</v>
      </c>
      <c r="AD119" s="162">
        <v>1.849</v>
      </c>
      <c r="AE119" s="162">
        <v>1.9336</v>
      </c>
      <c r="AF119" s="162">
        <v>2.0055999999999998</v>
      </c>
      <c r="AG119" s="162">
        <v>2.0672000000000001</v>
      </c>
      <c r="AH119" s="162">
        <v>2.1152000000000002</v>
      </c>
      <c r="AI119" s="162">
        <v>2.1537999999999999</v>
      </c>
      <c r="AJ119" s="162">
        <v>2.1852</v>
      </c>
      <c r="AK119" s="162">
        <v>2.2075999999999998</v>
      </c>
      <c r="AL119" s="162">
        <v>2.2225600000000001</v>
      </c>
      <c r="AM119" s="162">
        <v>2.23752</v>
      </c>
      <c r="AN119" s="162">
        <v>2.2524799999999998</v>
      </c>
      <c r="AO119" s="162">
        <v>2.2674400000000001</v>
      </c>
      <c r="AP119" s="162">
        <v>2.2824</v>
      </c>
      <c r="AQ119" s="162">
        <v>2.2873000000000001</v>
      </c>
      <c r="AR119" s="162">
        <v>2.2921999999999998</v>
      </c>
      <c r="AS119" s="162">
        <v>2.2970999999999999</v>
      </c>
      <c r="AT119" s="162">
        <v>2.302</v>
      </c>
      <c r="AU119" s="162">
        <v>2.3069000000000002</v>
      </c>
    </row>
    <row r="120" spans="1:47" ht="12.75" customHeight="1">
      <c r="A120" s="459">
        <v>41733</v>
      </c>
      <c r="B120" s="139">
        <v>14</v>
      </c>
      <c r="C120" s="162">
        <v>0.17150000000000001</v>
      </c>
      <c r="D120" s="162">
        <v>0.17150000000000001</v>
      </c>
      <c r="E120" s="162">
        <v>0.19596</v>
      </c>
      <c r="F120" s="162">
        <v>0.19245999999999999</v>
      </c>
      <c r="G120" s="162">
        <v>0.18198</v>
      </c>
      <c r="H120" s="162">
        <v>0.1757</v>
      </c>
      <c r="I120" s="162">
        <v>0.16900000000000001</v>
      </c>
      <c r="J120" s="162">
        <v>0.1648</v>
      </c>
      <c r="K120" s="162">
        <v>0.161</v>
      </c>
      <c r="L120" s="162">
        <v>0.15728</v>
      </c>
      <c r="M120" s="162">
        <v>0.15590000000000001</v>
      </c>
      <c r="N120" s="162">
        <v>0.1502</v>
      </c>
      <c r="O120" s="162">
        <v>0.15201999999999999</v>
      </c>
      <c r="P120" s="162">
        <v>0.15040000000000001</v>
      </c>
      <c r="Q120" s="162">
        <v>0.14876</v>
      </c>
      <c r="R120" s="162">
        <v>0.1479</v>
      </c>
      <c r="S120" s="162">
        <v>0.1794</v>
      </c>
      <c r="T120" s="162">
        <v>0.28489999999999999</v>
      </c>
      <c r="U120" s="162">
        <v>0.43919999999999998</v>
      </c>
      <c r="V120" s="162">
        <v>0.61680000000000001</v>
      </c>
      <c r="W120" s="162">
        <v>0.80110000000000003</v>
      </c>
      <c r="X120" s="162">
        <v>0.98170000000000002</v>
      </c>
      <c r="Y120" s="162">
        <v>1.1528</v>
      </c>
      <c r="Z120" s="162">
        <v>1.3109999999999999</v>
      </c>
      <c r="AA120" s="162">
        <v>1.4528000000000001</v>
      </c>
      <c r="AB120" s="162">
        <v>1.5817000000000001</v>
      </c>
      <c r="AC120" s="162">
        <v>1.6954</v>
      </c>
      <c r="AD120" s="162">
        <v>1.7922</v>
      </c>
      <c r="AE120" s="162">
        <v>1.8768</v>
      </c>
      <c r="AF120" s="162">
        <v>1.9518</v>
      </c>
      <c r="AG120" s="162">
        <v>2.0093999999999999</v>
      </c>
      <c r="AH120" s="162">
        <v>2.0575999999999999</v>
      </c>
      <c r="AI120" s="162">
        <v>2.0960000000000001</v>
      </c>
      <c r="AJ120" s="162">
        <v>2.1269999999999998</v>
      </c>
      <c r="AK120" s="162">
        <v>2.1522000000000001</v>
      </c>
      <c r="AL120" s="162">
        <v>2.1671999999999998</v>
      </c>
      <c r="AM120" s="162">
        <v>2.1821999999999999</v>
      </c>
      <c r="AN120" s="162">
        <v>2.1972</v>
      </c>
      <c r="AO120" s="162">
        <v>2.2122000000000002</v>
      </c>
      <c r="AP120" s="162">
        <v>2.2271999999999998</v>
      </c>
      <c r="AQ120" s="162">
        <v>2.2321</v>
      </c>
      <c r="AR120" s="162">
        <v>2.2370000000000001</v>
      </c>
      <c r="AS120" s="162">
        <v>2.2418999999999998</v>
      </c>
      <c r="AT120" s="162">
        <v>2.2467999999999999</v>
      </c>
      <c r="AU120" s="162">
        <v>2.2517</v>
      </c>
    </row>
    <row r="121" spans="1:47" ht="12.75" customHeight="1">
      <c r="A121" s="459">
        <v>41740</v>
      </c>
      <c r="B121" s="139">
        <v>15</v>
      </c>
      <c r="C121" s="162">
        <v>0.32800000000000001</v>
      </c>
      <c r="D121" s="162">
        <v>0.32800000000000001</v>
      </c>
      <c r="E121" s="162">
        <v>0.20641999999999999</v>
      </c>
      <c r="F121" s="162">
        <v>0.20830000000000001</v>
      </c>
      <c r="G121" s="162">
        <v>0.20222000000000001</v>
      </c>
      <c r="H121" s="162">
        <v>0.18720000000000001</v>
      </c>
      <c r="I121" s="162">
        <v>0.17978</v>
      </c>
      <c r="J121" s="162">
        <v>0.17230000000000001</v>
      </c>
      <c r="K121" s="162">
        <v>0.17019999999999999</v>
      </c>
      <c r="L121" s="162">
        <v>0.1668</v>
      </c>
      <c r="M121" s="162">
        <v>0.16420000000000001</v>
      </c>
      <c r="N121" s="162">
        <v>0.161</v>
      </c>
      <c r="O121" s="162">
        <v>0.16159999999999999</v>
      </c>
      <c r="P121" s="162">
        <v>0.15798000000000001</v>
      </c>
      <c r="Q121" s="162">
        <v>0.15840000000000001</v>
      </c>
      <c r="R121" s="162">
        <v>0.1605</v>
      </c>
      <c r="S121" s="162">
        <v>0.20219999999999999</v>
      </c>
      <c r="T121" s="162">
        <v>0.3155</v>
      </c>
      <c r="U121" s="162">
        <v>0.47089999999999999</v>
      </c>
      <c r="V121" s="162">
        <v>0.64759999999999995</v>
      </c>
      <c r="W121" s="162">
        <v>0.82899999999999996</v>
      </c>
      <c r="X121" s="162">
        <v>1.0088999999999999</v>
      </c>
      <c r="Y121" s="162">
        <v>1.1779999999999999</v>
      </c>
      <c r="Z121" s="162">
        <v>1.3341000000000001</v>
      </c>
      <c r="AA121" s="162">
        <v>1.4748000000000001</v>
      </c>
      <c r="AB121" s="162">
        <v>1.6020000000000001</v>
      </c>
      <c r="AC121" s="162">
        <v>1.7146999999999999</v>
      </c>
      <c r="AD121" s="162">
        <v>1.8138000000000001</v>
      </c>
      <c r="AE121" s="162">
        <v>1.8977999999999999</v>
      </c>
      <c r="AF121" s="162">
        <v>1.9699</v>
      </c>
      <c r="AG121" s="162">
        <v>2.0295999999999998</v>
      </c>
      <c r="AH121" s="162">
        <v>2.0775999999999999</v>
      </c>
      <c r="AI121" s="162">
        <v>2.1162000000000001</v>
      </c>
      <c r="AJ121" s="162">
        <v>2.1476000000000002</v>
      </c>
      <c r="AK121" s="162">
        <v>2.1720000000000002</v>
      </c>
      <c r="AL121" s="162">
        <v>2.1869200000000002</v>
      </c>
      <c r="AM121" s="162">
        <v>2.2018399999999998</v>
      </c>
      <c r="AN121" s="162">
        <v>2.2167599999999998</v>
      </c>
      <c r="AO121" s="162">
        <v>2.2316799999999999</v>
      </c>
      <c r="AP121" s="162">
        <v>2.2465999999999999</v>
      </c>
      <c r="AQ121" s="162">
        <v>2.2516799999999999</v>
      </c>
      <c r="AR121" s="162">
        <v>2.2567599999999999</v>
      </c>
      <c r="AS121" s="162">
        <v>2.2618399999999999</v>
      </c>
      <c r="AT121" s="162">
        <v>2.2669199999999998</v>
      </c>
      <c r="AU121" s="162">
        <v>2.2719999999999998</v>
      </c>
    </row>
    <row r="122" spans="1:47" ht="12.75" customHeight="1">
      <c r="A122" s="459">
        <v>41746</v>
      </c>
      <c r="B122" s="139">
        <v>16</v>
      </c>
      <c r="C122" s="162">
        <v>0.214</v>
      </c>
      <c r="D122" s="162">
        <v>0.214</v>
      </c>
      <c r="E122" s="162">
        <v>0.23146</v>
      </c>
      <c r="F122" s="162">
        <v>0.23172000000000001</v>
      </c>
      <c r="G122" s="162">
        <v>0.21628</v>
      </c>
      <c r="H122" s="162">
        <v>0.2054</v>
      </c>
      <c r="I122" s="162">
        <v>0.18906000000000001</v>
      </c>
      <c r="J122" s="162">
        <v>0.17879999999999999</v>
      </c>
      <c r="K122" s="162">
        <v>0.17277999999999999</v>
      </c>
      <c r="L122" s="162">
        <v>0.1658</v>
      </c>
      <c r="M122" s="162">
        <v>0.1608</v>
      </c>
      <c r="N122" s="162">
        <v>0.1547</v>
      </c>
      <c r="O122" s="162">
        <v>0.15440000000000001</v>
      </c>
      <c r="P122" s="162">
        <v>0.15118000000000001</v>
      </c>
      <c r="Q122" s="162">
        <v>0.1502</v>
      </c>
      <c r="R122" s="162">
        <v>0.15090000000000001</v>
      </c>
      <c r="S122" s="162">
        <v>0.18160000000000001</v>
      </c>
      <c r="T122" s="162">
        <v>0.28639999999999999</v>
      </c>
      <c r="U122" s="162">
        <v>0.43509999999999999</v>
      </c>
      <c r="V122" s="162">
        <v>0.60799999999999998</v>
      </c>
      <c r="W122" s="162">
        <v>0.78739999999999999</v>
      </c>
      <c r="X122" s="162">
        <v>0.96450000000000002</v>
      </c>
      <c r="Y122" s="162">
        <v>1.1335999999999999</v>
      </c>
      <c r="Z122" s="162">
        <v>1.2897000000000001</v>
      </c>
      <c r="AA122" s="162">
        <v>1.43</v>
      </c>
      <c r="AB122" s="162">
        <v>1.5573999999999999</v>
      </c>
      <c r="AC122" s="162">
        <v>1.6708000000000001</v>
      </c>
      <c r="AD122" s="162">
        <v>1.7676000000000001</v>
      </c>
      <c r="AE122" s="162">
        <v>1.853</v>
      </c>
      <c r="AF122" s="162">
        <v>1.9281999999999999</v>
      </c>
      <c r="AG122" s="162">
        <v>1.9878</v>
      </c>
      <c r="AH122" s="162">
        <v>2.0373999999999999</v>
      </c>
      <c r="AI122" s="162">
        <v>2.077</v>
      </c>
      <c r="AJ122" s="162">
        <v>2.1095999999999999</v>
      </c>
      <c r="AK122" s="162">
        <v>2.1362000000000001</v>
      </c>
      <c r="AL122" s="162">
        <v>2.1524399999999999</v>
      </c>
      <c r="AM122" s="162">
        <v>2.1686800000000002</v>
      </c>
      <c r="AN122" s="162">
        <v>2.18492</v>
      </c>
      <c r="AO122" s="162">
        <v>2.2011599999999998</v>
      </c>
      <c r="AP122" s="162">
        <v>2.2174</v>
      </c>
      <c r="AQ122" s="162">
        <v>2.2232799999999999</v>
      </c>
      <c r="AR122" s="162">
        <v>2.2291599999999998</v>
      </c>
      <c r="AS122" s="162">
        <v>2.2350400000000001</v>
      </c>
      <c r="AT122" s="162">
        <v>2.24092</v>
      </c>
      <c r="AU122" s="162">
        <v>2.2467999999999999</v>
      </c>
    </row>
    <row r="123" spans="1:47" ht="12.75" customHeight="1">
      <c r="A123" s="459">
        <v>41754</v>
      </c>
      <c r="B123" s="139">
        <v>17</v>
      </c>
      <c r="C123" s="162">
        <v>0.20666670000000001</v>
      </c>
      <c r="D123" s="162">
        <v>0.20666670000000001</v>
      </c>
      <c r="E123" s="162">
        <v>0.22220000000000001</v>
      </c>
      <c r="F123" s="162">
        <v>0.23394999999999999</v>
      </c>
      <c r="G123" s="162">
        <v>0.21154999999999999</v>
      </c>
      <c r="H123" s="162">
        <v>0.19775000000000001</v>
      </c>
      <c r="I123" s="162">
        <v>0.18202499999999999</v>
      </c>
      <c r="J123" s="162">
        <v>0.17100000000000001</v>
      </c>
      <c r="K123" s="162">
        <v>0.16350000000000001</v>
      </c>
      <c r="L123" s="162">
        <v>0.157225</v>
      </c>
      <c r="M123" s="162">
        <v>0.15162500000000001</v>
      </c>
      <c r="N123" s="162">
        <v>0.14624999999999999</v>
      </c>
      <c r="O123" s="162">
        <v>0.14349999999999999</v>
      </c>
      <c r="P123" s="162">
        <v>0.14149999999999999</v>
      </c>
      <c r="Q123" s="162">
        <v>0.140375</v>
      </c>
      <c r="R123" s="162">
        <v>0.13925000000000001</v>
      </c>
      <c r="S123" s="162">
        <v>0.16600000000000001</v>
      </c>
      <c r="T123" s="162">
        <v>0.26274999999999998</v>
      </c>
      <c r="U123" s="162">
        <v>0.40562500000000001</v>
      </c>
      <c r="V123" s="162">
        <v>0.57350000000000001</v>
      </c>
      <c r="W123" s="162">
        <v>0.75012500000000004</v>
      </c>
      <c r="X123" s="162">
        <v>0.92525000000000002</v>
      </c>
      <c r="Y123" s="162">
        <v>1.093375</v>
      </c>
      <c r="Z123" s="162">
        <v>1.2477499999999999</v>
      </c>
      <c r="AA123" s="162">
        <v>1.387</v>
      </c>
      <c r="AB123" s="162">
        <v>1.5133749999999999</v>
      </c>
      <c r="AC123" s="162">
        <v>1.627</v>
      </c>
      <c r="AD123" s="162">
        <v>1.7232499999999999</v>
      </c>
      <c r="AE123" s="162">
        <v>1.80775</v>
      </c>
      <c r="AF123" s="162">
        <v>1.8816250000000001</v>
      </c>
      <c r="AG123" s="162">
        <v>1.94025</v>
      </c>
      <c r="AH123" s="162">
        <v>1.9884999999999999</v>
      </c>
      <c r="AI123" s="162">
        <v>2.0274999999999999</v>
      </c>
      <c r="AJ123" s="162">
        <v>2.0594999999999999</v>
      </c>
      <c r="AK123" s="162">
        <v>2.0865</v>
      </c>
      <c r="AL123" s="162">
        <v>2.1021749999999999</v>
      </c>
      <c r="AM123" s="162">
        <v>2.1178499999999998</v>
      </c>
      <c r="AN123" s="162">
        <v>2.1335250000000001</v>
      </c>
      <c r="AO123" s="162">
        <v>2.1492</v>
      </c>
      <c r="AP123" s="162">
        <v>2.1648749999999999</v>
      </c>
      <c r="AQ123" s="162">
        <v>2.170725</v>
      </c>
      <c r="AR123" s="162">
        <v>2.1765750000000001</v>
      </c>
      <c r="AS123" s="162">
        <v>2.1824249999999998</v>
      </c>
      <c r="AT123" s="162">
        <v>2.188275</v>
      </c>
      <c r="AU123" s="162">
        <v>2.1941250000000001</v>
      </c>
    </row>
    <row r="124" spans="1:47" ht="12.75" customHeight="1">
      <c r="A124" s="459">
        <v>41761</v>
      </c>
      <c r="B124" s="139">
        <v>18</v>
      </c>
      <c r="C124" s="162">
        <v>0.24966669999999999</v>
      </c>
      <c r="D124" s="162">
        <v>0.24966669999999999</v>
      </c>
      <c r="E124" s="162">
        <v>0.24460000000000001</v>
      </c>
      <c r="F124" s="162">
        <v>0.24759999999999999</v>
      </c>
      <c r="G124" s="162">
        <v>0.2177</v>
      </c>
      <c r="H124" s="162">
        <v>0.2034</v>
      </c>
      <c r="I124" s="162">
        <v>0.192</v>
      </c>
      <c r="J124" s="162">
        <v>0.18340000000000001</v>
      </c>
      <c r="K124" s="162">
        <v>0.1762</v>
      </c>
      <c r="L124" s="162">
        <v>0.1721</v>
      </c>
      <c r="M124" s="162">
        <v>0.16500000000000001</v>
      </c>
      <c r="N124" s="162">
        <v>0.16250000000000001</v>
      </c>
      <c r="O124" s="162">
        <v>0.1605</v>
      </c>
      <c r="P124" s="162">
        <v>0.16045999999999999</v>
      </c>
      <c r="Q124" s="162">
        <v>0.15790000000000001</v>
      </c>
      <c r="R124" s="162">
        <v>0.15770000000000001</v>
      </c>
      <c r="S124" s="162">
        <v>0.18820000000000001</v>
      </c>
      <c r="T124" s="162">
        <v>0.29870000000000002</v>
      </c>
      <c r="U124" s="162">
        <v>0.4531</v>
      </c>
      <c r="V124" s="162">
        <v>0.62649999999999995</v>
      </c>
      <c r="W124" s="162">
        <v>0.80169999999999997</v>
      </c>
      <c r="X124" s="162">
        <v>0.97170000000000001</v>
      </c>
      <c r="Y124" s="162">
        <v>1.1335999999999999</v>
      </c>
      <c r="Z124" s="162">
        <v>1.2822</v>
      </c>
      <c r="AA124" s="162">
        <v>1.4193</v>
      </c>
      <c r="AB124" s="162">
        <v>1.5427</v>
      </c>
      <c r="AC124" s="162">
        <v>1.6528</v>
      </c>
      <c r="AD124" s="162">
        <v>1.7484</v>
      </c>
      <c r="AE124" s="162">
        <v>1.8315999999999999</v>
      </c>
      <c r="AF124" s="162">
        <v>1.9034</v>
      </c>
      <c r="AG124" s="162">
        <v>1.9570000000000001</v>
      </c>
      <c r="AH124" s="162">
        <v>2.0045000000000002</v>
      </c>
      <c r="AI124" s="162">
        <v>2.0427499999999998</v>
      </c>
      <c r="AJ124" s="162">
        <v>2.07375</v>
      </c>
      <c r="AK124" s="162">
        <v>2.1049000000000002</v>
      </c>
      <c r="AL124" s="162">
        <v>2.1201400000000001</v>
      </c>
      <c r="AM124" s="162">
        <v>2.1353800000000001</v>
      </c>
      <c r="AN124" s="162">
        <v>2.15062</v>
      </c>
      <c r="AO124" s="162">
        <v>2.1658599999999999</v>
      </c>
      <c r="AP124" s="162">
        <v>2.1810999999999998</v>
      </c>
      <c r="AQ124" s="162">
        <v>2.1865199999999998</v>
      </c>
      <c r="AR124" s="162">
        <v>2.1919400000000002</v>
      </c>
      <c r="AS124" s="162">
        <v>2.1973600000000002</v>
      </c>
      <c r="AT124" s="162">
        <v>2.2027800000000002</v>
      </c>
      <c r="AU124" s="162">
        <v>2.2082000000000002</v>
      </c>
    </row>
    <row r="125" spans="1:47" ht="12.75" customHeight="1">
      <c r="A125" s="459">
        <v>41768</v>
      </c>
      <c r="B125" s="139">
        <v>19</v>
      </c>
      <c r="C125" s="162">
        <v>0.41833330000000002</v>
      </c>
      <c r="D125" s="162">
        <v>0.41833330000000002</v>
      </c>
      <c r="E125" s="162">
        <v>0.20655999999999999</v>
      </c>
      <c r="F125" s="162">
        <v>0.20649999999999999</v>
      </c>
      <c r="G125" s="162">
        <v>0.19797999999999999</v>
      </c>
      <c r="H125" s="162">
        <v>0.18709999999999999</v>
      </c>
      <c r="I125" s="162">
        <v>0.17699999999999999</v>
      </c>
      <c r="J125" s="162">
        <v>0.16855999999999999</v>
      </c>
      <c r="K125" s="162">
        <v>0.16389999999999999</v>
      </c>
      <c r="L125" s="162">
        <v>0.15970000000000001</v>
      </c>
      <c r="M125" s="162">
        <v>0.15240000000000001</v>
      </c>
      <c r="N125" s="162">
        <v>0.14979999999999999</v>
      </c>
      <c r="O125" s="162">
        <v>0.1467</v>
      </c>
      <c r="P125" s="162">
        <v>0.14530000000000001</v>
      </c>
      <c r="Q125" s="162">
        <v>0.14249999999999999</v>
      </c>
      <c r="R125" s="162">
        <v>0.14099999999999999</v>
      </c>
      <c r="S125" s="162">
        <v>0.16880000000000001</v>
      </c>
      <c r="T125" s="162">
        <v>0.27651999999999999</v>
      </c>
      <c r="U125" s="162">
        <v>0.42330000000000001</v>
      </c>
      <c r="V125" s="162">
        <v>0.59160000000000001</v>
      </c>
      <c r="W125" s="162">
        <v>0.7671</v>
      </c>
      <c r="X125" s="162">
        <v>0.93700000000000006</v>
      </c>
      <c r="Y125" s="162">
        <v>1.0996999999999999</v>
      </c>
      <c r="Z125" s="162">
        <v>1.2487999999999999</v>
      </c>
      <c r="AA125" s="162">
        <v>1.3837999999999999</v>
      </c>
      <c r="AB125" s="162">
        <v>1.5047999999999999</v>
      </c>
      <c r="AC125" s="162">
        <v>1.6138999999999999</v>
      </c>
      <c r="AD125" s="162">
        <v>1.706</v>
      </c>
      <c r="AE125" s="162">
        <v>1.7886</v>
      </c>
      <c r="AF125" s="162">
        <v>1.8620000000000001</v>
      </c>
      <c r="AG125" s="162">
        <v>1.9205000000000001</v>
      </c>
      <c r="AH125" s="162">
        <v>1.9675</v>
      </c>
      <c r="AI125" s="162">
        <v>2.0052500000000002</v>
      </c>
      <c r="AJ125" s="162">
        <v>2.036</v>
      </c>
      <c r="AK125" s="162">
        <v>2.0609999999999999</v>
      </c>
      <c r="AL125" s="162">
        <v>2.0765199999999999</v>
      </c>
      <c r="AM125" s="162">
        <v>2.0920399999999999</v>
      </c>
      <c r="AN125" s="162">
        <v>2.1075599999999999</v>
      </c>
      <c r="AO125" s="162">
        <v>2.1230799999999999</v>
      </c>
      <c r="AP125" s="162">
        <v>2.1385999999999998</v>
      </c>
      <c r="AQ125" s="162">
        <v>2.14358</v>
      </c>
      <c r="AR125" s="162">
        <v>2.1485599999999998</v>
      </c>
      <c r="AS125" s="162">
        <v>2.15354</v>
      </c>
      <c r="AT125" s="162">
        <v>2.1585200000000002</v>
      </c>
      <c r="AU125" s="162">
        <v>2.1635</v>
      </c>
    </row>
    <row r="126" spans="1:47" ht="12.75" customHeight="1">
      <c r="A126" s="459">
        <v>41775</v>
      </c>
      <c r="B126" s="139">
        <v>20</v>
      </c>
      <c r="C126" s="162">
        <v>0.18325</v>
      </c>
      <c r="D126" s="162">
        <v>0.18325</v>
      </c>
      <c r="E126" s="162">
        <v>0.23014000000000001</v>
      </c>
      <c r="F126" s="162">
        <v>0.22456000000000001</v>
      </c>
      <c r="G126" s="162">
        <v>0.21468000000000001</v>
      </c>
      <c r="H126" s="162">
        <v>0.18779999999999999</v>
      </c>
      <c r="I126" s="162">
        <v>0.17063999999999999</v>
      </c>
      <c r="J126" s="162">
        <v>0.16072</v>
      </c>
      <c r="K126" s="162">
        <v>0.15429999999999999</v>
      </c>
      <c r="L126" s="162">
        <v>0.14879999999999999</v>
      </c>
      <c r="M126" s="162">
        <v>0.1439</v>
      </c>
      <c r="N126" s="162">
        <v>0.14168</v>
      </c>
      <c r="O126" s="162">
        <v>0.13869999999999999</v>
      </c>
      <c r="P126" s="162">
        <v>0.13650000000000001</v>
      </c>
      <c r="Q126" s="162">
        <v>0.1356</v>
      </c>
      <c r="R126" s="162">
        <v>0.13370000000000001</v>
      </c>
      <c r="S126" s="162">
        <v>0.15659999999999999</v>
      </c>
      <c r="T126" s="162">
        <v>0.25519999999999998</v>
      </c>
      <c r="U126" s="162">
        <v>0.40450000000000003</v>
      </c>
      <c r="V126" s="162">
        <v>0.57569999999999999</v>
      </c>
      <c r="W126" s="162">
        <v>0.75119999999999998</v>
      </c>
      <c r="X126" s="162">
        <v>0.9224</v>
      </c>
      <c r="Y126" s="162">
        <v>1.0834999999999999</v>
      </c>
      <c r="Z126" s="162">
        <v>1.2326999999999999</v>
      </c>
      <c r="AA126" s="162">
        <v>1.3672</v>
      </c>
      <c r="AB126" s="162">
        <v>1.4887999999999999</v>
      </c>
      <c r="AC126" s="162">
        <v>1.5985</v>
      </c>
      <c r="AD126" s="162">
        <v>1.6926000000000001</v>
      </c>
      <c r="AE126" s="162">
        <v>1.7761</v>
      </c>
      <c r="AF126" s="162">
        <v>1.8492</v>
      </c>
      <c r="AG126" s="162">
        <v>1.9137999999999999</v>
      </c>
      <c r="AH126" s="162">
        <v>1.9616</v>
      </c>
      <c r="AI126" s="162">
        <v>2.0004</v>
      </c>
      <c r="AJ126" s="162">
        <v>2.0322</v>
      </c>
      <c r="AK126" s="162">
        <v>2.0546000000000002</v>
      </c>
      <c r="AL126" s="162">
        <v>2.0713400000000002</v>
      </c>
      <c r="AM126" s="162">
        <v>2.0880800000000002</v>
      </c>
      <c r="AN126" s="162">
        <v>2.1048200000000001</v>
      </c>
      <c r="AO126" s="162">
        <v>2.1215600000000001</v>
      </c>
      <c r="AP126" s="162">
        <v>2.1383000000000001</v>
      </c>
      <c r="AQ126" s="162">
        <v>2.1423800000000002</v>
      </c>
      <c r="AR126" s="162">
        <v>2.1464599999999998</v>
      </c>
      <c r="AS126" s="162">
        <v>2.1505399999999999</v>
      </c>
      <c r="AT126" s="162">
        <v>2.15462</v>
      </c>
      <c r="AU126" s="162">
        <v>2.1587000000000001</v>
      </c>
    </row>
    <row r="127" spans="1:47" ht="12.75" customHeight="1">
      <c r="A127" s="459">
        <v>41782</v>
      </c>
      <c r="B127" s="139">
        <v>21</v>
      </c>
      <c r="C127" s="162">
        <v>0.18099999999999999</v>
      </c>
      <c r="D127" s="162">
        <v>0.18099999999999999</v>
      </c>
      <c r="E127" s="162">
        <v>0.21414</v>
      </c>
      <c r="F127" s="162">
        <v>0.22216</v>
      </c>
      <c r="G127" s="162">
        <v>0.20482</v>
      </c>
      <c r="H127" s="162">
        <v>0.1636</v>
      </c>
      <c r="I127" s="162">
        <v>0.14299999999999999</v>
      </c>
      <c r="J127" s="162">
        <v>0.13020000000000001</v>
      </c>
      <c r="K127" s="162">
        <v>0.12180000000000001</v>
      </c>
      <c r="L127" s="162">
        <v>0.114</v>
      </c>
      <c r="M127" s="162">
        <v>0.1084</v>
      </c>
      <c r="N127" s="162">
        <v>0.10580000000000001</v>
      </c>
      <c r="O127" s="162">
        <v>0.1023</v>
      </c>
      <c r="P127" s="162">
        <v>0.1008</v>
      </c>
      <c r="Q127" s="162">
        <v>9.9000000000000005E-2</v>
      </c>
      <c r="R127" s="162">
        <v>9.8559999999999995E-2</v>
      </c>
      <c r="S127" s="162">
        <v>0.1148</v>
      </c>
      <c r="T127" s="162">
        <v>0.189</v>
      </c>
      <c r="U127" s="162">
        <v>0.31830000000000003</v>
      </c>
      <c r="V127" s="162">
        <v>0.47589999999999999</v>
      </c>
      <c r="W127" s="162">
        <v>0.64810000000000001</v>
      </c>
      <c r="X127" s="162">
        <v>0.82120000000000004</v>
      </c>
      <c r="Y127" s="162">
        <v>0.98580000000000001</v>
      </c>
      <c r="Z127" s="162">
        <v>1.1394</v>
      </c>
      <c r="AA127" s="162">
        <v>1.2776000000000001</v>
      </c>
      <c r="AB127" s="162">
        <v>1.4024000000000001</v>
      </c>
      <c r="AC127" s="162">
        <v>1.5144</v>
      </c>
      <c r="AD127" s="162">
        <v>1.6113999999999999</v>
      </c>
      <c r="AE127" s="162">
        <v>1.6986000000000001</v>
      </c>
      <c r="AF127" s="162">
        <v>1.7737000000000001</v>
      </c>
      <c r="AG127" s="162">
        <v>1.845</v>
      </c>
      <c r="AH127" s="162">
        <v>1.8956</v>
      </c>
      <c r="AI127" s="162">
        <v>1.9370000000000001</v>
      </c>
      <c r="AJ127" s="162">
        <v>1.9712000000000001</v>
      </c>
      <c r="AK127" s="162">
        <v>1.9883</v>
      </c>
      <c r="AL127" s="162">
        <v>2.0054400000000001</v>
      </c>
      <c r="AM127" s="162">
        <v>2.02258</v>
      </c>
      <c r="AN127" s="162">
        <v>2.03972</v>
      </c>
      <c r="AO127" s="162">
        <v>2.0568599999999999</v>
      </c>
      <c r="AP127" s="162">
        <v>2.0739999999999998</v>
      </c>
      <c r="AQ127" s="162">
        <v>2.0798999999999999</v>
      </c>
      <c r="AR127" s="162">
        <v>2.0857999999999999</v>
      </c>
      <c r="AS127" s="162">
        <v>2.0916999999999999</v>
      </c>
      <c r="AT127" s="162">
        <v>2.0975999999999999</v>
      </c>
      <c r="AU127" s="162">
        <v>2.1034999999999999</v>
      </c>
    </row>
    <row r="128" spans="1:47" ht="12.75" customHeight="1">
      <c r="A128" s="459">
        <v>41789</v>
      </c>
      <c r="B128" s="139">
        <v>22</v>
      </c>
      <c r="C128" s="162">
        <v>0.21466669999999999</v>
      </c>
      <c r="D128" s="162">
        <v>0.21466669999999999</v>
      </c>
      <c r="E128" s="162">
        <v>0.25387500000000002</v>
      </c>
      <c r="F128" s="162">
        <v>0.25737500000000002</v>
      </c>
      <c r="G128" s="162">
        <v>0.191825</v>
      </c>
      <c r="H128" s="162">
        <v>0.15102499999999999</v>
      </c>
      <c r="I128" s="162">
        <v>0.12712499999999999</v>
      </c>
      <c r="J128" s="162">
        <v>0.11550000000000001</v>
      </c>
      <c r="K128" s="162">
        <v>0.10725</v>
      </c>
      <c r="L128" s="162">
        <v>9.7750000000000004E-2</v>
      </c>
      <c r="M128" s="162">
        <v>9.5250000000000001E-2</v>
      </c>
      <c r="N128" s="162">
        <v>9.2749999999999999E-2</v>
      </c>
      <c r="O128" s="162">
        <v>8.8999999999999996E-2</v>
      </c>
      <c r="P128" s="162">
        <v>8.7499999999999994E-2</v>
      </c>
      <c r="Q128" s="162">
        <v>8.5500000000000007E-2</v>
      </c>
      <c r="R128" s="162">
        <v>8.5999999999999993E-2</v>
      </c>
      <c r="S128" s="162">
        <v>0.10224999999999999</v>
      </c>
      <c r="T128" s="162">
        <v>0.17782500000000001</v>
      </c>
      <c r="U128" s="162">
        <v>0.31362499999999999</v>
      </c>
      <c r="V128" s="162">
        <v>0.47587499999999999</v>
      </c>
      <c r="W128" s="162">
        <v>0.64662500000000001</v>
      </c>
      <c r="X128" s="162">
        <v>0.81925000000000003</v>
      </c>
      <c r="Y128" s="162">
        <v>0.98424999999999996</v>
      </c>
      <c r="Z128" s="162">
        <v>1.1363749999999999</v>
      </c>
      <c r="AA128" s="162">
        <v>1.274</v>
      </c>
      <c r="AB128" s="162">
        <v>1.397125</v>
      </c>
      <c r="AC128" s="162">
        <v>1.50725</v>
      </c>
      <c r="AD128" s="162">
        <v>1.6014999999999999</v>
      </c>
      <c r="AE128" s="162">
        <v>1.68625</v>
      </c>
      <c r="AF128" s="162">
        <v>1.7601249999999999</v>
      </c>
      <c r="AG128" s="162">
        <v>1.859</v>
      </c>
      <c r="AH128" s="162">
        <v>1.907</v>
      </c>
      <c r="AI128" s="162">
        <v>1.9455</v>
      </c>
      <c r="AJ128" s="162">
        <v>1.97725</v>
      </c>
      <c r="AK128" s="162">
        <v>1.9672499999999999</v>
      </c>
      <c r="AL128" s="162">
        <v>1.9836</v>
      </c>
      <c r="AM128" s="162">
        <v>1.9999499999999999</v>
      </c>
      <c r="AN128" s="162">
        <v>2.0163000000000002</v>
      </c>
      <c r="AO128" s="162">
        <v>2.0326499999999998</v>
      </c>
      <c r="AP128" s="162">
        <v>2.0489999999999999</v>
      </c>
      <c r="AQ128" s="162">
        <v>2.0546000000000002</v>
      </c>
      <c r="AR128" s="162">
        <v>2.0602</v>
      </c>
      <c r="AS128" s="162">
        <v>2.0657999999999999</v>
      </c>
      <c r="AT128" s="162">
        <v>2.0714000000000001</v>
      </c>
      <c r="AU128" s="162">
        <v>2.077</v>
      </c>
    </row>
    <row r="129" spans="1:47" ht="12.75" customHeight="1">
      <c r="A129" s="459">
        <v>41796</v>
      </c>
      <c r="B129" s="139">
        <v>23</v>
      </c>
      <c r="C129" s="162">
        <v>0.44700000000000001</v>
      </c>
      <c r="D129" s="162">
        <v>0.44700000000000001</v>
      </c>
      <c r="E129" s="162">
        <v>0.2656</v>
      </c>
      <c r="F129" s="162">
        <v>0.24149999999999999</v>
      </c>
      <c r="G129" s="162">
        <v>0.158</v>
      </c>
      <c r="H129" s="162">
        <v>0.1291667</v>
      </c>
      <c r="I129" s="162">
        <v>0.1148333</v>
      </c>
      <c r="J129" s="162">
        <v>9.6166699999999994E-2</v>
      </c>
      <c r="K129" s="162">
        <v>9.2666700000000005E-2</v>
      </c>
      <c r="L129" s="162">
        <v>8.7999999999999995E-2</v>
      </c>
      <c r="M129" s="162">
        <v>7.9500000000000001E-2</v>
      </c>
      <c r="N129" s="162">
        <v>7.6833299999999993E-2</v>
      </c>
      <c r="O129" s="162">
        <v>7.4333300000000005E-2</v>
      </c>
      <c r="P129" s="162">
        <v>7.0833300000000002E-2</v>
      </c>
      <c r="Q129" s="162">
        <v>6.93333E-2</v>
      </c>
      <c r="R129" s="162">
        <v>6.88333E-2</v>
      </c>
      <c r="S129" s="162">
        <v>7.8666700000000006E-2</v>
      </c>
      <c r="T129" s="162">
        <v>0.153</v>
      </c>
      <c r="U129" s="162">
        <v>0.28249999999999997</v>
      </c>
      <c r="V129" s="162">
        <v>0.4425</v>
      </c>
      <c r="W129" s="162">
        <v>0.61666670000000001</v>
      </c>
      <c r="X129" s="162">
        <v>0.79349999999999998</v>
      </c>
      <c r="Y129" s="162">
        <v>0.96299999999999997</v>
      </c>
      <c r="Z129" s="162">
        <v>1.1181667</v>
      </c>
      <c r="AA129" s="162">
        <v>1.2568333</v>
      </c>
      <c r="AB129" s="162">
        <v>1.3805000000000001</v>
      </c>
      <c r="AC129" s="162">
        <v>1.4910000000000001</v>
      </c>
      <c r="AD129" s="162">
        <v>1.5866667000000001</v>
      </c>
      <c r="AE129" s="162">
        <v>1.673</v>
      </c>
      <c r="AF129" s="162">
        <v>1.7461667000000001</v>
      </c>
      <c r="AG129" s="162">
        <v>1.792</v>
      </c>
      <c r="AH129" s="162">
        <v>1.841</v>
      </c>
      <c r="AI129" s="162">
        <v>1.8815</v>
      </c>
      <c r="AJ129" s="162">
        <v>1.9145000000000001</v>
      </c>
      <c r="AK129" s="162">
        <v>1.9556667000000001</v>
      </c>
      <c r="AL129" s="162">
        <v>1.9724667</v>
      </c>
      <c r="AM129" s="162">
        <v>1.9892666999999999</v>
      </c>
      <c r="AN129" s="162">
        <v>2.0060666999999999</v>
      </c>
      <c r="AO129" s="162">
        <v>2.0228666999999998</v>
      </c>
      <c r="AP129" s="162">
        <v>2.0396667000000002</v>
      </c>
      <c r="AQ129" s="162">
        <v>2.0453667000000002</v>
      </c>
      <c r="AR129" s="162">
        <v>2.0510666999999998</v>
      </c>
      <c r="AS129" s="162">
        <v>2.0567666999999998</v>
      </c>
      <c r="AT129" s="162">
        <v>2.0624666999999999</v>
      </c>
      <c r="AU129" s="162">
        <v>2.0681666999999999</v>
      </c>
    </row>
    <row r="130" spans="1:47" ht="12.75" customHeight="1">
      <c r="A130" s="459">
        <v>41803</v>
      </c>
      <c r="B130" s="139">
        <v>24</v>
      </c>
      <c r="C130" s="162">
        <v>0.16575000000000001</v>
      </c>
      <c r="D130" s="162">
        <v>0.16575000000000001</v>
      </c>
      <c r="E130" s="162">
        <v>0.16478000000000001</v>
      </c>
      <c r="F130" s="162">
        <v>0.14990000000000001</v>
      </c>
      <c r="G130" s="162">
        <v>0.11749999999999999</v>
      </c>
      <c r="H130" s="162">
        <v>9.8699999999999996E-2</v>
      </c>
      <c r="I130" s="162">
        <v>8.7599999999999997E-2</v>
      </c>
      <c r="J130" s="162">
        <v>8.3699999999999997E-2</v>
      </c>
      <c r="K130" s="162">
        <v>7.6600000000000001E-2</v>
      </c>
      <c r="L130" s="162">
        <v>7.1800000000000003E-2</v>
      </c>
      <c r="M130" s="162">
        <v>6.8699999999999997E-2</v>
      </c>
      <c r="N130" s="162">
        <v>6.1559999999999997E-2</v>
      </c>
      <c r="O130" s="162">
        <v>6.6659999999999997E-2</v>
      </c>
      <c r="P130" s="162">
        <v>6.3060000000000005E-2</v>
      </c>
      <c r="Q130" s="162">
        <v>5.7200000000000001E-2</v>
      </c>
      <c r="R130" s="162">
        <v>5.6599999999999998E-2</v>
      </c>
      <c r="S130" s="162">
        <v>6.6799999999999998E-2</v>
      </c>
      <c r="T130" s="162">
        <v>0.14249999999999999</v>
      </c>
      <c r="U130" s="162">
        <v>0.2676</v>
      </c>
      <c r="V130" s="162">
        <v>0.42609999999999998</v>
      </c>
      <c r="W130" s="162">
        <v>0.60209999999999997</v>
      </c>
      <c r="X130" s="162">
        <v>0.77959999999999996</v>
      </c>
      <c r="Y130" s="162">
        <v>0.95169999999999999</v>
      </c>
      <c r="Z130" s="162">
        <v>1.1093</v>
      </c>
      <c r="AA130" s="162">
        <v>1.2497</v>
      </c>
      <c r="AB130" s="162">
        <v>1.3764000000000001</v>
      </c>
      <c r="AC130" s="162">
        <v>1.4897</v>
      </c>
      <c r="AD130" s="162">
        <v>1.5884</v>
      </c>
      <c r="AE130" s="162">
        <v>1.6739999999999999</v>
      </c>
      <c r="AF130" s="162">
        <v>1.7475000000000001</v>
      </c>
      <c r="AG130" s="162">
        <v>1.8128</v>
      </c>
      <c r="AH130" s="162">
        <v>1.8635999999999999</v>
      </c>
      <c r="AI130" s="162">
        <v>1.9048</v>
      </c>
      <c r="AJ130" s="162">
        <v>1.9388000000000001</v>
      </c>
      <c r="AK130" s="162">
        <v>1.9629000000000001</v>
      </c>
      <c r="AL130" s="162">
        <v>1.9804999999999999</v>
      </c>
      <c r="AM130" s="162">
        <v>1.9981</v>
      </c>
      <c r="AN130" s="162">
        <v>2.0156999999999998</v>
      </c>
      <c r="AO130" s="162">
        <v>2.0333000000000001</v>
      </c>
      <c r="AP130" s="162">
        <v>2.0508999999999999</v>
      </c>
      <c r="AQ130" s="162">
        <v>2.0573199999999998</v>
      </c>
      <c r="AR130" s="162">
        <v>2.0637400000000001</v>
      </c>
      <c r="AS130" s="162">
        <v>2.07016</v>
      </c>
      <c r="AT130" s="162">
        <v>2.0765799999999999</v>
      </c>
      <c r="AU130" s="162">
        <v>2.0830000000000002</v>
      </c>
    </row>
    <row r="131" spans="1:47" ht="12.75" customHeight="1">
      <c r="A131" s="459">
        <v>41810</v>
      </c>
      <c r="B131" s="139">
        <v>25</v>
      </c>
      <c r="C131" s="162">
        <v>5.525E-2</v>
      </c>
      <c r="D131" s="162">
        <v>5.525E-2</v>
      </c>
      <c r="E131" s="162">
        <v>5.2479999999999999E-2</v>
      </c>
      <c r="F131" s="162">
        <v>5.1400000000000001E-2</v>
      </c>
      <c r="G131" s="162">
        <v>5.2819999999999999E-2</v>
      </c>
      <c r="H131" s="162">
        <v>5.892E-2</v>
      </c>
      <c r="I131" s="162">
        <v>5.9400000000000001E-2</v>
      </c>
      <c r="J131" s="162">
        <v>5.8819999999999997E-2</v>
      </c>
      <c r="K131" s="162">
        <v>5.0860000000000002E-2</v>
      </c>
      <c r="L131" s="162">
        <v>4.9099999999999998E-2</v>
      </c>
      <c r="M131" s="162">
        <v>4.8579999999999998E-2</v>
      </c>
      <c r="N131" s="162">
        <v>4.6800000000000001E-2</v>
      </c>
      <c r="O131" s="162">
        <v>4.3499999999999997E-2</v>
      </c>
      <c r="P131" s="162">
        <v>4.2360000000000002E-2</v>
      </c>
      <c r="Q131" s="162">
        <v>4.4220000000000002E-2</v>
      </c>
      <c r="R131" s="162">
        <v>4.3900000000000002E-2</v>
      </c>
      <c r="S131" s="162">
        <v>6.2E-2</v>
      </c>
      <c r="T131" s="162">
        <v>0.1305</v>
      </c>
      <c r="U131" s="162">
        <v>0.25569999999999998</v>
      </c>
      <c r="V131" s="162">
        <v>0.41699999999999998</v>
      </c>
      <c r="W131" s="162">
        <v>0.59489999999999998</v>
      </c>
      <c r="X131" s="162">
        <v>0.77790000000000004</v>
      </c>
      <c r="Y131" s="162">
        <v>0.95499999999999996</v>
      </c>
      <c r="Z131" s="162">
        <v>1.1171</v>
      </c>
      <c r="AA131" s="162">
        <v>1.2628999999999999</v>
      </c>
      <c r="AB131" s="162">
        <v>1.3932</v>
      </c>
      <c r="AC131" s="162">
        <v>1.5092000000000001</v>
      </c>
      <c r="AD131" s="162">
        <v>1.609</v>
      </c>
      <c r="AE131" s="162">
        <v>1.6966000000000001</v>
      </c>
      <c r="AF131" s="162">
        <v>1.7737000000000001</v>
      </c>
      <c r="AG131" s="162">
        <v>1.84</v>
      </c>
      <c r="AH131" s="162">
        <v>1.8927499999999999</v>
      </c>
      <c r="AI131" s="162">
        <v>1.93625</v>
      </c>
      <c r="AJ131" s="162">
        <v>1.9717499999999999</v>
      </c>
      <c r="AK131" s="162">
        <v>1.9982</v>
      </c>
      <c r="AL131" s="162">
        <v>2.0167799999999998</v>
      </c>
      <c r="AM131" s="162">
        <v>2.0353599999999998</v>
      </c>
      <c r="AN131" s="162">
        <v>2.0539399999999999</v>
      </c>
      <c r="AO131" s="162">
        <v>2.0725199999999999</v>
      </c>
      <c r="AP131" s="162">
        <v>2.0911</v>
      </c>
      <c r="AQ131" s="162">
        <v>2.09796</v>
      </c>
      <c r="AR131" s="162">
        <v>2.1048200000000001</v>
      </c>
      <c r="AS131" s="162">
        <v>2.1116799999999998</v>
      </c>
      <c r="AT131" s="162">
        <v>2.1185399999999999</v>
      </c>
      <c r="AU131" s="162">
        <v>2.1254</v>
      </c>
    </row>
    <row r="132" spans="1:47" ht="12.75" customHeight="1">
      <c r="A132" s="459">
        <v>41817</v>
      </c>
      <c r="B132" s="139">
        <v>26</v>
      </c>
      <c r="C132" s="162">
        <v>2.0500000000000001E-2</v>
      </c>
      <c r="D132" s="162">
        <v>2.0500000000000001E-2</v>
      </c>
      <c r="E132" s="162">
        <v>3.4599999999999999E-2</v>
      </c>
      <c r="F132" s="162">
        <v>3.56E-2</v>
      </c>
      <c r="G132" s="162">
        <v>2.9700000000000001E-2</v>
      </c>
      <c r="H132" s="162">
        <v>3.8399999999999997E-2</v>
      </c>
      <c r="I132" s="162">
        <v>4.4499999999999998E-2</v>
      </c>
      <c r="J132" s="162">
        <v>4.5600000000000002E-2</v>
      </c>
      <c r="K132" s="162">
        <v>4.1700000000000001E-2</v>
      </c>
      <c r="L132" s="162">
        <v>3.9100000000000003E-2</v>
      </c>
      <c r="M132" s="162">
        <v>4.2299999999999997E-2</v>
      </c>
      <c r="N132" s="162">
        <v>3.7580000000000002E-2</v>
      </c>
      <c r="O132" s="162">
        <v>3.7199999999999997E-2</v>
      </c>
      <c r="P132" s="162">
        <v>3.6700000000000003E-2</v>
      </c>
      <c r="Q132" s="162">
        <v>6.2199999999999998E-2</v>
      </c>
      <c r="R132" s="162">
        <v>3.6400000000000002E-2</v>
      </c>
      <c r="S132" s="162">
        <v>5.9200000000000003E-2</v>
      </c>
      <c r="T132" s="162">
        <v>0.12995999999999999</v>
      </c>
      <c r="U132" s="162">
        <v>0.25240000000000001</v>
      </c>
      <c r="V132" s="162">
        <v>0.40720000000000001</v>
      </c>
      <c r="W132" s="162">
        <v>0.58199999999999996</v>
      </c>
      <c r="X132" s="162">
        <v>0.76029999999999998</v>
      </c>
      <c r="Y132" s="162">
        <v>0.93310000000000004</v>
      </c>
      <c r="Z132" s="162">
        <v>1.0887</v>
      </c>
      <c r="AA132" s="162">
        <v>1.2333000000000001</v>
      </c>
      <c r="AB132" s="162">
        <v>1.3603000000000001</v>
      </c>
      <c r="AC132" s="162">
        <v>1.4732000000000001</v>
      </c>
      <c r="AD132" s="162">
        <v>1.5717000000000001</v>
      </c>
      <c r="AE132" s="162">
        <v>1.6588000000000001</v>
      </c>
      <c r="AF132" s="162">
        <v>1.7342</v>
      </c>
      <c r="AG132" s="162">
        <v>1.7974000000000001</v>
      </c>
      <c r="AH132" s="162">
        <v>1.85</v>
      </c>
      <c r="AI132" s="162">
        <v>1.893</v>
      </c>
      <c r="AJ132" s="162">
        <v>1.9292</v>
      </c>
      <c r="AK132" s="162">
        <v>1.9585999999999999</v>
      </c>
      <c r="AL132" s="162">
        <v>1.9775</v>
      </c>
      <c r="AM132" s="162">
        <v>1.9964</v>
      </c>
      <c r="AN132" s="162">
        <v>2.0152999999999999</v>
      </c>
      <c r="AO132" s="162">
        <v>2.0341999999999998</v>
      </c>
      <c r="AP132" s="162">
        <v>2.0531000000000001</v>
      </c>
      <c r="AQ132" s="162">
        <v>2.0599799999999999</v>
      </c>
      <c r="AR132" s="162">
        <v>2.0668600000000001</v>
      </c>
      <c r="AS132" s="162">
        <v>2.0737399999999999</v>
      </c>
      <c r="AT132" s="162">
        <v>2.0806200000000001</v>
      </c>
      <c r="AU132" s="162">
        <v>2.0874999999999999</v>
      </c>
    </row>
    <row r="133" spans="1:47" ht="12.75" customHeight="1">
      <c r="A133" s="459">
        <v>41824</v>
      </c>
      <c r="B133" s="139">
        <v>27</v>
      </c>
      <c r="C133" s="162">
        <v>3.6499999999999998E-2</v>
      </c>
      <c r="D133" s="162">
        <v>3.6499999999999998E-2</v>
      </c>
      <c r="E133" s="162">
        <v>4.3999999999999997E-2</v>
      </c>
      <c r="F133" s="162">
        <v>4.1200000000000001E-2</v>
      </c>
      <c r="G133" s="162">
        <v>3.6260000000000001E-2</v>
      </c>
      <c r="H133" s="162">
        <v>4.58E-2</v>
      </c>
      <c r="I133" s="162">
        <v>5.1180000000000003E-2</v>
      </c>
      <c r="J133" s="162">
        <v>5.4019999999999999E-2</v>
      </c>
      <c r="K133" s="162">
        <v>4.8599999999999997E-2</v>
      </c>
      <c r="L133" s="162">
        <v>4.7699999999999999E-2</v>
      </c>
      <c r="M133" s="162">
        <v>4.4400000000000002E-2</v>
      </c>
      <c r="N133" s="162">
        <v>4.5900000000000003E-2</v>
      </c>
      <c r="O133" s="162">
        <v>4.2700000000000002E-2</v>
      </c>
      <c r="P133" s="162">
        <v>4.0500000000000001E-2</v>
      </c>
      <c r="Q133" s="162">
        <v>4.24E-2</v>
      </c>
      <c r="R133" s="162">
        <v>4.2799999999999998E-2</v>
      </c>
      <c r="S133" s="162">
        <v>6.1600000000000002E-2</v>
      </c>
      <c r="T133" s="162">
        <v>0.12659999999999999</v>
      </c>
      <c r="U133" s="162">
        <v>0.23050000000000001</v>
      </c>
      <c r="V133" s="162">
        <v>0.3735</v>
      </c>
      <c r="W133" s="162">
        <v>0.53720000000000001</v>
      </c>
      <c r="X133" s="162">
        <v>0.70679999999999998</v>
      </c>
      <c r="Y133" s="162">
        <v>0.872</v>
      </c>
      <c r="Z133" s="162">
        <v>1.0253000000000001</v>
      </c>
      <c r="AA133" s="162">
        <v>1.1623000000000001</v>
      </c>
      <c r="AB133" s="162">
        <v>1.2869999999999999</v>
      </c>
      <c r="AC133" s="162">
        <v>1.3995</v>
      </c>
      <c r="AD133" s="162">
        <v>1.4976</v>
      </c>
      <c r="AE133" s="162">
        <v>1.5843</v>
      </c>
      <c r="AF133" s="162">
        <v>1.6584000000000001</v>
      </c>
      <c r="AG133" s="162">
        <v>1.7218</v>
      </c>
      <c r="AH133" s="162">
        <v>1.7746</v>
      </c>
      <c r="AI133" s="162">
        <v>1.8186</v>
      </c>
      <c r="AJ133" s="162">
        <v>1.8552</v>
      </c>
      <c r="AK133" s="162">
        <v>1.8845000000000001</v>
      </c>
      <c r="AL133" s="162">
        <v>1.90432</v>
      </c>
      <c r="AM133" s="162">
        <v>1.92414</v>
      </c>
      <c r="AN133" s="162">
        <v>1.9439599999999999</v>
      </c>
      <c r="AO133" s="162">
        <v>1.9637800000000001</v>
      </c>
      <c r="AP133" s="162">
        <v>1.9836</v>
      </c>
      <c r="AQ133" s="162">
        <v>1.99074</v>
      </c>
      <c r="AR133" s="162">
        <v>1.9978800000000001</v>
      </c>
      <c r="AS133" s="162">
        <v>2.00502</v>
      </c>
      <c r="AT133" s="162">
        <v>2.0121600000000002</v>
      </c>
      <c r="AU133" s="162">
        <v>2.0192999999999999</v>
      </c>
    </row>
    <row r="134" spans="1:47" ht="12.75" customHeight="1">
      <c r="A134" s="459">
        <v>41831</v>
      </c>
      <c r="B134" s="139">
        <v>28</v>
      </c>
      <c r="C134" s="162">
        <v>0.10425</v>
      </c>
      <c r="D134" s="162">
        <v>0.10425</v>
      </c>
      <c r="E134" s="162">
        <v>1.8859999999999998E-2</v>
      </c>
      <c r="F134" s="162">
        <v>2.1100000000000001E-2</v>
      </c>
      <c r="G134" s="162">
        <v>4.1000000000000002E-2</v>
      </c>
      <c r="H134" s="162">
        <v>5.16E-2</v>
      </c>
      <c r="I134" s="162">
        <v>5.3999999999999999E-2</v>
      </c>
      <c r="J134" s="162">
        <v>5.16E-2</v>
      </c>
      <c r="K134" s="162">
        <v>5.0599999999999999E-2</v>
      </c>
      <c r="L134" s="162">
        <v>4.7500000000000001E-2</v>
      </c>
      <c r="M134" s="162">
        <v>4.7199999999999999E-2</v>
      </c>
      <c r="N134" s="162">
        <v>4.48E-2</v>
      </c>
      <c r="O134" s="162">
        <v>4.2599999999999999E-2</v>
      </c>
      <c r="P134" s="162">
        <v>4.2999999999999997E-2</v>
      </c>
      <c r="Q134" s="162">
        <v>4.02E-2</v>
      </c>
      <c r="R134" s="162">
        <v>0.04</v>
      </c>
      <c r="S134" s="162">
        <v>5.5800000000000002E-2</v>
      </c>
      <c r="T134" s="162">
        <v>0.1198</v>
      </c>
      <c r="U134" s="162">
        <v>0.22570000000000001</v>
      </c>
      <c r="V134" s="162">
        <v>0.36849999999999999</v>
      </c>
      <c r="W134" s="162">
        <v>0.53359999999999996</v>
      </c>
      <c r="X134" s="162">
        <v>0.70350000000000001</v>
      </c>
      <c r="Y134" s="162">
        <v>0.86880000000000002</v>
      </c>
      <c r="Z134" s="162">
        <v>1.0232000000000001</v>
      </c>
      <c r="AA134" s="162">
        <v>1.1597</v>
      </c>
      <c r="AB134" s="162">
        <v>1.2833000000000001</v>
      </c>
      <c r="AC134" s="162">
        <v>1.3935999999999999</v>
      </c>
      <c r="AD134" s="162">
        <v>1.4916</v>
      </c>
      <c r="AE134" s="162">
        <v>1.5771999999999999</v>
      </c>
      <c r="AF134" s="162">
        <v>1.6507000000000001</v>
      </c>
      <c r="AG134" s="162">
        <v>1.7112000000000001</v>
      </c>
      <c r="AH134" s="162">
        <v>1.7638</v>
      </c>
      <c r="AI134" s="162">
        <v>1.8078000000000001</v>
      </c>
      <c r="AJ134" s="162">
        <v>1.8448</v>
      </c>
      <c r="AK134" s="162">
        <v>1.8761000000000001</v>
      </c>
      <c r="AL134" s="162">
        <v>1.89564</v>
      </c>
      <c r="AM134" s="162">
        <v>1.9151800000000001</v>
      </c>
      <c r="AN134" s="162">
        <v>1.93472</v>
      </c>
      <c r="AO134" s="162">
        <v>1.9542600000000001</v>
      </c>
      <c r="AP134" s="162">
        <v>1.9738</v>
      </c>
      <c r="AQ134" s="162">
        <v>1.9814000000000001</v>
      </c>
      <c r="AR134" s="162">
        <v>1.9890000000000001</v>
      </c>
      <c r="AS134" s="162">
        <v>1.9965999999999999</v>
      </c>
      <c r="AT134" s="162">
        <v>2.0042</v>
      </c>
      <c r="AU134" s="162">
        <v>2.0118</v>
      </c>
    </row>
    <row r="135" spans="1:47" ht="12.75" customHeight="1">
      <c r="A135" s="459">
        <v>41838</v>
      </c>
      <c r="B135" s="139">
        <v>29</v>
      </c>
      <c r="C135" s="162">
        <v>2.9666700000000001E-2</v>
      </c>
      <c r="D135" s="162">
        <v>2.9666700000000001E-2</v>
      </c>
      <c r="E135" s="162">
        <v>4.4450000000000003E-2</v>
      </c>
      <c r="F135" s="162">
        <v>4.4374999999999998E-2</v>
      </c>
      <c r="G135" s="162">
        <v>4.9250000000000002E-2</v>
      </c>
      <c r="H135" s="162">
        <v>5.7250000000000002E-2</v>
      </c>
      <c r="I135" s="162">
        <v>5.5875000000000001E-2</v>
      </c>
      <c r="J135" s="162">
        <v>5.3249999999999999E-2</v>
      </c>
      <c r="K135" s="162">
        <v>5.2499999999999998E-2</v>
      </c>
      <c r="L135" s="162">
        <v>4.9875000000000003E-2</v>
      </c>
      <c r="M135" s="162">
        <v>5.0500000000000003E-2</v>
      </c>
      <c r="N135" s="162">
        <v>0.05</v>
      </c>
      <c r="O135" s="162">
        <v>4.895E-2</v>
      </c>
      <c r="P135" s="162">
        <v>4.5499999999999999E-2</v>
      </c>
      <c r="Q135" s="162">
        <v>4.3999999999999997E-2</v>
      </c>
      <c r="R135" s="162">
        <v>4.2000000000000003E-2</v>
      </c>
      <c r="S135" s="162">
        <v>5.1999999999999998E-2</v>
      </c>
      <c r="T135" s="162">
        <v>0.11687500000000001</v>
      </c>
      <c r="U135" s="162">
        <v>0.21099999999999999</v>
      </c>
      <c r="V135" s="162">
        <v>0.34499999999999997</v>
      </c>
      <c r="W135" s="162">
        <v>0.50537500000000002</v>
      </c>
      <c r="X135" s="162">
        <v>0.67312499999999997</v>
      </c>
      <c r="Y135" s="162">
        <v>0.83737499999999998</v>
      </c>
      <c r="Z135" s="162">
        <v>0.98824999999999996</v>
      </c>
      <c r="AA135" s="162">
        <v>1.1259999999999999</v>
      </c>
      <c r="AB135" s="162">
        <v>1.2501249999999999</v>
      </c>
      <c r="AC135" s="162">
        <v>1.3618749999999999</v>
      </c>
      <c r="AD135" s="162">
        <v>1.461125</v>
      </c>
      <c r="AE135" s="162">
        <v>1.5475000000000001</v>
      </c>
      <c r="AF135" s="162">
        <v>1.622125</v>
      </c>
      <c r="AG135" s="162">
        <v>1.6852499999999999</v>
      </c>
      <c r="AH135" s="162">
        <v>1.7390000000000001</v>
      </c>
      <c r="AI135" s="162">
        <v>1.784</v>
      </c>
      <c r="AJ135" s="162">
        <v>1.82125</v>
      </c>
      <c r="AK135" s="162">
        <v>1.8520000000000001</v>
      </c>
      <c r="AL135" s="162">
        <v>1.8717250000000001</v>
      </c>
      <c r="AM135" s="162">
        <v>1.8914500000000001</v>
      </c>
      <c r="AN135" s="162">
        <v>1.9111750000000001</v>
      </c>
      <c r="AO135" s="162">
        <v>1.9309000000000001</v>
      </c>
      <c r="AP135" s="162">
        <v>1.9506250000000001</v>
      </c>
      <c r="AQ135" s="162">
        <v>1.9586250000000001</v>
      </c>
      <c r="AR135" s="162">
        <v>1.9666250000000001</v>
      </c>
      <c r="AS135" s="162">
        <v>1.9746250000000001</v>
      </c>
      <c r="AT135" s="162">
        <v>1.9826250000000001</v>
      </c>
      <c r="AU135" s="162">
        <v>1.9906250000000001</v>
      </c>
    </row>
    <row r="136" spans="1:47" ht="12.75" customHeight="1">
      <c r="A136" s="459">
        <v>41845</v>
      </c>
      <c r="B136" s="139">
        <v>30</v>
      </c>
      <c r="C136" s="162">
        <v>4.0250000000000001E-2</v>
      </c>
      <c r="D136" s="162">
        <v>4.0250000000000001E-2</v>
      </c>
      <c r="E136" s="162">
        <v>4.9459999999999997E-2</v>
      </c>
      <c r="F136" s="162">
        <v>5.1900000000000002E-2</v>
      </c>
      <c r="G136" s="162">
        <v>5.3600000000000002E-2</v>
      </c>
      <c r="H136" s="162">
        <v>6.2600000000000003E-2</v>
      </c>
      <c r="I136" s="162">
        <v>6.0600000000000001E-2</v>
      </c>
      <c r="J136" s="162">
        <v>5.8099999999999999E-2</v>
      </c>
      <c r="K136" s="162">
        <v>5.7299999999999997E-2</v>
      </c>
      <c r="L136" s="162">
        <v>5.8400000000000001E-2</v>
      </c>
      <c r="M136" s="162">
        <v>5.67E-2</v>
      </c>
      <c r="N136" s="162">
        <v>5.3719999999999997E-2</v>
      </c>
      <c r="O136" s="162">
        <v>5.636E-2</v>
      </c>
      <c r="P136" s="162">
        <v>5.0700000000000002E-2</v>
      </c>
      <c r="Q136" s="162">
        <v>5.0799999999999998E-2</v>
      </c>
      <c r="R136" s="162">
        <v>4.9700000000000001E-2</v>
      </c>
      <c r="S136" s="162">
        <v>5.8599999999999999E-2</v>
      </c>
      <c r="T136" s="162">
        <v>0.11310000000000001</v>
      </c>
      <c r="U136" s="162">
        <v>0.2054</v>
      </c>
      <c r="V136" s="162">
        <v>0.33189999999999997</v>
      </c>
      <c r="W136" s="162">
        <v>0.48120000000000002</v>
      </c>
      <c r="X136" s="162">
        <v>0.64100000000000001</v>
      </c>
      <c r="Y136" s="162">
        <v>0.79849999999999999</v>
      </c>
      <c r="Z136" s="162">
        <v>0.94489999999999996</v>
      </c>
      <c r="AA136" s="162">
        <v>1.0773999999999999</v>
      </c>
      <c r="AB136" s="162">
        <v>1.1979</v>
      </c>
      <c r="AC136" s="162">
        <v>1.306</v>
      </c>
      <c r="AD136" s="162">
        <v>1.4017999999999999</v>
      </c>
      <c r="AE136" s="162">
        <v>1.4856</v>
      </c>
      <c r="AF136" s="162">
        <v>1.5590999999999999</v>
      </c>
      <c r="AG136" s="162">
        <v>1.6194</v>
      </c>
      <c r="AH136" s="162">
        <v>1.6706000000000001</v>
      </c>
      <c r="AI136" s="162">
        <v>1.7132000000000001</v>
      </c>
      <c r="AJ136" s="162">
        <v>1.7484</v>
      </c>
      <c r="AK136" s="162">
        <v>1.7786</v>
      </c>
      <c r="AL136" s="162">
        <v>1.7968599999999999</v>
      </c>
      <c r="AM136" s="162">
        <v>1.8151200000000001</v>
      </c>
      <c r="AN136" s="162">
        <v>1.83338</v>
      </c>
      <c r="AO136" s="162">
        <v>1.85164</v>
      </c>
      <c r="AP136" s="162">
        <v>1.8698999999999999</v>
      </c>
      <c r="AQ136" s="162">
        <v>1.87696</v>
      </c>
      <c r="AR136" s="162">
        <v>1.88402</v>
      </c>
      <c r="AS136" s="162">
        <v>1.8910800000000001</v>
      </c>
      <c r="AT136" s="162">
        <v>1.8981399999999999</v>
      </c>
      <c r="AU136" s="162">
        <v>1.9052</v>
      </c>
    </row>
    <row r="137" spans="1:47" ht="12.75" customHeight="1">
      <c r="A137" s="459">
        <v>41852</v>
      </c>
      <c r="B137" s="139">
        <v>31</v>
      </c>
      <c r="C137" s="162">
        <v>4.4499999999999998E-2</v>
      </c>
      <c r="D137" s="162">
        <v>4.4499999999999998E-2</v>
      </c>
      <c r="E137" s="162">
        <v>7.7759999999999996E-2</v>
      </c>
      <c r="F137" s="162">
        <v>7.7600000000000002E-2</v>
      </c>
      <c r="G137" s="162">
        <v>7.0660000000000001E-2</v>
      </c>
      <c r="H137" s="162">
        <v>8.1600000000000006E-2</v>
      </c>
      <c r="I137" s="162">
        <v>7.646E-2</v>
      </c>
      <c r="J137" s="162">
        <v>7.5660000000000005E-2</v>
      </c>
      <c r="K137" s="162">
        <v>7.3599999999999999E-2</v>
      </c>
      <c r="L137" s="162">
        <v>7.3200000000000001E-2</v>
      </c>
      <c r="M137" s="162">
        <v>7.3700000000000002E-2</v>
      </c>
      <c r="N137" s="162">
        <v>7.2499999999999995E-2</v>
      </c>
      <c r="O137" s="162">
        <v>7.1099999999999997E-2</v>
      </c>
      <c r="P137" s="162">
        <v>6.7400000000000002E-2</v>
      </c>
      <c r="Q137" s="162">
        <v>6.5600000000000006E-2</v>
      </c>
      <c r="R137" s="162">
        <v>6.3E-2</v>
      </c>
      <c r="S137" s="162">
        <v>7.3599999999999999E-2</v>
      </c>
      <c r="T137" s="162">
        <v>0.12640000000000001</v>
      </c>
      <c r="U137" s="162">
        <v>0.21440000000000001</v>
      </c>
      <c r="V137" s="162">
        <v>0.33329999999999999</v>
      </c>
      <c r="W137" s="162">
        <v>0.47560000000000002</v>
      </c>
      <c r="X137" s="162">
        <v>0.62760000000000005</v>
      </c>
      <c r="Y137" s="162">
        <v>0.77880000000000005</v>
      </c>
      <c r="Z137" s="162">
        <v>0.92110000000000003</v>
      </c>
      <c r="AA137" s="162">
        <v>1.0498000000000001</v>
      </c>
      <c r="AB137" s="162">
        <v>1.1675</v>
      </c>
      <c r="AC137" s="162">
        <v>1.2749999999999999</v>
      </c>
      <c r="AD137" s="162">
        <v>1.3675999999999999</v>
      </c>
      <c r="AE137" s="162">
        <v>1.4498</v>
      </c>
      <c r="AF137" s="162">
        <v>1.5206999999999999</v>
      </c>
      <c r="AG137" s="162">
        <v>1.581</v>
      </c>
      <c r="AH137" s="162">
        <v>1.6315999999999999</v>
      </c>
      <c r="AI137" s="162">
        <v>1.6738</v>
      </c>
      <c r="AJ137" s="162">
        <v>1.7094</v>
      </c>
      <c r="AK137" s="162">
        <v>1.7375</v>
      </c>
      <c r="AL137" s="162">
        <v>1.7557799999999999</v>
      </c>
      <c r="AM137" s="162">
        <v>1.77406</v>
      </c>
      <c r="AN137" s="162">
        <v>1.79234</v>
      </c>
      <c r="AO137" s="162">
        <v>1.8106199999999999</v>
      </c>
      <c r="AP137" s="162">
        <v>1.8289</v>
      </c>
      <c r="AQ137" s="162">
        <v>1.83582</v>
      </c>
      <c r="AR137" s="162">
        <v>1.84274</v>
      </c>
      <c r="AS137" s="162">
        <v>1.8496600000000001</v>
      </c>
      <c r="AT137" s="162">
        <v>1.8565799999999999</v>
      </c>
      <c r="AU137" s="162">
        <v>1.8634999999999999</v>
      </c>
    </row>
    <row r="138" spans="1:47" ht="12.75" customHeight="1">
      <c r="A138" s="459">
        <v>41859</v>
      </c>
      <c r="B138" s="139">
        <v>32</v>
      </c>
      <c r="C138" s="162">
        <v>7.1999999999999995E-2</v>
      </c>
      <c r="D138" s="162">
        <v>7.1999999999999995E-2</v>
      </c>
      <c r="E138" s="162">
        <v>4.5900000000000003E-2</v>
      </c>
      <c r="F138" s="162">
        <v>4.8219999999999999E-2</v>
      </c>
      <c r="G138" s="162">
        <v>6.336E-2</v>
      </c>
      <c r="H138" s="162">
        <v>6.9199999999999998E-2</v>
      </c>
      <c r="I138" s="162">
        <v>6.6600000000000006E-2</v>
      </c>
      <c r="J138" s="162">
        <v>6.6799999999999998E-2</v>
      </c>
      <c r="K138" s="162">
        <v>6.4699999999999994E-2</v>
      </c>
      <c r="L138" s="162">
        <v>6.5000000000000002E-2</v>
      </c>
      <c r="M138" s="162">
        <v>6.9800000000000001E-2</v>
      </c>
      <c r="N138" s="162">
        <v>6.6600000000000006E-2</v>
      </c>
      <c r="O138" s="162">
        <v>6.4699999999999994E-2</v>
      </c>
      <c r="P138" s="162">
        <v>6.2E-2</v>
      </c>
      <c r="Q138" s="162">
        <v>6.0499999999999998E-2</v>
      </c>
      <c r="R138" s="162">
        <v>5.8360000000000002E-2</v>
      </c>
      <c r="S138" s="162">
        <v>7.0800000000000002E-2</v>
      </c>
      <c r="T138" s="162">
        <v>0.12690000000000001</v>
      </c>
      <c r="U138" s="162">
        <v>0.2165</v>
      </c>
      <c r="V138" s="162">
        <v>0.33560000000000001</v>
      </c>
      <c r="W138" s="162">
        <v>0.4768</v>
      </c>
      <c r="X138" s="162">
        <v>0.62719999999999998</v>
      </c>
      <c r="Y138" s="162">
        <v>0.77669999999999995</v>
      </c>
      <c r="Z138" s="162">
        <v>0.91810000000000003</v>
      </c>
      <c r="AA138" s="162">
        <v>1.0450999999999999</v>
      </c>
      <c r="AB138" s="162">
        <v>1.1592</v>
      </c>
      <c r="AC138" s="162">
        <v>1.2623</v>
      </c>
      <c r="AD138" s="162">
        <v>1.3517999999999999</v>
      </c>
      <c r="AE138" s="162">
        <v>1.4315</v>
      </c>
      <c r="AF138" s="162">
        <v>1.5007999999999999</v>
      </c>
      <c r="AG138" s="162">
        <v>1.5606</v>
      </c>
      <c r="AH138" s="162">
        <v>1.6106</v>
      </c>
      <c r="AI138" s="162">
        <v>1.6524000000000001</v>
      </c>
      <c r="AJ138" s="162">
        <v>1.6881999999999999</v>
      </c>
      <c r="AK138" s="162">
        <v>1.7178</v>
      </c>
      <c r="AL138" s="162">
        <v>1.736</v>
      </c>
      <c r="AM138" s="162">
        <v>1.7542</v>
      </c>
      <c r="AN138" s="162">
        <v>1.7724</v>
      </c>
      <c r="AO138" s="162">
        <v>1.7906</v>
      </c>
      <c r="AP138" s="162">
        <v>1.8088</v>
      </c>
      <c r="AQ138" s="162">
        <v>1.81592</v>
      </c>
      <c r="AR138" s="162">
        <v>1.82304</v>
      </c>
      <c r="AS138" s="162">
        <v>1.83016</v>
      </c>
      <c r="AT138" s="162">
        <v>1.83728</v>
      </c>
      <c r="AU138" s="162">
        <v>1.8444</v>
      </c>
    </row>
    <row r="139" spans="1:47" ht="12.75" customHeight="1">
      <c r="A139" s="459">
        <v>41866</v>
      </c>
      <c r="B139" s="139">
        <v>33</v>
      </c>
      <c r="C139" s="162">
        <v>2.375E-2</v>
      </c>
      <c r="D139" s="162">
        <v>2.375E-2</v>
      </c>
      <c r="E139" s="162">
        <v>4.5199999999999997E-2</v>
      </c>
      <c r="F139" s="162">
        <v>5.4199999999999998E-2</v>
      </c>
      <c r="G139" s="162">
        <v>6.0400000000000002E-2</v>
      </c>
      <c r="H139" s="162">
        <v>6.2799999999999995E-2</v>
      </c>
      <c r="I139" s="162">
        <v>6.0199999999999997E-2</v>
      </c>
      <c r="J139" s="162">
        <v>6.08E-2</v>
      </c>
      <c r="K139" s="162">
        <v>6.0499999999999998E-2</v>
      </c>
      <c r="L139" s="162">
        <v>0.06</v>
      </c>
      <c r="M139" s="162">
        <v>6.2300000000000001E-2</v>
      </c>
      <c r="N139" s="162">
        <v>6.1600000000000002E-2</v>
      </c>
      <c r="O139" s="162">
        <v>6.0600000000000001E-2</v>
      </c>
      <c r="P139" s="162">
        <v>5.6399999999999999E-2</v>
      </c>
      <c r="Q139" s="162">
        <v>5.3800000000000001E-2</v>
      </c>
      <c r="R139" s="162">
        <v>5.8999999999999997E-2</v>
      </c>
      <c r="S139" s="162">
        <v>5.96E-2</v>
      </c>
      <c r="T139" s="162">
        <v>0.11282</v>
      </c>
      <c r="U139" s="162">
        <v>0.19409999999999999</v>
      </c>
      <c r="V139" s="162">
        <v>0.31019999999999998</v>
      </c>
      <c r="W139" s="162">
        <v>0.44740000000000002</v>
      </c>
      <c r="X139" s="162">
        <v>0.5927</v>
      </c>
      <c r="Y139" s="162">
        <v>0.73750000000000004</v>
      </c>
      <c r="Z139" s="162">
        <v>0.876</v>
      </c>
      <c r="AA139" s="162">
        <v>1.0004999999999999</v>
      </c>
      <c r="AB139" s="162">
        <v>1.1141000000000001</v>
      </c>
      <c r="AC139" s="162">
        <v>1.2162999999999999</v>
      </c>
      <c r="AD139" s="162">
        <v>1.3066</v>
      </c>
      <c r="AE139" s="162">
        <v>1.385</v>
      </c>
      <c r="AF139" s="162">
        <v>1.4535</v>
      </c>
      <c r="AG139" s="162">
        <v>1.5144</v>
      </c>
      <c r="AH139" s="162">
        <v>1.5638000000000001</v>
      </c>
      <c r="AI139" s="162">
        <v>1.6052</v>
      </c>
      <c r="AJ139" s="162">
        <v>1.64</v>
      </c>
      <c r="AK139" s="162">
        <v>1.6664000000000001</v>
      </c>
      <c r="AL139" s="162">
        <v>1.6839200000000001</v>
      </c>
      <c r="AM139" s="162">
        <v>1.7014400000000001</v>
      </c>
      <c r="AN139" s="162">
        <v>1.71896</v>
      </c>
      <c r="AO139" s="162">
        <v>1.73648</v>
      </c>
      <c r="AP139" s="162">
        <v>1.754</v>
      </c>
      <c r="AQ139" s="162">
        <v>1.7609399999999999</v>
      </c>
      <c r="AR139" s="162">
        <v>1.7678799999999999</v>
      </c>
      <c r="AS139" s="162">
        <v>1.7748200000000001</v>
      </c>
      <c r="AT139" s="162">
        <v>1.78176</v>
      </c>
      <c r="AU139" s="162">
        <v>1.7887</v>
      </c>
    </row>
    <row r="140" spans="1:47" ht="12.75" customHeight="1">
      <c r="A140" s="459">
        <v>41873</v>
      </c>
      <c r="B140" s="139">
        <v>34</v>
      </c>
      <c r="C140" s="162">
        <v>1.2666699999999999E-2</v>
      </c>
      <c r="D140" s="162">
        <v>1.2666699999999999E-2</v>
      </c>
      <c r="E140" s="162">
        <v>5.3749999999999999E-2</v>
      </c>
      <c r="F140" s="162">
        <v>5.1499999999999997E-2</v>
      </c>
      <c r="G140" s="162">
        <v>5.4375E-2</v>
      </c>
      <c r="H140" s="162">
        <v>5.1499999999999997E-2</v>
      </c>
      <c r="I140" s="162">
        <v>4.9450000000000001E-2</v>
      </c>
      <c r="J140" s="162">
        <v>5.1374999999999997E-2</v>
      </c>
      <c r="K140" s="162">
        <v>4.87E-2</v>
      </c>
      <c r="L140" s="162">
        <v>5.6825000000000001E-2</v>
      </c>
      <c r="M140" s="162">
        <v>5.3449999999999998E-2</v>
      </c>
      <c r="N140" s="162">
        <v>5.2999999999999999E-2</v>
      </c>
      <c r="O140" s="162">
        <v>4.8250000000000001E-2</v>
      </c>
      <c r="P140" s="162">
        <v>4.4374999999999998E-2</v>
      </c>
      <c r="Q140" s="162">
        <v>4.2575000000000002E-2</v>
      </c>
      <c r="R140" s="162">
        <v>3.9574999999999999E-2</v>
      </c>
      <c r="S140" s="162">
        <v>4.2500000000000003E-2</v>
      </c>
      <c r="T140" s="162">
        <v>8.8900000000000007E-2</v>
      </c>
      <c r="U140" s="162">
        <v>0.16725000000000001</v>
      </c>
      <c r="V140" s="162">
        <v>0.27850000000000003</v>
      </c>
      <c r="W140" s="162">
        <v>0.41012500000000002</v>
      </c>
      <c r="X140" s="162">
        <v>0.55287500000000001</v>
      </c>
      <c r="Y140" s="162">
        <v>0.69499999999999995</v>
      </c>
      <c r="Z140" s="162">
        <v>0.83187500000000003</v>
      </c>
      <c r="AA140" s="162">
        <v>0.95625000000000004</v>
      </c>
      <c r="AB140" s="162">
        <v>1.069625</v>
      </c>
      <c r="AC140" s="162">
        <v>1.1716249999999999</v>
      </c>
      <c r="AD140" s="162">
        <v>1.2597499999999999</v>
      </c>
      <c r="AE140" s="162">
        <v>1.3382499999999999</v>
      </c>
      <c r="AF140" s="162">
        <v>1.407125</v>
      </c>
      <c r="AG140" s="162">
        <v>1.46475</v>
      </c>
      <c r="AH140" s="162">
        <v>1.5137499999999999</v>
      </c>
      <c r="AI140" s="162">
        <v>1.55525</v>
      </c>
      <c r="AJ140" s="162">
        <v>1.58975</v>
      </c>
      <c r="AK140" s="162">
        <v>1.61975</v>
      </c>
      <c r="AL140" s="162">
        <v>1.6375500000000001</v>
      </c>
      <c r="AM140" s="162">
        <v>1.6553500000000001</v>
      </c>
      <c r="AN140" s="162">
        <v>1.6731499999999999</v>
      </c>
      <c r="AO140" s="162">
        <v>1.69095</v>
      </c>
      <c r="AP140" s="162">
        <v>1.70875</v>
      </c>
      <c r="AQ140" s="162">
        <v>1.7162999999999999</v>
      </c>
      <c r="AR140" s="162">
        <v>1.7238500000000001</v>
      </c>
      <c r="AS140" s="162">
        <v>1.7314000000000001</v>
      </c>
      <c r="AT140" s="162">
        <v>1.73895</v>
      </c>
      <c r="AU140" s="162">
        <v>1.7464999999999999</v>
      </c>
    </row>
    <row r="141" spans="1:47" ht="12.75" customHeight="1">
      <c r="A141" s="459">
        <v>41880</v>
      </c>
      <c r="B141" s="139">
        <v>35</v>
      </c>
      <c r="C141" s="162">
        <v>9.4999999999999998E-3</v>
      </c>
      <c r="D141" s="162">
        <v>9.4999999999999998E-3</v>
      </c>
      <c r="E141" s="162">
        <v>4.1099999999999998E-2</v>
      </c>
      <c r="F141" s="162">
        <v>4.9000000000000002E-2</v>
      </c>
      <c r="G141" s="162">
        <v>3.952E-2</v>
      </c>
      <c r="H141" s="162">
        <v>3.3599999999999998E-2</v>
      </c>
      <c r="I141" s="162">
        <v>3.3799999999999997E-2</v>
      </c>
      <c r="J141" s="162">
        <v>3.6900000000000002E-2</v>
      </c>
      <c r="K141" s="162">
        <v>3.5000000000000003E-2</v>
      </c>
      <c r="L141" s="162">
        <v>3.78E-2</v>
      </c>
      <c r="M141" s="162">
        <v>3.8399999999999997E-2</v>
      </c>
      <c r="N141" s="162">
        <v>3.6700000000000003E-2</v>
      </c>
      <c r="O141" s="162">
        <v>3.1899999999999998E-2</v>
      </c>
      <c r="P141" s="162">
        <v>3.3099999999999997E-2</v>
      </c>
      <c r="Q141" s="162">
        <v>2.7660000000000001E-2</v>
      </c>
      <c r="R141" s="162">
        <v>2.63E-2</v>
      </c>
      <c r="S141" s="162">
        <v>3.2000000000000001E-2</v>
      </c>
      <c r="T141" s="162">
        <v>7.6100000000000001E-2</v>
      </c>
      <c r="U141" s="162">
        <v>0.1479</v>
      </c>
      <c r="V141" s="162">
        <v>0.2487</v>
      </c>
      <c r="W141" s="162">
        <v>0.3715</v>
      </c>
      <c r="X141" s="162">
        <v>0.50549999999999995</v>
      </c>
      <c r="Y141" s="162">
        <v>0.64080000000000004</v>
      </c>
      <c r="Z141" s="162">
        <v>0.77180000000000004</v>
      </c>
      <c r="AA141" s="162">
        <v>0.88800000000000001</v>
      </c>
      <c r="AB141" s="162">
        <v>0.99399999999999999</v>
      </c>
      <c r="AC141" s="162">
        <v>1.0886</v>
      </c>
      <c r="AD141" s="162">
        <v>1.1718</v>
      </c>
      <c r="AE141" s="162">
        <v>1.2454000000000001</v>
      </c>
      <c r="AF141" s="162">
        <v>1.3095000000000001</v>
      </c>
      <c r="AG141" s="162">
        <v>1.3688</v>
      </c>
      <c r="AH141" s="162">
        <v>1.4156</v>
      </c>
      <c r="AI141" s="162">
        <v>1.4552</v>
      </c>
      <c r="AJ141" s="162">
        <v>1.4890000000000001</v>
      </c>
      <c r="AK141" s="162">
        <v>1.5129999999999999</v>
      </c>
      <c r="AL141" s="162">
        <v>1.53146</v>
      </c>
      <c r="AM141" s="162">
        <v>1.54992</v>
      </c>
      <c r="AN141" s="162">
        <v>1.5683800000000001</v>
      </c>
      <c r="AO141" s="162">
        <v>1.58684</v>
      </c>
      <c r="AP141" s="162">
        <v>1.6052999999999999</v>
      </c>
      <c r="AQ141" s="162">
        <v>1.61368</v>
      </c>
      <c r="AR141" s="162">
        <v>1.6220600000000001</v>
      </c>
      <c r="AS141" s="162">
        <v>1.6304399999999999</v>
      </c>
      <c r="AT141" s="162">
        <v>1.6388199999999999</v>
      </c>
      <c r="AU141" s="162">
        <v>1.6472</v>
      </c>
    </row>
    <row r="142" spans="1:47" ht="12.75" customHeight="1">
      <c r="A142" s="459">
        <v>41887</v>
      </c>
      <c r="B142" s="139">
        <v>36</v>
      </c>
      <c r="C142" s="162">
        <v>8.7500000000000008E-3</v>
      </c>
      <c r="D142" s="162">
        <v>8.7500000000000008E-3</v>
      </c>
      <c r="E142" s="162">
        <v>4.0500000000000001E-2</v>
      </c>
      <c r="F142" s="162">
        <v>3.5999999999999997E-2</v>
      </c>
      <c r="G142" s="162">
        <v>2.2100000000000002E-2</v>
      </c>
      <c r="H142" s="162">
        <v>1.4959999999999999E-2</v>
      </c>
      <c r="I142" s="162">
        <v>1.2359999999999999E-2</v>
      </c>
      <c r="J142" s="162">
        <v>7.6E-3</v>
      </c>
      <c r="K142" s="162">
        <v>7.1599999999999997E-3</v>
      </c>
      <c r="L142" s="162">
        <v>8.7600000000000004E-3</v>
      </c>
      <c r="M142" s="162">
        <v>5.3600000000000002E-3</v>
      </c>
      <c r="N142" s="162">
        <v>5.1000000000000004E-3</v>
      </c>
      <c r="O142" s="162">
        <v>-5.1999999999999995E-4</v>
      </c>
      <c r="P142" s="162">
        <v>3.7200000000000002E-3</v>
      </c>
      <c r="Q142" s="162">
        <v>-3.0000000000000001E-3</v>
      </c>
      <c r="R142" s="162">
        <v>-8.2000000000000007E-3</v>
      </c>
      <c r="S142" s="162">
        <v>-4.0000000000000002E-4</v>
      </c>
      <c r="T142" s="162">
        <v>3.8800000000000001E-2</v>
      </c>
      <c r="U142" s="162">
        <v>0.10150000000000001</v>
      </c>
      <c r="V142" s="162">
        <v>0.1918</v>
      </c>
      <c r="W142" s="162">
        <v>0.30159999999999998</v>
      </c>
      <c r="X142" s="162">
        <v>0.42330000000000001</v>
      </c>
      <c r="Y142" s="162">
        <v>0.55059999999999998</v>
      </c>
      <c r="Z142" s="162">
        <v>0.67479999999999996</v>
      </c>
      <c r="AA142" s="162">
        <v>0.78669999999999995</v>
      </c>
      <c r="AB142" s="162">
        <v>0.8891</v>
      </c>
      <c r="AC142" s="162">
        <v>0.98129999999999995</v>
      </c>
      <c r="AD142" s="162">
        <v>1.0624</v>
      </c>
      <c r="AE142" s="162">
        <v>1.135</v>
      </c>
      <c r="AF142" s="162">
        <v>1.1983999999999999</v>
      </c>
      <c r="AG142" s="162">
        <v>1.2585999999999999</v>
      </c>
      <c r="AH142" s="162">
        <v>1.3064</v>
      </c>
      <c r="AI142" s="162">
        <v>1.3472</v>
      </c>
      <c r="AJ142" s="162">
        <v>1.3826000000000001</v>
      </c>
      <c r="AK142" s="162">
        <v>1.4074</v>
      </c>
      <c r="AL142" s="162">
        <v>1.4273800000000001</v>
      </c>
      <c r="AM142" s="162">
        <v>1.44736</v>
      </c>
      <c r="AN142" s="162">
        <v>1.4673400000000001</v>
      </c>
      <c r="AO142" s="162">
        <v>1.48732</v>
      </c>
      <c r="AP142" s="162">
        <v>1.5073000000000001</v>
      </c>
      <c r="AQ142" s="162">
        <v>1.51756</v>
      </c>
      <c r="AR142" s="162">
        <v>1.52782</v>
      </c>
      <c r="AS142" s="162">
        <v>1.5380799999999999</v>
      </c>
      <c r="AT142" s="162">
        <v>1.54834</v>
      </c>
      <c r="AU142" s="162">
        <v>1.5586</v>
      </c>
    </row>
    <row r="143" spans="1:47" ht="12.75" customHeight="1">
      <c r="A143" s="459">
        <v>41894</v>
      </c>
      <c r="B143" s="139">
        <v>37</v>
      </c>
      <c r="C143" s="162">
        <v>-5.7499999999999999E-3</v>
      </c>
      <c r="D143" s="162">
        <v>-5.7499999999999999E-3</v>
      </c>
      <c r="E143" s="162">
        <v>-2.3300000000000001E-2</v>
      </c>
      <c r="F143" s="162">
        <v>-2.2599999999999999E-2</v>
      </c>
      <c r="G143" s="162">
        <v>-2.6419999999999999E-2</v>
      </c>
      <c r="H143" s="162">
        <v>-3.1859999999999999E-2</v>
      </c>
      <c r="I143" s="162">
        <v>-3.1300000000000001E-2</v>
      </c>
      <c r="J143" s="162">
        <v>-3.1119999999999998E-2</v>
      </c>
      <c r="K143" s="162">
        <v>-3.3860000000000001E-2</v>
      </c>
      <c r="L143" s="162">
        <v>-2.87E-2</v>
      </c>
      <c r="M143" s="162">
        <v>-3.3399999999999999E-2</v>
      </c>
      <c r="N143" s="162">
        <v>-3.4200000000000001E-2</v>
      </c>
      <c r="O143" s="162">
        <v>-3.5860000000000003E-2</v>
      </c>
      <c r="P143" s="162">
        <v>-0.04</v>
      </c>
      <c r="Q143" s="162">
        <v>-0.04</v>
      </c>
      <c r="R143" s="162">
        <v>-4.1000000000000002E-2</v>
      </c>
      <c r="S143" s="162">
        <v>-3.3599999999999998E-2</v>
      </c>
      <c r="T143" s="162">
        <v>3.8E-3</v>
      </c>
      <c r="U143" s="162">
        <v>7.4899999999999994E-2</v>
      </c>
      <c r="V143" s="162">
        <v>0.16819999999999999</v>
      </c>
      <c r="W143" s="162">
        <v>0.2883</v>
      </c>
      <c r="X143" s="162">
        <v>0.42020000000000002</v>
      </c>
      <c r="Y143" s="162">
        <v>0.55910000000000004</v>
      </c>
      <c r="Z143" s="162">
        <v>0.6925</v>
      </c>
      <c r="AA143" s="162">
        <v>0.81420000000000003</v>
      </c>
      <c r="AB143" s="162">
        <v>0.92430000000000001</v>
      </c>
      <c r="AC143" s="162">
        <v>1.0221</v>
      </c>
      <c r="AD143" s="162">
        <v>1.1095999999999999</v>
      </c>
      <c r="AE143" s="162">
        <v>1.1866000000000001</v>
      </c>
      <c r="AF143" s="162">
        <v>1.2541</v>
      </c>
      <c r="AG143" s="162">
        <v>1.2982</v>
      </c>
      <c r="AH143" s="162">
        <v>1.3495999999999999</v>
      </c>
      <c r="AI143" s="162">
        <v>1.3939999999999999</v>
      </c>
      <c r="AJ143" s="162">
        <v>1.4328000000000001</v>
      </c>
      <c r="AK143" s="162">
        <v>1.4831000000000001</v>
      </c>
      <c r="AL143" s="162">
        <v>1.5065</v>
      </c>
      <c r="AM143" s="162">
        <v>1.5299</v>
      </c>
      <c r="AN143" s="162">
        <v>1.5532999999999999</v>
      </c>
      <c r="AO143" s="162">
        <v>1.5767</v>
      </c>
      <c r="AP143" s="162">
        <v>1.6001000000000001</v>
      </c>
      <c r="AQ143" s="162">
        <v>1.6129199999999999</v>
      </c>
      <c r="AR143" s="162">
        <v>1.62574</v>
      </c>
      <c r="AS143" s="162">
        <v>1.63856</v>
      </c>
      <c r="AT143" s="162">
        <v>1.6513800000000001</v>
      </c>
      <c r="AU143" s="162">
        <v>1.6641999999999999</v>
      </c>
    </row>
    <row r="144" spans="1:47" ht="12.75" customHeight="1">
      <c r="A144" s="459">
        <v>41901</v>
      </c>
      <c r="B144" s="139">
        <v>38</v>
      </c>
      <c r="C144" s="162">
        <v>-6.2500000000000003E-3</v>
      </c>
      <c r="D144" s="162">
        <v>-6.2500000000000003E-3</v>
      </c>
      <c r="E144" s="162">
        <v>-4.5600000000000002E-2</v>
      </c>
      <c r="F144" s="162">
        <v>-4.24E-2</v>
      </c>
      <c r="G144" s="162">
        <v>-5.2699999999999997E-2</v>
      </c>
      <c r="H144" s="162">
        <v>-6.2399999999999997E-2</v>
      </c>
      <c r="I144" s="162">
        <v>-6.2399999999999997E-2</v>
      </c>
      <c r="J144" s="162">
        <v>-6.6000000000000003E-2</v>
      </c>
      <c r="K144" s="162">
        <v>-6.59E-2</v>
      </c>
      <c r="L144" s="162">
        <v>-6.4199999999999993E-2</v>
      </c>
      <c r="M144" s="162">
        <v>-6.6600000000000006E-2</v>
      </c>
      <c r="N144" s="162">
        <v>-6.9099999999999995E-2</v>
      </c>
      <c r="O144" s="162">
        <v>-6.93E-2</v>
      </c>
      <c r="P144" s="162">
        <v>-7.3700000000000002E-2</v>
      </c>
      <c r="Q144" s="162">
        <v>-7.3200000000000001E-2</v>
      </c>
      <c r="R144" s="162">
        <v>-7.4499999999999997E-2</v>
      </c>
      <c r="S144" s="162">
        <v>-6.2199999999999998E-2</v>
      </c>
      <c r="T144" s="162">
        <v>-1.34E-2</v>
      </c>
      <c r="U144" s="162">
        <v>6.9400000000000003E-2</v>
      </c>
      <c r="V144" s="162">
        <v>0.17979999999999999</v>
      </c>
      <c r="W144" s="162">
        <v>0.3145</v>
      </c>
      <c r="X144" s="162">
        <v>0.46179999999999999</v>
      </c>
      <c r="Y144" s="162">
        <v>0.6139</v>
      </c>
      <c r="Z144" s="162">
        <v>0.75870000000000004</v>
      </c>
      <c r="AA144" s="162">
        <v>0.88849999999999996</v>
      </c>
      <c r="AB144" s="162">
        <v>1.0048999999999999</v>
      </c>
      <c r="AC144" s="162">
        <v>1.1089</v>
      </c>
      <c r="AD144" s="162">
        <v>1.2000999999999999</v>
      </c>
      <c r="AE144" s="162">
        <v>1.2809999999999999</v>
      </c>
      <c r="AF144" s="162">
        <v>1.3511</v>
      </c>
      <c r="AG144" s="162">
        <v>1.4136</v>
      </c>
      <c r="AH144" s="162">
        <v>1.4670000000000001</v>
      </c>
      <c r="AI144" s="162">
        <v>1.5132000000000001</v>
      </c>
      <c r="AJ144" s="162">
        <v>1.5528</v>
      </c>
      <c r="AK144" s="162">
        <v>1.5866</v>
      </c>
      <c r="AL144" s="162">
        <v>1.6098399999999999</v>
      </c>
      <c r="AM144" s="162">
        <v>1.6330800000000001</v>
      </c>
      <c r="AN144" s="162">
        <v>1.65632</v>
      </c>
      <c r="AO144" s="162">
        <v>1.6795599999999999</v>
      </c>
      <c r="AP144" s="162">
        <v>1.7028000000000001</v>
      </c>
      <c r="AQ144" s="162">
        <v>1.71556</v>
      </c>
      <c r="AR144" s="162">
        <v>1.7283200000000001</v>
      </c>
      <c r="AS144" s="162">
        <v>1.74108</v>
      </c>
      <c r="AT144" s="162">
        <v>1.7538400000000001</v>
      </c>
      <c r="AU144" s="162">
        <v>1.7665999999999999</v>
      </c>
    </row>
    <row r="145" spans="1:47" ht="12.75" customHeight="1">
      <c r="A145" s="459">
        <v>41908</v>
      </c>
      <c r="B145" s="139">
        <v>39</v>
      </c>
      <c r="C145" s="162">
        <v>1.5E-3</v>
      </c>
      <c r="D145" s="162">
        <v>1.5E-3</v>
      </c>
      <c r="E145" s="162">
        <v>-3.5200000000000002E-2</v>
      </c>
      <c r="F145" s="162">
        <v>-3.5200000000000002E-2</v>
      </c>
      <c r="G145" s="162">
        <v>-4.2000000000000003E-2</v>
      </c>
      <c r="H145" s="162">
        <v>-4.5999999999999999E-2</v>
      </c>
      <c r="I145" s="162">
        <v>-4.6100000000000002E-2</v>
      </c>
      <c r="J145" s="162">
        <v>-4.7199999999999999E-2</v>
      </c>
      <c r="K145" s="162">
        <v>-4.7E-2</v>
      </c>
      <c r="L145" s="162">
        <v>-4.4659999999999998E-2</v>
      </c>
      <c r="M145" s="162">
        <v>-4.7399999999999998E-2</v>
      </c>
      <c r="N145" s="162">
        <v>-5.0799999999999998E-2</v>
      </c>
      <c r="O145" s="162">
        <v>-5.416E-2</v>
      </c>
      <c r="P145" s="162">
        <v>-5.7759999999999999E-2</v>
      </c>
      <c r="Q145" s="162">
        <v>-5.7000000000000002E-2</v>
      </c>
      <c r="R145" s="162">
        <v>-5.8799999999999998E-2</v>
      </c>
      <c r="S145" s="162">
        <v>-4.9399999999999999E-2</v>
      </c>
      <c r="T145" s="162">
        <v>-3.4000000000000002E-4</v>
      </c>
      <c r="U145" s="162">
        <v>8.0799999999999997E-2</v>
      </c>
      <c r="V145" s="162">
        <v>0.19600000000000001</v>
      </c>
      <c r="W145" s="162">
        <v>0.3357</v>
      </c>
      <c r="X145" s="162">
        <v>0.48770000000000002</v>
      </c>
      <c r="Y145" s="162">
        <v>0.64290000000000003</v>
      </c>
      <c r="Z145" s="162">
        <v>0.78939999999999999</v>
      </c>
      <c r="AA145" s="162">
        <v>0.92079999999999995</v>
      </c>
      <c r="AB145" s="162">
        <v>1.0389999999999999</v>
      </c>
      <c r="AC145" s="162">
        <v>1.1462000000000001</v>
      </c>
      <c r="AD145" s="162">
        <v>1.2392000000000001</v>
      </c>
      <c r="AE145" s="162">
        <v>1.3211999999999999</v>
      </c>
      <c r="AF145" s="162">
        <v>1.3929</v>
      </c>
      <c r="AG145" s="162">
        <v>1.46</v>
      </c>
      <c r="AH145" s="162">
        <v>1.5149999999999999</v>
      </c>
      <c r="AI145" s="162">
        <v>1.5620000000000001</v>
      </c>
      <c r="AJ145" s="162">
        <v>1.603</v>
      </c>
      <c r="AK145" s="162">
        <v>1.6325000000000001</v>
      </c>
      <c r="AL145" s="162">
        <v>1.65482</v>
      </c>
      <c r="AM145" s="162">
        <v>1.6771400000000001</v>
      </c>
      <c r="AN145" s="162">
        <v>1.69946</v>
      </c>
      <c r="AO145" s="162">
        <v>1.7217800000000001</v>
      </c>
      <c r="AP145" s="162">
        <v>1.7441</v>
      </c>
      <c r="AQ145" s="162">
        <v>1.7553000000000001</v>
      </c>
      <c r="AR145" s="162">
        <v>1.7665</v>
      </c>
      <c r="AS145" s="162">
        <v>1.7777000000000001</v>
      </c>
      <c r="AT145" s="162">
        <v>1.7888999999999999</v>
      </c>
      <c r="AU145" s="162">
        <v>1.8001</v>
      </c>
    </row>
    <row r="146" spans="1:47" ht="12.75" customHeight="1">
      <c r="A146" s="459">
        <v>41915</v>
      </c>
      <c r="B146" s="139">
        <v>40</v>
      </c>
      <c r="C146" s="162">
        <v>8.9999999999999993E-3</v>
      </c>
      <c r="D146" s="162">
        <v>8.9999999999999993E-3</v>
      </c>
      <c r="E146" s="162">
        <v>-2.23E-2</v>
      </c>
      <c r="F146" s="162">
        <v>-2.5999999999999999E-2</v>
      </c>
      <c r="G146" s="162">
        <v>-3.6700000000000003E-2</v>
      </c>
      <c r="H146" s="162">
        <v>-3.85E-2</v>
      </c>
      <c r="I146" s="162">
        <v>-3.9600000000000003E-2</v>
      </c>
      <c r="J146" s="162">
        <v>-4.0899999999999999E-2</v>
      </c>
      <c r="K146" s="162">
        <v>-3.7999999999999999E-2</v>
      </c>
      <c r="L146" s="162">
        <v>-3.7260000000000001E-2</v>
      </c>
      <c r="M146" s="162">
        <v>-4.1000000000000002E-2</v>
      </c>
      <c r="N146" s="162">
        <v>-4.48E-2</v>
      </c>
      <c r="O146" s="162">
        <v>-4.8599999999999997E-2</v>
      </c>
      <c r="P146" s="162">
        <v>-5.1900000000000002E-2</v>
      </c>
      <c r="Q146" s="162">
        <v>-5.2600000000000001E-2</v>
      </c>
      <c r="R146" s="162">
        <v>-5.3999999999999999E-2</v>
      </c>
      <c r="S146" s="162">
        <v>-4.6800000000000001E-2</v>
      </c>
      <c r="T146" s="162">
        <v>-9.9000000000000008E-3</v>
      </c>
      <c r="U146" s="162">
        <v>6.3100000000000003E-2</v>
      </c>
      <c r="V146" s="162">
        <v>0.16830000000000001</v>
      </c>
      <c r="W146" s="162">
        <v>0.29849999999999999</v>
      </c>
      <c r="X146" s="162">
        <v>0.4405</v>
      </c>
      <c r="Y146" s="162">
        <v>0.58720000000000006</v>
      </c>
      <c r="Z146" s="162">
        <v>0.72760000000000002</v>
      </c>
      <c r="AA146" s="162">
        <v>0.85540000000000005</v>
      </c>
      <c r="AB146" s="162">
        <v>0.97209999999999996</v>
      </c>
      <c r="AC146" s="162">
        <v>1.0777000000000001</v>
      </c>
      <c r="AD146" s="162">
        <v>1.1704000000000001</v>
      </c>
      <c r="AE146" s="162">
        <v>1.2524</v>
      </c>
      <c r="AF146" s="162">
        <v>1.3245</v>
      </c>
      <c r="AG146" s="162">
        <v>1.3875999999999999</v>
      </c>
      <c r="AH146" s="162">
        <v>1.4426000000000001</v>
      </c>
      <c r="AI146" s="162">
        <v>1.4903999999999999</v>
      </c>
      <c r="AJ146" s="162">
        <v>1.5316000000000001</v>
      </c>
      <c r="AK146" s="162">
        <v>1.5669</v>
      </c>
      <c r="AL146" s="162">
        <v>1.58914</v>
      </c>
      <c r="AM146" s="162">
        <v>1.61138</v>
      </c>
      <c r="AN146" s="162">
        <v>1.6336200000000001</v>
      </c>
      <c r="AO146" s="162">
        <v>1.6558600000000001</v>
      </c>
      <c r="AP146" s="162">
        <v>1.6780999999999999</v>
      </c>
      <c r="AQ146" s="162">
        <v>1.68858</v>
      </c>
      <c r="AR146" s="162">
        <v>1.69906</v>
      </c>
      <c r="AS146" s="162">
        <v>1.7095400000000001</v>
      </c>
      <c r="AT146" s="162">
        <v>1.7200200000000001</v>
      </c>
      <c r="AU146" s="162">
        <v>1.7304999999999999</v>
      </c>
    </row>
    <row r="147" spans="1:47" ht="12.75" customHeight="1">
      <c r="A147" s="459">
        <v>41922</v>
      </c>
      <c r="B147" s="139">
        <v>41</v>
      </c>
      <c r="C147" s="162">
        <v>2.75E-2</v>
      </c>
      <c r="D147" s="162">
        <v>2.75E-2</v>
      </c>
      <c r="E147" s="162">
        <v>-4.02E-2</v>
      </c>
      <c r="F147" s="162">
        <v>-3.49E-2</v>
      </c>
      <c r="G147" s="162">
        <v>-3.7600000000000001E-2</v>
      </c>
      <c r="H147" s="162">
        <v>-3.6900000000000002E-2</v>
      </c>
      <c r="I147" s="162">
        <v>-3.8399999999999997E-2</v>
      </c>
      <c r="J147" s="162">
        <v>-4.24E-2</v>
      </c>
      <c r="K147" s="162">
        <v>-0.04</v>
      </c>
      <c r="L147" s="162">
        <v>-4.0800000000000003E-2</v>
      </c>
      <c r="M147" s="162">
        <v>-4.376E-2</v>
      </c>
      <c r="N147" s="162">
        <v>-4.9259999999999998E-2</v>
      </c>
      <c r="O147" s="162">
        <v>-4.9639999999999997E-2</v>
      </c>
      <c r="P147" s="162">
        <v>-5.2999999999999999E-2</v>
      </c>
      <c r="Q147" s="162">
        <v>-5.4699999999999999E-2</v>
      </c>
      <c r="R147" s="162">
        <v>-5.62E-2</v>
      </c>
      <c r="S147" s="162">
        <v>-5.1799999999999999E-2</v>
      </c>
      <c r="T147" s="162">
        <v>-1.72E-2</v>
      </c>
      <c r="U147" s="162">
        <v>4.7899999999999998E-2</v>
      </c>
      <c r="V147" s="162">
        <v>0.14380000000000001</v>
      </c>
      <c r="W147" s="162">
        <v>0.26800000000000002</v>
      </c>
      <c r="X147" s="162">
        <v>0.4073</v>
      </c>
      <c r="Y147" s="162">
        <v>0.55089999999999995</v>
      </c>
      <c r="Z147" s="162">
        <v>0.68830000000000002</v>
      </c>
      <c r="AA147" s="162">
        <v>0.81240000000000001</v>
      </c>
      <c r="AB147" s="162">
        <v>0.92659999999999998</v>
      </c>
      <c r="AC147" s="162">
        <v>1.0306</v>
      </c>
      <c r="AD147" s="162">
        <v>1.1217999999999999</v>
      </c>
      <c r="AE147" s="162">
        <v>1.2036</v>
      </c>
      <c r="AF147" s="162">
        <v>1.2739</v>
      </c>
      <c r="AG147" s="162">
        <v>1.3362000000000001</v>
      </c>
      <c r="AH147" s="162">
        <v>1.3906000000000001</v>
      </c>
      <c r="AI147" s="162">
        <v>1.4379999999999999</v>
      </c>
      <c r="AJ147" s="162">
        <v>1.4787999999999999</v>
      </c>
      <c r="AK147" s="162">
        <v>1.5138</v>
      </c>
      <c r="AL147" s="162">
        <v>1.5356399999999999</v>
      </c>
      <c r="AM147" s="162">
        <v>1.55748</v>
      </c>
      <c r="AN147" s="162">
        <v>1.5793200000000001</v>
      </c>
      <c r="AO147" s="162">
        <v>1.6011599999999999</v>
      </c>
      <c r="AP147" s="162">
        <v>1.623</v>
      </c>
      <c r="AQ147" s="162">
        <v>1.6334599999999999</v>
      </c>
      <c r="AR147" s="162">
        <v>1.64392</v>
      </c>
      <c r="AS147" s="162">
        <v>1.65438</v>
      </c>
      <c r="AT147" s="162">
        <v>1.6648400000000001</v>
      </c>
      <c r="AU147" s="162">
        <v>1.6753</v>
      </c>
    </row>
    <row r="148" spans="1:47" ht="12.75" customHeight="1">
      <c r="A148" s="459">
        <v>41929</v>
      </c>
      <c r="B148" s="139">
        <v>42</v>
      </c>
      <c r="C148" s="162">
        <v>-1.925E-2</v>
      </c>
      <c r="D148" s="162">
        <v>-1.925E-2</v>
      </c>
      <c r="E148" s="162">
        <v>-2.6360000000000001E-2</v>
      </c>
      <c r="F148" s="162">
        <v>-2.596E-2</v>
      </c>
      <c r="G148" s="162">
        <v>-2.64E-2</v>
      </c>
      <c r="H148" s="162">
        <v>-2.4E-2</v>
      </c>
      <c r="I148" s="162">
        <v>-2.8199999999999999E-2</v>
      </c>
      <c r="J148" s="162">
        <v>-3.2899999999999999E-2</v>
      </c>
      <c r="K148" s="162">
        <v>-2.9100000000000001E-2</v>
      </c>
      <c r="L148" s="162">
        <v>-3.0300000000000001E-2</v>
      </c>
      <c r="M148" s="162">
        <v>-3.4200000000000001E-2</v>
      </c>
      <c r="N148" s="162">
        <v>-3.9800000000000002E-2</v>
      </c>
      <c r="O148" s="162">
        <v>-4.3099999999999999E-2</v>
      </c>
      <c r="P148" s="162">
        <v>-4.36E-2</v>
      </c>
      <c r="Q148" s="162">
        <v>-4.4999999999999998E-2</v>
      </c>
      <c r="R148" s="162">
        <v>-4.8000000000000001E-2</v>
      </c>
      <c r="S148" s="162">
        <v>-4.0800000000000003E-2</v>
      </c>
      <c r="T148" s="162">
        <v>-5.7000000000000002E-3</v>
      </c>
      <c r="U148" s="162">
        <v>5.8700000000000002E-2</v>
      </c>
      <c r="V148" s="162">
        <v>0.153</v>
      </c>
      <c r="W148" s="162">
        <v>0.27500000000000002</v>
      </c>
      <c r="X148" s="162">
        <v>0.40799999999999997</v>
      </c>
      <c r="Y148" s="162">
        <v>0.55149999999999999</v>
      </c>
      <c r="Z148" s="162">
        <v>0.68459999999999999</v>
      </c>
      <c r="AA148" s="162">
        <v>0.80759999999999998</v>
      </c>
      <c r="AB148" s="162">
        <v>0.92030000000000001</v>
      </c>
      <c r="AC148" s="162">
        <v>1.0222</v>
      </c>
      <c r="AD148" s="162">
        <v>1.1112</v>
      </c>
      <c r="AE148" s="162">
        <v>1.1914</v>
      </c>
      <c r="AF148" s="162">
        <v>1.2632000000000001</v>
      </c>
      <c r="AG148" s="162">
        <v>1.3255999999999999</v>
      </c>
      <c r="AH148" s="162">
        <v>1.38</v>
      </c>
      <c r="AI148" s="162">
        <v>1.4274</v>
      </c>
      <c r="AJ148" s="162">
        <v>1.4681999999999999</v>
      </c>
      <c r="AK148" s="162">
        <v>1.5055000000000001</v>
      </c>
      <c r="AL148" s="162">
        <v>1.5276799999999999</v>
      </c>
      <c r="AM148" s="162">
        <v>1.54986</v>
      </c>
      <c r="AN148" s="162">
        <v>1.5720400000000001</v>
      </c>
      <c r="AO148" s="162">
        <v>1.59422</v>
      </c>
      <c r="AP148" s="162">
        <v>1.6164000000000001</v>
      </c>
      <c r="AQ148" s="162">
        <v>1.6269</v>
      </c>
      <c r="AR148" s="162">
        <v>1.6374</v>
      </c>
      <c r="AS148" s="162">
        <v>1.6478999999999999</v>
      </c>
      <c r="AT148" s="162">
        <v>1.6584000000000001</v>
      </c>
      <c r="AU148" s="162">
        <v>1.6689000000000001</v>
      </c>
    </row>
    <row r="149" spans="1:47" ht="12.75" customHeight="1">
      <c r="A149" s="459">
        <v>41936</v>
      </c>
      <c r="B149" s="139">
        <v>43</v>
      </c>
      <c r="C149" s="162">
        <v>-1.6750000000000001E-2</v>
      </c>
      <c r="D149" s="162">
        <v>-1.6750000000000001E-2</v>
      </c>
      <c r="E149" s="162">
        <v>-9.4000000000000004E-3</v>
      </c>
      <c r="F149" s="162">
        <v>-6.3E-3</v>
      </c>
      <c r="G149" s="162">
        <v>-5.4000000000000003E-3</v>
      </c>
      <c r="H149" s="162">
        <v>-6.7999999999999996E-3</v>
      </c>
      <c r="I149" s="162">
        <v>-1.09E-2</v>
      </c>
      <c r="J149" s="162">
        <v>-1.3100000000000001E-2</v>
      </c>
      <c r="K149" s="162">
        <v>-1.0200000000000001E-2</v>
      </c>
      <c r="L149" s="162">
        <v>-1.3259999999999999E-2</v>
      </c>
      <c r="M149" s="162">
        <v>-1.7600000000000001E-2</v>
      </c>
      <c r="N149" s="162">
        <v>-2.12E-2</v>
      </c>
      <c r="O149" s="162">
        <v>-2.3800000000000002E-2</v>
      </c>
      <c r="P149" s="162">
        <v>-2.8240000000000001E-2</v>
      </c>
      <c r="Q149" s="162">
        <v>-2.8799999999999999E-2</v>
      </c>
      <c r="R149" s="162">
        <v>-3.3000000000000002E-2</v>
      </c>
      <c r="S149" s="162">
        <v>-2.7799999999999998E-2</v>
      </c>
      <c r="T149" s="162">
        <v>-5.0000000000000001E-4</v>
      </c>
      <c r="U149" s="162">
        <v>5.7500000000000002E-2</v>
      </c>
      <c r="V149" s="162">
        <v>0.14230000000000001</v>
      </c>
      <c r="W149" s="162">
        <v>0.25159999999999999</v>
      </c>
      <c r="X149" s="162">
        <v>0.37459999999999999</v>
      </c>
      <c r="Y149" s="162">
        <v>0.50439999999999996</v>
      </c>
      <c r="Z149" s="162">
        <v>0.63070000000000004</v>
      </c>
      <c r="AA149" s="162">
        <v>0.74880000000000002</v>
      </c>
      <c r="AB149" s="162">
        <v>0.85650000000000004</v>
      </c>
      <c r="AC149" s="162">
        <v>0.95340000000000003</v>
      </c>
      <c r="AD149" s="162">
        <v>1.0358000000000001</v>
      </c>
      <c r="AE149" s="162">
        <v>1.119</v>
      </c>
      <c r="AF149" s="162">
        <v>1.1854</v>
      </c>
      <c r="AG149" s="162">
        <v>1.20625</v>
      </c>
      <c r="AH149" s="162">
        <v>1.2597499999999999</v>
      </c>
      <c r="AI149" s="162">
        <v>1.3065</v>
      </c>
      <c r="AJ149" s="162">
        <v>1.3472500000000001</v>
      </c>
      <c r="AK149" s="162">
        <v>1.4207000000000001</v>
      </c>
      <c r="AL149" s="162">
        <v>1.4429000000000001</v>
      </c>
      <c r="AM149" s="162">
        <v>1.4651000000000001</v>
      </c>
      <c r="AN149" s="162">
        <v>1.4873000000000001</v>
      </c>
      <c r="AO149" s="162">
        <v>1.5095000000000001</v>
      </c>
      <c r="AP149" s="162">
        <v>1.5317000000000001</v>
      </c>
      <c r="AQ149" s="162">
        <v>1.5424800000000001</v>
      </c>
      <c r="AR149" s="162">
        <v>1.5532600000000001</v>
      </c>
      <c r="AS149" s="162">
        <v>1.5640400000000001</v>
      </c>
      <c r="AT149" s="162">
        <v>1.5748200000000001</v>
      </c>
      <c r="AU149" s="162">
        <v>1.5855999999999999</v>
      </c>
    </row>
    <row r="150" spans="1:47" ht="12.75" customHeight="1">
      <c r="A150" s="459">
        <v>41943</v>
      </c>
      <c r="B150" s="139">
        <v>44</v>
      </c>
      <c r="C150" s="162">
        <v>0.01</v>
      </c>
      <c r="D150" s="162">
        <v>0.01</v>
      </c>
      <c r="E150" s="162">
        <v>1.72E-2</v>
      </c>
      <c r="F150" s="162">
        <v>1.78E-2</v>
      </c>
      <c r="G150" s="162">
        <v>1.1900000000000001E-2</v>
      </c>
      <c r="H150" s="162">
        <v>1.022E-2</v>
      </c>
      <c r="I150" s="162">
        <v>1.6999999999999999E-3</v>
      </c>
      <c r="J150" s="162">
        <v>2.8E-3</v>
      </c>
      <c r="K150" s="162">
        <v>5.4000000000000001E-4</v>
      </c>
      <c r="L150" s="162">
        <v>-3.7200000000000002E-3</v>
      </c>
      <c r="M150" s="162">
        <v>-6.8999999999999999E-3</v>
      </c>
      <c r="N150" s="162">
        <v>-1.0999999999999999E-2</v>
      </c>
      <c r="O150" s="162">
        <v>-1.486E-2</v>
      </c>
      <c r="P150" s="162">
        <v>-2.0660000000000001E-2</v>
      </c>
      <c r="Q150" s="162">
        <v>-2.1999999999999999E-2</v>
      </c>
      <c r="R150" s="162">
        <v>-2.4799999999999999E-2</v>
      </c>
      <c r="S150" s="162">
        <v>-2.4799999999999999E-2</v>
      </c>
      <c r="T150" s="162">
        <v>1.0959999999999999E-2</v>
      </c>
      <c r="U150" s="162">
        <v>7.5600000000000001E-2</v>
      </c>
      <c r="V150" s="162">
        <v>0.16370000000000001</v>
      </c>
      <c r="W150" s="162">
        <v>0.2782</v>
      </c>
      <c r="X150" s="162">
        <v>0.40689999999999998</v>
      </c>
      <c r="Y150" s="162">
        <v>0.54349999999999998</v>
      </c>
      <c r="Z150" s="162">
        <v>0.6774</v>
      </c>
      <c r="AA150" s="162">
        <v>0.79720000000000002</v>
      </c>
      <c r="AB150" s="162">
        <v>0.90690000000000004</v>
      </c>
      <c r="AC150" s="162">
        <v>1.0057</v>
      </c>
      <c r="AD150" s="162">
        <v>1.0920000000000001</v>
      </c>
      <c r="AE150" s="162">
        <v>1.1698</v>
      </c>
      <c r="AF150" s="162">
        <v>1.2391000000000001</v>
      </c>
      <c r="AG150" s="162">
        <v>1.2998000000000001</v>
      </c>
      <c r="AH150" s="162">
        <v>1.3540000000000001</v>
      </c>
      <c r="AI150" s="162">
        <v>1.4008</v>
      </c>
      <c r="AJ150" s="162">
        <v>1.4418</v>
      </c>
      <c r="AK150" s="162">
        <v>1.4753000000000001</v>
      </c>
      <c r="AL150" s="162">
        <v>1.4974000000000001</v>
      </c>
      <c r="AM150" s="162">
        <v>1.5195000000000001</v>
      </c>
      <c r="AN150" s="162">
        <v>1.5416000000000001</v>
      </c>
      <c r="AO150" s="162">
        <v>1.5637000000000001</v>
      </c>
      <c r="AP150" s="162">
        <v>1.5858000000000001</v>
      </c>
      <c r="AQ150" s="162">
        <v>1.59642</v>
      </c>
      <c r="AR150" s="162">
        <v>1.60704</v>
      </c>
      <c r="AS150" s="162">
        <v>1.6176600000000001</v>
      </c>
      <c r="AT150" s="162">
        <v>1.6282799999999999</v>
      </c>
      <c r="AU150" s="162">
        <v>1.6389</v>
      </c>
    </row>
    <row r="151" spans="1:47" ht="12.75" customHeight="1">
      <c r="A151" s="459">
        <v>41950</v>
      </c>
      <c r="B151" s="139">
        <v>45</v>
      </c>
      <c r="C151" s="162">
        <v>7.7499999999999999E-3</v>
      </c>
      <c r="D151" s="162">
        <v>7.7499999999999999E-3</v>
      </c>
      <c r="E151" s="162">
        <v>2.7959999999999999E-2</v>
      </c>
      <c r="F151" s="162">
        <v>1.9099999999999999E-2</v>
      </c>
      <c r="G151" s="162">
        <v>7.7999999999999996E-3</v>
      </c>
      <c r="H151" s="162">
        <v>5.7600000000000004E-3</v>
      </c>
      <c r="I151" s="162">
        <v>-9.6000000000000002E-4</v>
      </c>
      <c r="J151" s="162">
        <v>1.1000000000000001E-3</v>
      </c>
      <c r="K151" s="162">
        <v>2.0000000000000001E-4</v>
      </c>
      <c r="L151" s="162">
        <v>-5.3E-3</v>
      </c>
      <c r="M151" s="162">
        <v>-1.49E-2</v>
      </c>
      <c r="N151" s="162">
        <v>-1.5299999999999999E-2</v>
      </c>
      <c r="O151" s="162">
        <v>-2.1100000000000001E-2</v>
      </c>
      <c r="P151" s="162">
        <v>-2.3800000000000002E-2</v>
      </c>
      <c r="Q151" s="162">
        <v>-2.6599999999999999E-2</v>
      </c>
      <c r="R151" s="162">
        <v>-2.8199999999999999E-2</v>
      </c>
      <c r="S151" s="162">
        <v>-2.4799999999999999E-2</v>
      </c>
      <c r="T151" s="162">
        <v>2.7199999999999998E-2</v>
      </c>
      <c r="U151" s="162">
        <v>7.6600000000000001E-2</v>
      </c>
      <c r="V151" s="162">
        <v>0.16470000000000001</v>
      </c>
      <c r="W151" s="162">
        <v>0.27560000000000001</v>
      </c>
      <c r="X151" s="162">
        <v>0.4007</v>
      </c>
      <c r="Y151" s="162">
        <v>0.53349999999999997</v>
      </c>
      <c r="Z151" s="162">
        <v>0.66349999999999998</v>
      </c>
      <c r="AA151" s="162">
        <v>0.78100000000000003</v>
      </c>
      <c r="AB151" s="162">
        <v>0.88790000000000002</v>
      </c>
      <c r="AC151" s="162">
        <v>0.98480000000000001</v>
      </c>
      <c r="AD151" s="162">
        <v>1.0690999999999999</v>
      </c>
      <c r="AE151" s="162">
        <v>1.1454</v>
      </c>
      <c r="AF151" s="162">
        <v>1.2149000000000001</v>
      </c>
      <c r="AG151" s="162">
        <v>1.2732000000000001</v>
      </c>
      <c r="AH151" s="162">
        <v>1.3255999999999999</v>
      </c>
      <c r="AI151" s="162">
        <v>1.3720000000000001</v>
      </c>
      <c r="AJ151" s="162">
        <v>1.4114</v>
      </c>
      <c r="AK151" s="162">
        <v>1.4466000000000001</v>
      </c>
      <c r="AL151" s="162">
        <v>1.46844</v>
      </c>
      <c r="AM151" s="162">
        <v>1.49028</v>
      </c>
      <c r="AN151" s="162">
        <v>1.5121199999999999</v>
      </c>
      <c r="AO151" s="162">
        <v>1.53396</v>
      </c>
      <c r="AP151" s="162">
        <v>1.5558000000000001</v>
      </c>
      <c r="AQ151" s="162">
        <v>1.5661400000000001</v>
      </c>
      <c r="AR151" s="162">
        <v>1.5764800000000001</v>
      </c>
      <c r="AS151" s="162">
        <v>1.5868199999999999</v>
      </c>
      <c r="AT151" s="162">
        <v>1.5971599999999999</v>
      </c>
      <c r="AU151" s="162">
        <v>1.6074999999999999</v>
      </c>
    </row>
    <row r="152" spans="1:47" ht="12.75" customHeight="1">
      <c r="A152" s="459">
        <v>41957</v>
      </c>
      <c r="B152" s="139">
        <v>46</v>
      </c>
      <c r="C152" s="162">
        <v>-3.8249999999999999E-2</v>
      </c>
      <c r="D152" s="162">
        <v>-3.8249999999999999E-2</v>
      </c>
      <c r="E152" s="162">
        <v>-2.426E-2</v>
      </c>
      <c r="F152" s="162">
        <v>-7.4999999999999997E-3</v>
      </c>
      <c r="G152" s="162">
        <v>-2.0000000000000001E-4</v>
      </c>
      <c r="H152" s="162">
        <v>-1.84E-2</v>
      </c>
      <c r="I152" s="162">
        <v>-2.46E-2</v>
      </c>
      <c r="J152" s="162">
        <v>-2.1399999999999999E-2</v>
      </c>
      <c r="K152" s="162">
        <v>-2.5659999999999999E-2</v>
      </c>
      <c r="L152" s="162">
        <v>-2.6460000000000001E-2</v>
      </c>
      <c r="M152" s="162">
        <v>-3.1600000000000003E-2</v>
      </c>
      <c r="N152" s="162">
        <v>-3.8219999999999997E-2</v>
      </c>
      <c r="O152" s="162">
        <v>-4.2759999999999999E-2</v>
      </c>
      <c r="P152" s="162">
        <v>-4.2599999999999999E-2</v>
      </c>
      <c r="Q152" s="162">
        <v>-4.5400000000000003E-2</v>
      </c>
      <c r="R152" s="162">
        <v>-4.58E-2</v>
      </c>
      <c r="S152" s="162">
        <v>-3.9399999999999998E-2</v>
      </c>
      <c r="T152" s="162">
        <v>-1.5100000000000001E-2</v>
      </c>
      <c r="U152" s="162">
        <v>4.3700000000000003E-2</v>
      </c>
      <c r="V152" s="162">
        <v>0.1236</v>
      </c>
      <c r="W152" s="162">
        <v>0.2303</v>
      </c>
      <c r="X152" s="162">
        <v>0.3538</v>
      </c>
      <c r="Y152" s="162">
        <v>0.48549999999999999</v>
      </c>
      <c r="Z152" s="162">
        <v>0.61629999999999996</v>
      </c>
      <c r="AA152" s="162">
        <v>0.73519999999999996</v>
      </c>
      <c r="AB152" s="162">
        <v>0.84519999999999995</v>
      </c>
      <c r="AC152" s="162">
        <v>0.94420000000000004</v>
      </c>
      <c r="AD152" s="162">
        <v>1.0286</v>
      </c>
      <c r="AE152" s="162">
        <v>1.1073999999999999</v>
      </c>
      <c r="AF152" s="162">
        <v>1.1792</v>
      </c>
      <c r="AG152" s="162">
        <v>1.2423999999999999</v>
      </c>
      <c r="AH152" s="162">
        <v>1.2974000000000001</v>
      </c>
      <c r="AI152" s="162">
        <v>1.3453999999999999</v>
      </c>
      <c r="AJ152" s="162">
        <v>1.3874</v>
      </c>
      <c r="AK152" s="162">
        <v>1.4219999999999999</v>
      </c>
      <c r="AL152" s="162">
        <v>1.4448799999999999</v>
      </c>
      <c r="AM152" s="162">
        <v>1.46776</v>
      </c>
      <c r="AN152" s="162">
        <v>1.49064</v>
      </c>
      <c r="AO152" s="162">
        <v>1.51352</v>
      </c>
      <c r="AP152" s="162">
        <v>1.5364</v>
      </c>
      <c r="AQ152" s="162">
        <v>1.54816</v>
      </c>
      <c r="AR152" s="162">
        <v>1.55992</v>
      </c>
      <c r="AS152" s="162">
        <v>1.57168</v>
      </c>
      <c r="AT152" s="162">
        <v>1.58344</v>
      </c>
      <c r="AU152" s="162">
        <v>1.5952</v>
      </c>
    </row>
    <row r="153" spans="1:47" ht="12.75" customHeight="1">
      <c r="A153" s="459">
        <v>41964</v>
      </c>
      <c r="B153" s="139">
        <v>47</v>
      </c>
      <c r="C153" s="162">
        <v>-3.075E-2</v>
      </c>
      <c r="D153" s="162">
        <v>-3.075E-2</v>
      </c>
      <c r="E153" s="162">
        <v>-2.1399999999999999E-2</v>
      </c>
      <c r="F153" s="162">
        <v>-9.7999999999999997E-3</v>
      </c>
      <c r="G153" s="162">
        <v>-7.4000000000000003E-3</v>
      </c>
      <c r="H153" s="162">
        <v>-2.3359999999999999E-2</v>
      </c>
      <c r="I153" s="162">
        <v>-2.5399999999999999E-2</v>
      </c>
      <c r="J153" s="162">
        <v>-2.1999999999999999E-2</v>
      </c>
      <c r="K153" s="162">
        <v>-2.5399999999999999E-2</v>
      </c>
      <c r="L153" s="162">
        <v>-3.1060000000000001E-2</v>
      </c>
      <c r="M153" s="162">
        <v>-3.4799999999999998E-2</v>
      </c>
      <c r="N153" s="162">
        <v>-3.8600000000000002E-2</v>
      </c>
      <c r="O153" s="162">
        <v>-4.4260000000000001E-2</v>
      </c>
      <c r="P153" s="162">
        <v>-4.6559999999999997E-2</v>
      </c>
      <c r="Q153" s="162">
        <v>-4.7960000000000003E-2</v>
      </c>
      <c r="R153" s="162">
        <v>-5.0799999999999998E-2</v>
      </c>
      <c r="S153" s="162">
        <v>-4.9599999999999998E-2</v>
      </c>
      <c r="T153" s="162">
        <v>-2.1260000000000001E-2</v>
      </c>
      <c r="U153" s="162">
        <v>3.0700000000000002E-2</v>
      </c>
      <c r="V153" s="162">
        <v>0.1066</v>
      </c>
      <c r="W153" s="162">
        <v>0.20749999999999999</v>
      </c>
      <c r="X153" s="162">
        <v>0.32619999999999999</v>
      </c>
      <c r="Y153" s="162">
        <v>0.45529999999999998</v>
      </c>
      <c r="Z153" s="162">
        <v>0.58330000000000004</v>
      </c>
      <c r="AA153" s="162">
        <v>0.70130000000000003</v>
      </c>
      <c r="AB153" s="162">
        <v>0.81140000000000001</v>
      </c>
      <c r="AC153" s="162">
        <v>0.90720000000000001</v>
      </c>
      <c r="AD153" s="162">
        <v>0.99160000000000004</v>
      </c>
      <c r="AE153" s="162">
        <v>1.0696000000000001</v>
      </c>
      <c r="AF153" s="162">
        <v>1.1396999999999999</v>
      </c>
      <c r="AG153" s="162">
        <v>1.2021999999999999</v>
      </c>
      <c r="AH153" s="162">
        <v>1.2558</v>
      </c>
      <c r="AI153" s="162">
        <v>1.3028</v>
      </c>
      <c r="AJ153" s="162">
        <v>1.3435999999999999</v>
      </c>
      <c r="AK153" s="162">
        <v>1.3782000000000001</v>
      </c>
      <c r="AL153" s="162">
        <v>1.4006000000000001</v>
      </c>
      <c r="AM153" s="162">
        <v>1.423</v>
      </c>
      <c r="AN153" s="162">
        <v>1.4454</v>
      </c>
      <c r="AO153" s="162">
        <v>1.4678</v>
      </c>
      <c r="AP153" s="162">
        <v>1.4902</v>
      </c>
      <c r="AQ153" s="162">
        <v>1.50132</v>
      </c>
      <c r="AR153" s="162">
        <v>1.51244</v>
      </c>
      <c r="AS153" s="162">
        <v>1.52356</v>
      </c>
      <c r="AT153" s="162">
        <v>1.53468</v>
      </c>
      <c r="AU153" s="162">
        <v>1.5458000000000001</v>
      </c>
    </row>
    <row r="154" spans="1:47" ht="12.75" customHeight="1">
      <c r="A154" s="459">
        <v>41971</v>
      </c>
      <c r="B154" s="139">
        <v>48</v>
      </c>
      <c r="C154" s="162">
        <v>-2.2749999999999999E-2</v>
      </c>
      <c r="D154" s="162">
        <v>-2.2749999999999999E-2</v>
      </c>
      <c r="E154" s="162">
        <v>7.6E-3</v>
      </c>
      <c r="F154" s="162">
        <v>1.21E-2</v>
      </c>
      <c r="G154" s="162">
        <v>-6.1000000000000004E-3</v>
      </c>
      <c r="H154" s="162">
        <v>-1.376E-2</v>
      </c>
      <c r="I154" s="162">
        <v>-1.1599999999999999E-2</v>
      </c>
      <c r="J154" s="162">
        <v>-1.064E-2</v>
      </c>
      <c r="K154" s="162">
        <v>-1.436E-2</v>
      </c>
      <c r="L154" s="162">
        <v>-1.6199999999999999E-2</v>
      </c>
      <c r="M154" s="162">
        <v>-2.3E-2</v>
      </c>
      <c r="N154" s="162">
        <v>-2.9100000000000001E-2</v>
      </c>
      <c r="O154" s="162">
        <v>-3.1699999999999999E-2</v>
      </c>
      <c r="P154" s="162">
        <v>-3.456E-2</v>
      </c>
      <c r="Q154" s="162">
        <v>-3.5999999999999997E-2</v>
      </c>
      <c r="R154" s="162">
        <v>-3.7940000000000002E-2</v>
      </c>
      <c r="S154" s="162">
        <v>-3.5000000000000003E-2</v>
      </c>
      <c r="T154" s="162">
        <v>-4.4600000000000004E-3</v>
      </c>
      <c r="U154" s="162">
        <v>4.65E-2</v>
      </c>
      <c r="V154" s="162">
        <v>0.1191</v>
      </c>
      <c r="W154" s="162">
        <v>0.2155</v>
      </c>
      <c r="X154" s="162">
        <v>0.32790000000000002</v>
      </c>
      <c r="Y154" s="162">
        <v>0.45229999999999998</v>
      </c>
      <c r="Z154" s="162">
        <v>0.5786</v>
      </c>
      <c r="AA154" s="162">
        <v>0.69550000000000001</v>
      </c>
      <c r="AB154" s="162">
        <v>0.80230000000000001</v>
      </c>
      <c r="AC154" s="162">
        <v>0.8992</v>
      </c>
      <c r="AD154" s="162">
        <v>0.98280000000000001</v>
      </c>
      <c r="AE154" s="162">
        <v>1.06</v>
      </c>
      <c r="AF154" s="162">
        <v>1.1315999999999999</v>
      </c>
      <c r="AG154" s="162">
        <v>1.1928000000000001</v>
      </c>
      <c r="AH154" s="162">
        <v>1.2458</v>
      </c>
      <c r="AI154" s="162">
        <v>1.2922</v>
      </c>
      <c r="AJ154" s="162">
        <v>1.3328</v>
      </c>
      <c r="AK154" s="162">
        <v>1.3645</v>
      </c>
      <c r="AL154" s="162">
        <v>1.3868199999999999</v>
      </c>
      <c r="AM154" s="162">
        <v>1.4091400000000001</v>
      </c>
      <c r="AN154" s="162">
        <v>1.43146</v>
      </c>
      <c r="AO154" s="162">
        <v>1.4537800000000001</v>
      </c>
      <c r="AP154" s="162">
        <v>1.4761</v>
      </c>
      <c r="AQ154" s="162">
        <v>1.4874400000000001</v>
      </c>
      <c r="AR154" s="162">
        <v>1.49878</v>
      </c>
      <c r="AS154" s="162">
        <v>1.5101199999999999</v>
      </c>
      <c r="AT154" s="162">
        <v>1.52146</v>
      </c>
      <c r="AU154" s="162">
        <v>1.5327999999999999</v>
      </c>
    </row>
    <row r="155" spans="1:47" ht="12.75" customHeight="1">
      <c r="A155" s="459">
        <v>41978</v>
      </c>
      <c r="B155" s="139">
        <v>49</v>
      </c>
      <c r="C155" s="162">
        <v>2.1499999999999998E-2</v>
      </c>
      <c r="D155" s="162">
        <v>2.1499999999999998E-2</v>
      </c>
      <c r="E155" s="162">
        <v>3.6900000000000002E-2</v>
      </c>
      <c r="F155" s="162">
        <v>2.2159999999999999E-2</v>
      </c>
      <c r="G155" s="162">
        <v>2.0000000000000001E-4</v>
      </c>
      <c r="H155" s="162">
        <v>-8.9999999999999993E-3</v>
      </c>
      <c r="I155" s="162">
        <v>-3.3400000000000001E-3</v>
      </c>
      <c r="J155" s="162">
        <v>-9.4599999999999997E-3</v>
      </c>
      <c r="K155" s="162">
        <v>-1.436E-2</v>
      </c>
      <c r="L155" s="162">
        <v>-1.7500000000000002E-2</v>
      </c>
      <c r="M155" s="162">
        <v>-2.3199999999999998E-2</v>
      </c>
      <c r="N155" s="162">
        <v>-2.87E-2</v>
      </c>
      <c r="O155" s="162">
        <v>-3.2500000000000001E-2</v>
      </c>
      <c r="P155" s="162">
        <v>-3.3959999999999997E-2</v>
      </c>
      <c r="Q155" s="162">
        <v>-4.02E-2</v>
      </c>
      <c r="R155" s="162">
        <v>-4.24E-2</v>
      </c>
      <c r="S155" s="162">
        <v>-4.2799999999999998E-2</v>
      </c>
      <c r="T155" s="162">
        <v>-1.7999999999999999E-2</v>
      </c>
      <c r="U155" s="162">
        <v>2.5399999999999999E-2</v>
      </c>
      <c r="V155" s="162">
        <v>8.9599999999999999E-2</v>
      </c>
      <c r="W155" s="162">
        <v>0.1741</v>
      </c>
      <c r="X155" s="162">
        <v>0.27739999999999998</v>
      </c>
      <c r="Y155" s="162">
        <v>0.39379999999999998</v>
      </c>
      <c r="Z155" s="162">
        <v>0.51239999999999997</v>
      </c>
      <c r="AA155" s="162">
        <v>0.62460000000000004</v>
      </c>
      <c r="AB155" s="162">
        <v>0.72889999999999999</v>
      </c>
      <c r="AC155" s="162">
        <v>0.82430000000000003</v>
      </c>
      <c r="AD155" s="162">
        <v>0.90659999999999996</v>
      </c>
      <c r="AE155" s="162">
        <v>0.98280000000000001</v>
      </c>
      <c r="AF155" s="162">
        <v>1.0525</v>
      </c>
      <c r="AG155" s="162">
        <v>1.1120000000000001</v>
      </c>
      <c r="AH155" s="162">
        <v>1.165</v>
      </c>
      <c r="AI155" s="162">
        <v>1.2108000000000001</v>
      </c>
      <c r="AJ155" s="162">
        <v>1.2509999999999999</v>
      </c>
      <c r="AK155" s="162">
        <v>1.2844</v>
      </c>
      <c r="AL155" s="162">
        <v>1.3071600000000001</v>
      </c>
      <c r="AM155" s="162">
        <v>1.32992</v>
      </c>
      <c r="AN155" s="162">
        <v>1.3526800000000001</v>
      </c>
      <c r="AO155" s="162">
        <v>1.37544</v>
      </c>
      <c r="AP155" s="162">
        <v>1.3982000000000001</v>
      </c>
      <c r="AQ155" s="162">
        <v>1.41082</v>
      </c>
      <c r="AR155" s="162">
        <v>1.42344</v>
      </c>
      <c r="AS155" s="162">
        <v>1.4360599999999999</v>
      </c>
      <c r="AT155" s="162">
        <v>1.44868</v>
      </c>
      <c r="AU155" s="162">
        <v>1.4613</v>
      </c>
    </row>
    <row r="156" spans="1:47" ht="12.75" customHeight="1">
      <c r="A156" s="459">
        <v>41985</v>
      </c>
      <c r="B156" s="139">
        <v>50</v>
      </c>
      <c r="C156" s="162">
        <v>-2.2749999999999999E-2</v>
      </c>
      <c r="D156" s="162">
        <v>-2.2749999999999999E-2</v>
      </c>
      <c r="E156" s="162">
        <v>-1.346E-2</v>
      </c>
      <c r="F156" s="162">
        <v>-9.1999999999999998E-3</v>
      </c>
      <c r="G156" s="162">
        <v>-1.3299999999999999E-2</v>
      </c>
      <c r="H156" s="162">
        <v>-1.4200000000000001E-2</v>
      </c>
      <c r="I156" s="162">
        <v>-9.4999999999999998E-3</v>
      </c>
      <c r="J156" s="162">
        <v>-1.21E-2</v>
      </c>
      <c r="K156" s="162">
        <v>-1.6400000000000001E-2</v>
      </c>
      <c r="L156" s="162">
        <v>-2.3599999999999999E-2</v>
      </c>
      <c r="M156" s="162">
        <v>-2.52E-2</v>
      </c>
      <c r="N156" s="162">
        <v>-3.04E-2</v>
      </c>
      <c r="O156" s="162">
        <v>-3.2500000000000001E-2</v>
      </c>
      <c r="P156" s="162">
        <v>-3.44E-2</v>
      </c>
      <c r="Q156" s="162">
        <v>-3.6700000000000003E-2</v>
      </c>
      <c r="R156" s="162">
        <v>-3.8399999999999997E-2</v>
      </c>
      <c r="S156" s="162">
        <v>-3.44E-2</v>
      </c>
      <c r="T156" s="162">
        <v>-4.0000000000000001E-3</v>
      </c>
      <c r="U156" s="162">
        <v>4.1000000000000002E-2</v>
      </c>
      <c r="V156" s="162">
        <v>0.1109</v>
      </c>
      <c r="W156" s="162">
        <v>0.2026</v>
      </c>
      <c r="X156" s="162">
        <v>0.31119999999999998</v>
      </c>
      <c r="Y156" s="162">
        <v>0.43020000000000003</v>
      </c>
      <c r="Z156" s="162">
        <v>0.55000000000000004</v>
      </c>
      <c r="AA156" s="162">
        <v>0.66259999999999997</v>
      </c>
      <c r="AB156" s="162">
        <v>0.76500000000000001</v>
      </c>
      <c r="AC156" s="162">
        <v>0.85699999999999998</v>
      </c>
      <c r="AD156" s="162">
        <v>0.93959999999999999</v>
      </c>
      <c r="AE156" s="162">
        <v>1.0142</v>
      </c>
      <c r="AF156" s="162">
        <v>1.0808</v>
      </c>
      <c r="AG156" s="162">
        <v>1.1422000000000001</v>
      </c>
      <c r="AH156" s="162">
        <v>1.1943999999999999</v>
      </c>
      <c r="AI156" s="162">
        <v>1.24</v>
      </c>
      <c r="AJ156" s="162">
        <v>1.2791999999999999</v>
      </c>
      <c r="AK156" s="162">
        <v>1.3109999999999999</v>
      </c>
      <c r="AL156" s="162">
        <v>1.33422</v>
      </c>
      <c r="AM156" s="162">
        <v>1.35744</v>
      </c>
      <c r="AN156" s="162">
        <v>1.38066</v>
      </c>
      <c r="AO156" s="162">
        <v>1.40388</v>
      </c>
      <c r="AP156" s="162">
        <v>1.4271</v>
      </c>
      <c r="AQ156" s="162">
        <v>1.43872</v>
      </c>
      <c r="AR156" s="162">
        <v>1.45034</v>
      </c>
      <c r="AS156" s="162">
        <v>1.4619599999999999</v>
      </c>
      <c r="AT156" s="162">
        <v>1.4735799999999999</v>
      </c>
      <c r="AU156" s="162">
        <v>1.4852000000000001</v>
      </c>
    </row>
    <row r="157" spans="1:47" ht="12.75" customHeight="1">
      <c r="A157" s="459">
        <v>41992</v>
      </c>
      <c r="B157" s="139">
        <v>51</v>
      </c>
      <c r="C157" s="162">
        <v>-3.2750000000000001E-2</v>
      </c>
      <c r="D157" s="162">
        <v>-3.2750000000000001E-2</v>
      </c>
      <c r="E157" s="162">
        <v>-1.7000000000000001E-2</v>
      </c>
      <c r="F157" s="162">
        <v>-1.55E-2</v>
      </c>
      <c r="G157" s="162">
        <v>-1.5599999999999999E-2</v>
      </c>
      <c r="H157" s="162">
        <v>-1.11E-2</v>
      </c>
      <c r="I157" s="162">
        <v>-6.1000000000000004E-3</v>
      </c>
      <c r="J157" s="162">
        <v>-1.3299999999999999E-2</v>
      </c>
      <c r="K157" s="162">
        <v>-1.8200000000000001E-2</v>
      </c>
      <c r="L157" s="162">
        <v>-2.4400000000000002E-2</v>
      </c>
      <c r="M157" s="162">
        <v>-2.7799999999999998E-2</v>
      </c>
      <c r="N157" s="162">
        <v>-3.1399999999999997E-2</v>
      </c>
      <c r="O157" s="162">
        <v>-3.3300000000000003E-2</v>
      </c>
      <c r="P157" s="162">
        <v>-3.5799999999999998E-2</v>
      </c>
      <c r="Q157" s="162">
        <v>-3.696E-2</v>
      </c>
      <c r="R157" s="162">
        <v>-4.086E-2</v>
      </c>
      <c r="S157" s="162">
        <v>-3.7400000000000003E-2</v>
      </c>
      <c r="T157" s="162">
        <v>-8.2000000000000007E-3</v>
      </c>
      <c r="U157" s="162">
        <v>3.3099999999999997E-2</v>
      </c>
      <c r="V157" s="162">
        <v>9.6799999999999997E-2</v>
      </c>
      <c r="W157" s="162">
        <v>0.1807</v>
      </c>
      <c r="X157" s="162">
        <v>0.28079999999999999</v>
      </c>
      <c r="Y157" s="162">
        <v>0.3921</v>
      </c>
      <c r="Z157" s="162">
        <v>0.50460000000000005</v>
      </c>
      <c r="AA157" s="162">
        <v>0.6119</v>
      </c>
      <c r="AB157" s="162">
        <v>0.71</v>
      </c>
      <c r="AC157" s="162">
        <v>0.79749999999999999</v>
      </c>
      <c r="AD157" s="162">
        <v>0.876</v>
      </c>
      <c r="AE157" s="162">
        <v>0.94669999999999999</v>
      </c>
      <c r="AF157" s="162">
        <v>1.0089999999999999</v>
      </c>
      <c r="AG157" s="162">
        <v>1.0646</v>
      </c>
      <c r="AH157" s="162">
        <v>1.1128</v>
      </c>
      <c r="AI157" s="162">
        <v>1.155</v>
      </c>
      <c r="AJ157" s="162">
        <v>1.1916</v>
      </c>
      <c r="AK157" s="162">
        <v>1.2222</v>
      </c>
      <c r="AL157" s="162">
        <v>1.24282</v>
      </c>
      <c r="AM157" s="162">
        <v>1.2634399999999999</v>
      </c>
      <c r="AN157" s="162">
        <v>1.28406</v>
      </c>
      <c r="AO157" s="162">
        <v>1.3046800000000001</v>
      </c>
      <c r="AP157" s="162">
        <v>1.3252999999999999</v>
      </c>
      <c r="AQ157" s="162">
        <v>1.3374200000000001</v>
      </c>
      <c r="AR157" s="162">
        <v>1.34954</v>
      </c>
      <c r="AS157" s="162">
        <v>1.3616600000000001</v>
      </c>
      <c r="AT157" s="162">
        <v>1.37378</v>
      </c>
      <c r="AU157" s="162">
        <v>1.3858999999999999</v>
      </c>
    </row>
    <row r="158" spans="1:47" ht="12.75" customHeight="1">
      <c r="A158" s="459">
        <v>41999</v>
      </c>
      <c r="B158" s="139">
        <v>52</v>
      </c>
      <c r="C158" s="162">
        <v>-2.2749999999999999E-2</v>
      </c>
      <c r="D158" s="162">
        <v>-2.2749999999999999E-2</v>
      </c>
      <c r="E158" s="162">
        <v>-3.8100000000000002E-2</v>
      </c>
      <c r="F158" s="162">
        <v>-2.6200000000000001E-2</v>
      </c>
      <c r="G158" s="162">
        <v>-2.0799999999999999E-2</v>
      </c>
      <c r="H158" s="162">
        <v>-1.4319999999999999E-2</v>
      </c>
      <c r="I158" s="162">
        <v>-1.074E-2</v>
      </c>
      <c r="J158" s="162">
        <v>-1.5599999999999999E-2</v>
      </c>
      <c r="K158" s="162">
        <v>-2.2599999999999999E-2</v>
      </c>
      <c r="L158" s="162">
        <v>-2.8299999999999999E-2</v>
      </c>
      <c r="M158" s="162">
        <v>-3.1800000000000002E-2</v>
      </c>
      <c r="N158" s="162">
        <v>-3.73E-2</v>
      </c>
      <c r="O158" s="162">
        <v>-3.8800000000000001E-2</v>
      </c>
      <c r="P158" s="162">
        <v>-4.3299999999999998E-2</v>
      </c>
      <c r="Q158" s="162">
        <v>-4.4999999999999998E-2</v>
      </c>
      <c r="R158" s="162">
        <v>-4.7600000000000003E-2</v>
      </c>
      <c r="S158" s="162">
        <v>-4.9799999999999997E-2</v>
      </c>
      <c r="T158" s="162">
        <v>-2.2599999999999999E-2</v>
      </c>
      <c r="U158" s="162">
        <v>1.8800000000000001E-2</v>
      </c>
      <c r="V158" s="162">
        <v>8.1699999999999995E-2</v>
      </c>
      <c r="W158" s="162">
        <v>0.16009999999999999</v>
      </c>
      <c r="X158" s="162">
        <v>0.25230000000000002</v>
      </c>
      <c r="Y158" s="162">
        <v>0.35310000000000002</v>
      </c>
      <c r="Z158" s="162">
        <v>0.45650000000000002</v>
      </c>
      <c r="AA158" s="162">
        <v>0.5554</v>
      </c>
      <c r="AB158" s="162">
        <v>0.64559999999999995</v>
      </c>
      <c r="AC158" s="162">
        <v>0.72699999999999998</v>
      </c>
      <c r="AD158" s="162">
        <v>0.7994</v>
      </c>
      <c r="AE158" s="162">
        <v>0.86370000000000002</v>
      </c>
      <c r="AF158" s="162">
        <v>0.9214</v>
      </c>
      <c r="AG158" s="162">
        <v>0.97675000000000001</v>
      </c>
      <c r="AH158" s="162">
        <v>1.022</v>
      </c>
      <c r="AI158" s="162">
        <v>1.0620000000000001</v>
      </c>
      <c r="AJ158" s="162">
        <v>1.0972500000000001</v>
      </c>
      <c r="AK158" s="162">
        <v>1.1226</v>
      </c>
      <c r="AL158" s="162">
        <v>1.1399999999999999</v>
      </c>
      <c r="AM158" s="162">
        <v>1.1599999999999999</v>
      </c>
      <c r="AN158" s="162">
        <v>1.18</v>
      </c>
      <c r="AO158" s="162">
        <v>1.2</v>
      </c>
      <c r="AP158" s="162">
        <v>1.2341</v>
      </c>
      <c r="AQ158" s="162">
        <v>1.25</v>
      </c>
      <c r="AR158" s="162">
        <v>1.27</v>
      </c>
      <c r="AS158" s="162">
        <v>1.29</v>
      </c>
      <c r="AT158" s="162">
        <v>1.3</v>
      </c>
      <c r="AU158" s="162">
        <v>1.3065</v>
      </c>
    </row>
    <row r="159" spans="1:47" ht="12.75" customHeight="1">
      <c r="A159" s="459">
        <v>42006</v>
      </c>
      <c r="B159" s="139">
        <v>1</v>
      </c>
      <c r="C159" s="162">
        <v>-6.4000000000000001E-2</v>
      </c>
      <c r="D159" s="162">
        <v>-6.4000000000000001E-2</v>
      </c>
      <c r="E159" s="162">
        <v>1.6433300000000001E-2</v>
      </c>
      <c r="F159" s="162">
        <v>1.8666700000000001E-2</v>
      </c>
      <c r="G159" s="162">
        <v>-1.0833000000000001E-2</v>
      </c>
      <c r="H159" s="162">
        <v>-1.0999999999999999E-2</v>
      </c>
      <c r="I159" s="162">
        <v>-1.4999999999999999E-2</v>
      </c>
      <c r="J159" s="162">
        <v>-2.0667000000000001E-2</v>
      </c>
      <c r="K159" s="162">
        <v>-3.0332999999999999E-2</v>
      </c>
      <c r="L159" s="162">
        <v>-3.7666999999999999E-2</v>
      </c>
      <c r="M159" s="162">
        <v>-4.4332999999999997E-2</v>
      </c>
      <c r="N159" s="162">
        <v>-5.0833000000000003E-2</v>
      </c>
      <c r="O159" s="162">
        <v>-5.2332999999999998E-2</v>
      </c>
      <c r="P159" s="162">
        <v>-5.6667000000000002E-2</v>
      </c>
      <c r="Q159" s="162">
        <v>-5.9332999999999997E-2</v>
      </c>
      <c r="R159" s="162">
        <v>-6.2E-2</v>
      </c>
      <c r="S159" s="162">
        <v>-6.5666699999999995E-2</v>
      </c>
      <c r="T159" s="162">
        <v>-3.2000000000000001E-2</v>
      </c>
      <c r="U159" s="162">
        <v>1.5666699999999999E-2</v>
      </c>
      <c r="V159" s="162">
        <v>7.8666700000000006E-2</v>
      </c>
      <c r="W159" s="162">
        <v>0.15966669999999999</v>
      </c>
      <c r="X159" s="162">
        <v>0.25233329999999998</v>
      </c>
      <c r="Y159" s="162">
        <v>0.35299999999999998</v>
      </c>
      <c r="Z159" s="162">
        <v>0.45600000000000002</v>
      </c>
      <c r="AA159" s="162">
        <v>0.55566669999999996</v>
      </c>
      <c r="AB159" s="162">
        <v>0.6483333</v>
      </c>
      <c r="AC159" s="162">
        <v>0.73533329999999997</v>
      </c>
      <c r="AD159" s="162">
        <v>0.80900000000000005</v>
      </c>
      <c r="AE159" s="162">
        <v>0.87533329999999998</v>
      </c>
      <c r="AF159" s="162">
        <v>0.93200000000000005</v>
      </c>
      <c r="AG159" s="162">
        <v>0.98850000000000005</v>
      </c>
      <c r="AH159" s="162">
        <v>1.0365</v>
      </c>
      <c r="AI159" s="162">
        <v>1.0785</v>
      </c>
      <c r="AJ159" s="162">
        <v>1.1160000000000001</v>
      </c>
      <c r="AK159" s="162">
        <v>1.1499999999999999</v>
      </c>
      <c r="AL159" s="162">
        <v>1.1725333</v>
      </c>
      <c r="AM159" s="162">
        <v>1.1950666999999999</v>
      </c>
      <c r="AN159" s="162">
        <v>1.2176</v>
      </c>
      <c r="AO159" s="162">
        <v>1.2401333000000001</v>
      </c>
      <c r="AP159" s="162">
        <v>1.2626667</v>
      </c>
      <c r="AQ159" s="162">
        <v>1.2771333</v>
      </c>
      <c r="AR159" s="162">
        <v>1.2916000000000001</v>
      </c>
      <c r="AS159" s="162">
        <v>1.3060666999999999</v>
      </c>
      <c r="AT159" s="162">
        <v>1.3205332999999999</v>
      </c>
      <c r="AU159" s="162">
        <v>1.335</v>
      </c>
    </row>
    <row r="160" spans="1:47" ht="12.75" customHeight="1">
      <c r="A160" s="459">
        <v>42013</v>
      </c>
      <c r="B160" s="139">
        <v>2</v>
      </c>
      <c r="C160" s="162">
        <v>2.3333E-3</v>
      </c>
      <c r="D160" s="162">
        <v>2.3333E-3</v>
      </c>
      <c r="E160" s="162">
        <v>-4.9799999999999997E-2</v>
      </c>
      <c r="F160" s="162">
        <v>-5.6160000000000002E-2</v>
      </c>
      <c r="G160" s="162">
        <v>-4.4499999999999998E-2</v>
      </c>
      <c r="H160" s="162">
        <v>-0.02</v>
      </c>
      <c r="I160" s="162">
        <v>-2.3400000000000001E-2</v>
      </c>
      <c r="J160" s="162">
        <v>-3.066E-2</v>
      </c>
      <c r="K160" s="162">
        <v>-4.0919999999999998E-2</v>
      </c>
      <c r="L160" s="162">
        <v>-4.8959999999999997E-2</v>
      </c>
      <c r="M160" s="162">
        <v>-5.6000000000000001E-2</v>
      </c>
      <c r="N160" s="162">
        <v>-0.06</v>
      </c>
      <c r="O160" s="162">
        <v>-6.2719999999999998E-2</v>
      </c>
      <c r="P160" s="162">
        <v>-6.7320000000000005E-2</v>
      </c>
      <c r="Q160" s="162">
        <v>-7.0360000000000006E-2</v>
      </c>
      <c r="R160" s="162">
        <v>-7.0400000000000004E-2</v>
      </c>
      <c r="S160" s="162">
        <v>-7.7200000000000005E-2</v>
      </c>
      <c r="T160" s="162">
        <v>-5.3900000000000003E-2</v>
      </c>
      <c r="U160" s="162">
        <v>-1.34E-2</v>
      </c>
      <c r="V160" s="162">
        <v>4.4499999999999998E-2</v>
      </c>
      <c r="W160" s="162">
        <v>0.1207</v>
      </c>
      <c r="X160" s="162">
        <v>0.20780000000000001</v>
      </c>
      <c r="Y160" s="162">
        <v>0.3034</v>
      </c>
      <c r="Z160" s="162">
        <v>0.40179999999999999</v>
      </c>
      <c r="AA160" s="162">
        <v>0.4975</v>
      </c>
      <c r="AB160" s="162">
        <v>0.58660000000000001</v>
      </c>
      <c r="AC160" s="162">
        <v>0.6663</v>
      </c>
      <c r="AD160" s="162">
        <v>0.74099999999999999</v>
      </c>
      <c r="AE160" s="162">
        <v>0.80679999999999996</v>
      </c>
      <c r="AF160" s="162">
        <v>0.86180000000000001</v>
      </c>
      <c r="AG160" s="162">
        <v>0.94166669999999997</v>
      </c>
      <c r="AH160" s="162">
        <v>0.98866670000000001</v>
      </c>
      <c r="AI160" s="162">
        <v>1.0303332999999999</v>
      </c>
      <c r="AJ160" s="162">
        <v>1.0673333</v>
      </c>
      <c r="AK160" s="162">
        <v>1.0712999999999999</v>
      </c>
      <c r="AL160" s="162">
        <v>1.09446</v>
      </c>
      <c r="AM160" s="162">
        <v>1.1176200000000001</v>
      </c>
      <c r="AN160" s="162">
        <v>1.1407799999999999</v>
      </c>
      <c r="AO160" s="162">
        <v>1.16394</v>
      </c>
      <c r="AP160" s="162">
        <v>1.1871</v>
      </c>
      <c r="AQ160" s="162">
        <v>1.2017599999999999</v>
      </c>
      <c r="AR160" s="162">
        <v>1.2164200000000001</v>
      </c>
      <c r="AS160" s="162">
        <v>1.23108</v>
      </c>
      <c r="AT160" s="162">
        <v>1.2457400000000001</v>
      </c>
      <c r="AU160" s="162">
        <v>1.2604</v>
      </c>
    </row>
    <row r="161" spans="1:47" ht="12.75" customHeight="1">
      <c r="A161" s="459">
        <v>42020</v>
      </c>
      <c r="B161" s="139">
        <v>3</v>
      </c>
      <c r="C161" s="162">
        <v>-7.1999999999999995E-2</v>
      </c>
      <c r="D161" s="162">
        <v>-7.1999999999999995E-2</v>
      </c>
      <c r="E161" s="162">
        <v>-7.17E-2</v>
      </c>
      <c r="F161" s="162">
        <v>-6.966E-2</v>
      </c>
      <c r="G161" s="162">
        <v>-4.514E-2</v>
      </c>
      <c r="H161" s="162">
        <v>-2.9360000000000001E-2</v>
      </c>
      <c r="I161" s="162">
        <v>-3.6900000000000002E-2</v>
      </c>
      <c r="J161" s="162">
        <v>-4.3700000000000003E-2</v>
      </c>
      <c r="K161" s="162">
        <v>-5.2900000000000003E-2</v>
      </c>
      <c r="L161" s="162">
        <v>-5.9400000000000001E-2</v>
      </c>
      <c r="M161" s="162">
        <v>-6.4600000000000005E-2</v>
      </c>
      <c r="N161" s="162">
        <v>-6.6259999999999999E-2</v>
      </c>
      <c r="O161" s="162">
        <v>-6.9699999999999998E-2</v>
      </c>
      <c r="P161" s="162">
        <v>-7.3359999999999995E-2</v>
      </c>
      <c r="Q161" s="162">
        <v>-7.6560000000000003E-2</v>
      </c>
      <c r="R161" s="162">
        <v>-7.7799999999999994E-2</v>
      </c>
      <c r="S161" s="162">
        <v>-8.2600000000000007E-2</v>
      </c>
      <c r="T161" s="162">
        <v>-6.3E-2</v>
      </c>
      <c r="U161" s="162">
        <v>-2.7E-2</v>
      </c>
      <c r="V161" s="162">
        <v>2.8799999999999999E-2</v>
      </c>
      <c r="W161" s="162">
        <v>9.9599999999999994E-2</v>
      </c>
      <c r="X161" s="162">
        <v>0.1787</v>
      </c>
      <c r="Y161" s="162">
        <v>0.26829999999999998</v>
      </c>
      <c r="Z161" s="162">
        <v>0.35630000000000001</v>
      </c>
      <c r="AA161" s="162">
        <v>0.44119999999999998</v>
      </c>
      <c r="AB161" s="162">
        <v>0.51939999999999997</v>
      </c>
      <c r="AC161" s="162">
        <v>0.59179999999999999</v>
      </c>
      <c r="AD161" s="162">
        <v>0.65380000000000005</v>
      </c>
      <c r="AE161" s="162">
        <v>0.71109999999999995</v>
      </c>
      <c r="AF161" s="162">
        <v>0.76259999999999994</v>
      </c>
      <c r="AG161" s="162">
        <v>0.80840000000000001</v>
      </c>
      <c r="AH161" s="162">
        <v>0.85140000000000005</v>
      </c>
      <c r="AI161" s="162">
        <v>0.88959999999999995</v>
      </c>
      <c r="AJ161" s="162">
        <v>0.92420000000000002</v>
      </c>
      <c r="AK161" s="162">
        <v>0.95589999999999997</v>
      </c>
      <c r="AL161" s="162">
        <v>0.97897999999999996</v>
      </c>
      <c r="AM161" s="162">
        <v>1.00206</v>
      </c>
      <c r="AN161" s="162">
        <v>1.0251399999999999</v>
      </c>
      <c r="AO161" s="162">
        <v>1.0482199999999999</v>
      </c>
      <c r="AP161" s="162">
        <v>1.0712999999999999</v>
      </c>
      <c r="AQ161" s="162">
        <v>1.0847800000000001</v>
      </c>
      <c r="AR161" s="162">
        <v>1.09826</v>
      </c>
      <c r="AS161" s="162">
        <v>1.11174</v>
      </c>
      <c r="AT161" s="162">
        <v>1.1252200000000001</v>
      </c>
      <c r="AU161" s="162">
        <v>1.1387</v>
      </c>
    </row>
    <row r="162" spans="1:47" ht="12.75" customHeight="1">
      <c r="A162" s="459">
        <v>42027</v>
      </c>
      <c r="B162" s="139">
        <v>4</v>
      </c>
      <c r="C162" s="162">
        <v>-6.6500000000000004E-2</v>
      </c>
      <c r="D162" s="162">
        <v>-6.6500000000000004E-2</v>
      </c>
      <c r="E162" s="162">
        <v>-6.966E-2</v>
      </c>
      <c r="F162" s="162">
        <v>-6.0159999999999998E-2</v>
      </c>
      <c r="G162" s="162">
        <v>-4.7199999999999999E-2</v>
      </c>
      <c r="H162" s="162">
        <v>-3.8699999999999998E-2</v>
      </c>
      <c r="I162" s="162">
        <v>-4.9599999999999998E-2</v>
      </c>
      <c r="J162" s="162">
        <v>-5.7299999999999997E-2</v>
      </c>
      <c r="K162" s="162">
        <v>-6.6600000000000006E-2</v>
      </c>
      <c r="L162" s="162">
        <v>-7.0459999999999995E-2</v>
      </c>
      <c r="M162" s="162">
        <v>-7.7560000000000004E-2</v>
      </c>
      <c r="N162" s="162">
        <v>-7.9200000000000007E-2</v>
      </c>
      <c r="O162" s="162">
        <v>-8.4699999999999998E-2</v>
      </c>
      <c r="P162" s="162">
        <v>-8.7499999999999994E-2</v>
      </c>
      <c r="Q162" s="162">
        <v>-8.9700000000000002E-2</v>
      </c>
      <c r="R162" s="162">
        <v>-9.0800000000000006E-2</v>
      </c>
      <c r="S162" s="162">
        <v>-0.1002</v>
      </c>
      <c r="T162" s="162">
        <v>-7.9500000000000001E-2</v>
      </c>
      <c r="U162" s="162">
        <v>-4.2599999999999999E-2</v>
      </c>
      <c r="V162" s="162">
        <v>1.11E-2</v>
      </c>
      <c r="W162" s="162">
        <v>8.0199999999999994E-2</v>
      </c>
      <c r="X162" s="162">
        <v>0.1618</v>
      </c>
      <c r="Y162" s="162">
        <v>0.24790000000000001</v>
      </c>
      <c r="Z162" s="162">
        <v>0.33460000000000001</v>
      </c>
      <c r="AA162" s="162">
        <v>0.41599999999999998</v>
      </c>
      <c r="AB162" s="162">
        <v>0.49070000000000003</v>
      </c>
      <c r="AC162" s="162">
        <v>0.55810000000000004</v>
      </c>
      <c r="AD162" s="162">
        <v>0.61709999999999998</v>
      </c>
      <c r="AE162" s="162">
        <v>0.6704</v>
      </c>
      <c r="AF162" s="162">
        <v>0.71930000000000005</v>
      </c>
      <c r="AG162" s="162">
        <v>0.76519999999999999</v>
      </c>
      <c r="AH162" s="162">
        <v>0.80640000000000001</v>
      </c>
      <c r="AI162" s="162">
        <v>0.84419999999999995</v>
      </c>
      <c r="AJ162" s="162">
        <v>0.87860000000000005</v>
      </c>
      <c r="AK162" s="162">
        <v>0.90810000000000002</v>
      </c>
      <c r="AL162" s="162">
        <v>0.92959999999999998</v>
      </c>
      <c r="AM162" s="162">
        <v>0.95109999999999995</v>
      </c>
      <c r="AN162" s="162">
        <v>0.97260000000000002</v>
      </c>
      <c r="AO162" s="162">
        <v>0.99409999999999998</v>
      </c>
      <c r="AP162" s="162">
        <v>1.0156000000000001</v>
      </c>
      <c r="AQ162" s="162">
        <v>1.02904</v>
      </c>
      <c r="AR162" s="162">
        <v>1.0424800000000001</v>
      </c>
      <c r="AS162" s="162">
        <v>1.05592</v>
      </c>
      <c r="AT162" s="162">
        <v>1.0693600000000001</v>
      </c>
      <c r="AU162" s="162">
        <v>1.0828</v>
      </c>
    </row>
    <row r="163" spans="1:47" ht="12.75" customHeight="1">
      <c r="A163" s="459">
        <v>42034</v>
      </c>
      <c r="B163" s="139">
        <v>5</v>
      </c>
      <c r="C163" s="162">
        <v>-6.5000000000000002E-2</v>
      </c>
      <c r="D163" s="162">
        <v>-6.5000000000000002E-2</v>
      </c>
      <c r="E163" s="162">
        <v>-2.3539999999999998E-2</v>
      </c>
      <c r="F163" s="162">
        <v>-3.3860000000000001E-2</v>
      </c>
      <c r="G163" s="162">
        <v>-3.6200000000000003E-2</v>
      </c>
      <c r="H163" s="162">
        <v>-4.3060000000000001E-2</v>
      </c>
      <c r="I163" s="162">
        <v>-5.7259999999999998E-2</v>
      </c>
      <c r="J163" s="162">
        <v>-6.5659999999999996E-2</v>
      </c>
      <c r="K163" s="162">
        <v>-7.4899999999999994E-2</v>
      </c>
      <c r="L163" s="162">
        <v>-8.2540000000000002E-2</v>
      </c>
      <c r="M163" s="162">
        <v>-8.5300000000000001E-2</v>
      </c>
      <c r="N163" s="162">
        <v>-9.1920000000000002E-2</v>
      </c>
      <c r="O163" s="162">
        <v>-9.3100000000000002E-2</v>
      </c>
      <c r="P163" s="162">
        <v>-9.4960000000000003E-2</v>
      </c>
      <c r="Q163" s="162">
        <v>-9.8159999999999997E-2</v>
      </c>
      <c r="R163" s="162">
        <v>-0.1</v>
      </c>
      <c r="S163" s="162">
        <v>-9.8400000000000001E-2</v>
      </c>
      <c r="T163" s="162">
        <v>-6.3719999999999999E-2</v>
      </c>
      <c r="U163" s="162">
        <v>-1.84E-2</v>
      </c>
      <c r="V163" s="162">
        <v>4.58E-2</v>
      </c>
      <c r="W163" s="162">
        <v>0.1227</v>
      </c>
      <c r="X163" s="162">
        <v>0.20880000000000001</v>
      </c>
      <c r="Y163" s="162">
        <v>0.2969</v>
      </c>
      <c r="Z163" s="162">
        <v>0.38579999999999998</v>
      </c>
      <c r="AA163" s="162">
        <v>0.46610000000000001</v>
      </c>
      <c r="AB163" s="162">
        <v>0.5393</v>
      </c>
      <c r="AC163" s="162">
        <v>0.60570000000000002</v>
      </c>
      <c r="AD163" s="162">
        <v>0.66149999999999998</v>
      </c>
      <c r="AE163" s="162">
        <v>0.71299999999999997</v>
      </c>
      <c r="AF163" s="162">
        <v>0.7621</v>
      </c>
      <c r="AG163" s="162">
        <v>0.83725000000000005</v>
      </c>
      <c r="AH163" s="162">
        <v>0.87724999999999997</v>
      </c>
      <c r="AI163" s="162">
        <v>0.91400000000000003</v>
      </c>
      <c r="AJ163" s="162">
        <v>0.94699999999999995</v>
      </c>
      <c r="AK163" s="162">
        <v>0.94469999999999998</v>
      </c>
      <c r="AL163" s="162">
        <v>0.96562000000000003</v>
      </c>
      <c r="AM163" s="162">
        <v>0.98653999999999997</v>
      </c>
      <c r="AN163" s="162">
        <v>1.00746</v>
      </c>
      <c r="AO163" s="162">
        <v>1.0283800000000001</v>
      </c>
      <c r="AP163" s="162">
        <v>1.0492999999999999</v>
      </c>
      <c r="AQ163" s="162">
        <v>1.0618399999999999</v>
      </c>
      <c r="AR163" s="162">
        <v>1.0743799999999999</v>
      </c>
      <c r="AS163" s="162">
        <v>1.0869200000000001</v>
      </c>
      <c r="AT163" s="162">
        <v>1.0994600000000001</v>
      </c>
      <c r="AU163" s="162">
        <v>1.1120000000000001</v>
      </c>
    </row>
    <row r="164" spans="1:47" ht="12.75" customHeight="1">
      <c r="A164" s="459">
        <v>42041</v>
      </c>
      <c r="B164" s="139">
        <v>6</v>
      </c>
      <c r="C164" s="162">
        <v>-2.725E-2</v>
      </c>
      <c r="D164" s="162">
        <v>-2.725E-2</v>
      </c>
      <c r="E164" s="162">
        <v>-1.7299999999999999E-2</v>
      </c>
      <c r="F164" s="162">
        <v>-2.3E-2</v>
      </c>
      <c r="G164" s="162">
        <v>-2.5000000000000001E-2</v>
      </c>
      <c r="H164" s="162">
        <v>-3.1699999999999999E-2</v>
      </c>
      <c r="I164" s="162">
        <v>-3.9660000000000001E-2</v>
      </c>
      <c r="J164" s="162">
        <v>-5.1400000000000001E-2</v>
      </c>
      <c r="K164" s="162">
        <v>-6.3399999999999998E-2</v>
      </c>
      <c r="L164" s="162">
        <v>-6.9500000000000006E-2</v>
      </c>
      <c r="M164" s="162">
        <v>-7.6399999999999996E-2</v>
      </c>
      <c r="N164" s="162">
        <v>-8.09E-2</v>
      </c>
      <c r="O164" s="162">
        <v>-8.72E-2</v>
      </c>
      <c r="P164" s="162">
        <v>-9.1399999999999995E-2</v>
      </c>
      <c r="Q164" s="162">
        <v>-9.2200000000000004E-2</v>
      </c>
      <c r="R164" s="162">
        <v>-9.7299999999999998E-2</v>
      </c>
      <c r="S164" s="162">
        <v>-9.98E-2</v>
      </c>
      <c r="T164" s="162">
        <v>-7.2400000000000006E-2</v>
      </c>
      <c r="U164" s="162">
        <v>-2.46E-2</v>
      </c>
      <c r="V164" s="162">
        <v>3.78E-2</v>
      </c>
      <c r="W164" s="162">
        <v>0.114</v>
      </c>
      <c r="X164" s="162">
        <v>0.19570000000000001</v>
      </c>
      <c r="Y164" s="162">
        <v>0.28179999999999999</v>
      </c>
      <c r="Z164" s="162">
        <v>0.36520000000000002</v>
      </c>
      <c r="AA164" s="162">
        <v>0.44419999999999998</v>
      </c>
      <c r="AB164" s="162">
        <v>0.5151</v>
      </c>
      <c r="AC164" s="162">
        <v>0.58220000000000005</v>
      </c>
      <c r="AD164" s="162">
        <v>0.63619999999999999</v>
      </c>
      <c r="AE164" s="162">
        <v>0.68700000000000006</v>
      </c>
      <c r="AF164" s="162">
        <v>0.73599999999999999</v>
      </c>
      <c r="AG164" s="162">
        <v>0.78533330000000001</v>
      </c>
      <c r="AH164" s="162">
        <v>0.82366669999999997</v>
      </c>
      <c r="AI164" s="162">
        <v>0.85899999999999999</v>
      </c>
      <c r="AJ164" s="162">
        <v>0.89033329999999999</v>
      </c>
      <c r="AK164" s="162">
        <v>0.91300000000000003</v>
      </c>
      <c r="AL164" s="162">
        <v>0.93262</v>
      </c>
      <c r="AM164" s="162">
        <v>0.95223999999999998</v>
      </c>
      <c r="AN164" s="162">
        <v>0.97185999999999995</v>
      </c>
      <c r="AO164" s="162">
        <v>0.99148000000000003</v>
      </c>
      <c r="AP164" s="162">
        <v>1.0111000000000001</v>
      </c>
      <c r="AQ164" s="162">
        <v>1.02254</v>
      </c>
      <c r="AR164" s="162">
        <v>1.0339799999999999</v>
      </c>
      <c r="AS164" s="162">
        <v>1.04542</v>
      </c>
      <c r="AT164" s="162">
        <v>1.0568599999999999</v>
      </c>
      <c r="AU164" s="162">
        <v>1.0683</v>
      </c>
    </row>
    <row r="165" spans="1:47" ht="12.75" customHeight="1">
      <c r="A165" s="459">
        <v>42048</v>
      </c>
      <c r="B165" s="139">
        <v>7</v>
      </c>
      <c r="C165" s="162">
        <v>-3.0249999999999999E-2</v>
      </c>
      <c r="D165" s="162">
        <v>-3.0249999999999999E-2</v>
      </c>
      <c r="E165" s="162">
        <v>-4.1300000000000003E-2</v>
      </c>
      <c r="F165" s="162">
        <v>-2.93E-2</v>
      </c>
      <c r="G165" s="162">
        <v>-2.52E-2</v>
      </c>
      <c r="H165" s="162">
        <v>-3.5000000000000003E-2</v>
      </c>
      <c r="I165" s="162">
        <v>-4.58E-2</v>
      </c>
      <c r="J165" s="162">
        <v>-5.8000000000000003E-2</v>
      </c>
      <c r="K165" s="162">
        <v>-6.7400000000000002E-2</v>
      </c>
      <c r="L165" s="162">
        <v>-7.4399999999999994E-2</v>
      </c>
      <c r="M165" s="162">
        <v>-7.9600000000000004E-2</v>
      </c>
      <c r="N165" s="162">
        <v>-8.3400000000000002E-2</v>
      </c>
      <c r="O165" s="162">
        <v>-8.6800000000000002E-2</v>
      </c>
      <c r="P165" s="162">
        <v>-9.0800000000000006E-2</v>
      </c>
      <c r="Q165" s="162">
        <v>-9.4259999999999997E-2</v>
      </c>
      <c r="R165" s="162">
        <v>-9.6600000000000005E-2</v>
      </c>
      <c r="S165" s="162">
        <v>-0.10299999999999999</v>
      </c>
      <c r="T165" s="162">
        <v>-7.3499999999999996E-2</v>
      </c>
      <c r="U165" s="162">
        <v>-2.4500000000000001E-2</v>
      </c>
      <c r="V165" s="162">
        <v>3.5400000000000001E-2</v>
      </c>
      <c r="W165" s="162">
        <v>0.1071</v>
      </c>
      <c r="X165" s="162">
        <v>0.18770000000000001</v>
      </c>
      <c r="Y165" s="162">
        <v>0.27050000000000002</v>
      </c>
      <c r="Z165" s="162">
        <v>0.34889999999999999</v>
      </c>
      <c r="AA165" s="162">
        <v>0.42349999999999999</v>
      </c>
      <c r="AB165" s="162">
        <v>0.48809999999999998</v>
      </c>
      <c r="AC165" s="162">
        <v>0.54900000000000004</v>
      </c>
      <c r="AD165" s="162">
        <v>0.59960000000000002</v>
      </c>
      <c r="AE165" s="162">
        <v>0.64770000000000005</v>
      </c>
      <c r="AF165" s="162">
        <v>0.69269999999999998</v>
      </c>
      <c r="AG165" s="162">
        <v>0.73499999999999999</v>
      </c>
      <c r="AH165" s="162">
        <v>0.77100000000000002</v>
      </c>
      <c r="AI165" s="162">
        <v>0.80359999999999998</v>
      </c>
      <c r="AJ165" s="162">
        <v>0.83299999999999996</v>
      </c>
      <c r="AK165" s="162">
        <v>0.85489999999999999</v>
      </c>
      <c r="AL165" s="162">
        <v>0.87250000000000005</v>
      </c>
      <c r="AM165" s="162">
        <v>0.8901</v>
      </c>
      <c r="AN165" s="162">
        <v>0.90769999999999995</v>
      </c>
      <c r="AO165" s="162">
        <v>0.92530000000000001</v>
      </c>
      <c r="AP165" s="162">
        <v>0.94289999999999996</v>
      </c>
      <c r="AQ165" s="162">
        <v>0.95313999999999999</v>
      </c>
      <c r="AR165" s="162">
        <v>0.96338000000000001</v>
      </c>
      <c r="AS165" s="162">
        <v>0.97362000000000004</v>
      </c>
      <c r="AT165" s="162">
        <v>0.98385999999999996</v>
      </c>
      <c r="AU165" s="162">
        <v>0.99409999999999998</v>
      </c>
    </row>
    <row r="166" spans="1:47" ht="12.75" customHeight="1">
      <c r="A166" s="459">
        <v>42055</v>
      </c>
      <c r="B166" s="139">
        <v>8</v>
      </c>
      <c r="C166" s="162">
        <v>-4.3999999999999997E-2</v>
      </c>
      <c r="D166" s="162">
        <v>-4.3999999999999997E-2</v>
      </c>
      <c r="E166" s="162">
        <v>-4.036E-2</v>
      </c>
      <c r="F166" s="162">
        <v>-2.98E-2</v>
      </c>
      <c r="G166" s="162">
        <v>-2.4799999999999999E-2</v>
      </c>
      <c r="H166" s="162">
        <v>-3.7999999999999999E-2</v>
      </c>
      <c r="I166" s="162">
        <v>-5.0900000000000001E-2</v>
      </c>
      <c r="J166" s="162">
        <v>-5.9859999999999997E-2</v>
      </c>
      <c r="K166" s="162">
        <v>-6.9900000000000004E-2</v>
      </c>
      <c r="L166" s="162">
        <v>-7.5800000000000006E-2</v>
      </c>
      <c r="M166" s="162">
        <v>-8.2199999999999995E-2</v>
      </c>
      <c r="N166" s="162">
        <v>-8.6499999999999994E-2</v>
      </c>
      <c r="O166" s="162">
        <v>-8.9899999999999994E-2</v>
      </c>
      <c r="P166" s="162">
        <v>-9.4500000000000001E-2</v>
      </c>
      <c r="Q166" s="162">
        <v>-9.6100000000000005E-2</v>
      </c>
      <c r="R166" s="162">
        <v>-9.8699999999999996E-2</v>
      </c>
      <c r="S166" s="162">
        <v>-0.1056</v>
      </c>
      <c r="T166" s="162">
        <v>-7.8E-2</v>
      </c>
      <c r="U166" s="162">
        <v>-3.0700000000000002E-2</v>
      </c>
      <c r="V166" s="162">
        <v>3.2399999999999998E-2</v>
      </c>
      <c r="W166" s="162">
        <v>0.1087</v>
      </c>
      <c r="X166" s="162">
        <v>0.19170000000000001</v>
      </c>
      <c r="Y166" s="162">
        <v>0.2752</v>
      </c>
      <c r="Z166" s="162">
        <v>0.35499999999999998</v>
      </c>
      <c r="AA166" s="162">
        <v>0.42649999999999999</v>
      </c>
      <c r="AB166" s="162">
        <v>0.4924</v>
      </c>
      <c r="AC166" s="162">
        <v>0.55089999999999995</v>
      </c>
      <c r="AD166" s="162">
        <v>0.60240000000000005</v>
      </c>
      <c r="AE166" s="162">
        <v>0.64910000000000001</v>
      </c>
      <c r="AF166" s="162">
        <v>0.69140000000000001</v>
      </c>
      <c r="AG166" s="162">
        <v>0.72819999999999996</v>
      </c>
      <c r="AH166" s="162">
        <v>0.76280000000000003</v>
      </c>
      <c r="AI166" s="162">
        <v>0.79420000000000002</v>
      </c>
      <c r="AJ166" s="162">
        <v>0.82199999999999995</v>
      </c>
      <c r="AK166" s="162">
        <v>0.84689999999999999</v>
      </c>
      <c r="AL166" s="162">
        <v>0.86360000000000003</v>
      </c>
      <c r="AM166" s="162">
        <v>0.88029999999999997</v>
      </c>
      <c r="AN166" s="162">
        <v>0.89700000000000002</v>
      </c>
      <c r="AO166" s="162">
        <v>0.91369999999999996</v>
      </c>
      <c r="AP166" s="162">
        <v>0.9304</v>
      </c>
      <c r="AQ166" s="162">
        <v>0.94011999999999996</v>
      </c>
      <c r="AR166" s="162">
        <v>0.94984000000000002</v>
      </c>
      <c r="AS166" s="162">
        <v>0.95955999999999997</v>
      </c>
      <c r="AT166" s="162">
        <v>0.96928000000000003</v>
      </c>
      <c r="AU166" s="162">
        <v>0.97899999999999998</v>
      </c>
    </row>
    <row r="167" spans="1:47" ht="12.75" customHeight="1">
      <c r="A167" s="459">
        <v>42062</v>
      </c>
      <c r="B167" s="139">
        <v>9</v>
      </c>
      <c r="C167" s="162">
        <v>-4.0250000000000001E-2</v>
      </c>
      <c r="D167" s="162">
        <v>-4.0250000000000001E-2</v>
      </c>
      <c r="E167" s="162">
        <v>-2.41E-2</v>
      </c>
      <c r="F167" s="162">
        <v>-9.4000000000000004E-3</v>
      </c>
      <c r="G167" s="162">
        <v>-2.4299999999999999E-2</v>
      </c>
      <c r="H167" s="162">
        <v>-3.5900000000000001E-2</v>
      </c>
      <c r="I167" s="162">
        <v>-5.21E-2</v>
      </c>
      <c r="J167" s="162">
        <v>-6.216E-2</v>
      </c>
      <c r="K167" s="162">
        <v>-7.22E-2</v>
      </c>
      <c r="L167" s="162">
        <v>-7.8259999999999996E-2</v>
      </c>
      <c r="M167" s="162">
        <v>-8.3400000000000002E-2</v>
      </c>
      <c r="N167" s="162">
        <v>-8.8059999999999999E-2</v>
      </c>
      <c r="O167" s="162">
        <v>-9.1600000000000001E-2</v>
      </c>
      <c r="P167" s="162">
        <v>-9.5759999999999998E-2</v>
      </c>
      <c r="Q167" s="162">
        <v>-9.9000000000000005E-2</v>
      </c>
      <c r="R167" s="162">
        <v>-0.10199999999999999</v>
      </c>
      <c r="S167" s="162">
        <v>-0.114</v>
      </c>
      <c r="T167" s="162">
        <v>-8.8200000000000001E-2</v>
      </c>
      <c r="U167" s="162">
        <v>-3.7499999999999999E-2</v>
      </c>
      <c r="V167" s="162">
        <v>3.0800000000000001E-2</v>
      </c>
      <c r="W167" s="162">
        <v>0.1116</v>
      </c>
      <c r="X167" s="162">
        <v>0.1986</v>
      </c>
      <c r="Y167" s="162">
        <v>0.28689999999999999</v>
      </c>
      <c r="Z167" s="162">
        <v>0.3705</v>
      </c>
      <c r="AA167" s="162">
        <v>0.44600000000000001</v>
      </c>
      <c r="AB167" s="162">
        <v>0.51619999999999999</v>
      </c>
      <c r="AC167" s="162">
        <v>0.57899999999999996</v>
      </c>
      <c r="AD167" s="162">
        <v>0.63019999999999998</v>
      </c>
      <c r="AE167" s="162">
        <v>0.68200000000000005</v>
      </c>
      <c r="AF167" s="162">
        <v>0.72870000000000001</v>
      </c>
      <c r="AG167" s="162">
        <v>0.77059999999999995</v>
      </c>
      <c r="AH167" s="162">
        <v>0.80779999999999996</v>
      </c>
      <c r="AI167" s="162">
        <v>0.84119999999999995</v>
      </c>
      <c r="AJ167" s="162">
        <v>0.87119999999999997</v>
      </c>
      <c r="AK167" s="162">
        <v>0.89659999999999995</v>
      </c>
      <c r="AL167" s="162">
        <v>0.91491999999999996</v>
      </c>
      <c r="AM167" s="162">
        <v>0.93323999999999996</v>
      </c>
      <c r="AN167" s="162">
        <v>0.95155999999999996</v>
      </c>
      <c r="AO167" s="162">
        <v>0.96987999999999996</v>
      </c>
      <c r="AP167" s="162">
        <v>0.98819999999999997</v>
      </c>
      <c r="AQ167" s="162">
        <v>0.99914000000000003</v>
      </c>
      <c r="AR167" s="162">
        <v>1.0100800000000001</v>
      </c>
      <c r="AS167" s="162">
        <v>1.02102</v>
      </c>
      <c r="AT167" s="162">
        <v>1.03196</v>
      </c>
      <c r="AU167" s="162">
        <v>1.0428999999999999</v>
      </c>
    </row>
    <row r="168" spans="1:47" ht="12.75" customHeight="1">
      <c r="A168" s="459">
        <v>42069</v>
      </c>
      <c r="B168" s="139">
        <v>10</v>
      </c>
      <c r="C168" s="162">
        <v>-0.05</v>
      </c>
      <c r="D168" s="162">
        <v>-0.05</v>
      </c>
      <c r="E168" s="162">
        <v>-1.4999999999999999E-2</v>
      </c>
      <c r="F168" s="162">
        <v>-1.84E-2</v>
      </c>
      <c r="G168" s="162">
        <v>-3.3459999999999997E-2</v>
      </c>
      <c r="H168" s="162">
        <v>-4.7800000000000002E-2</v>
      </c>
      <c r="I168" s="162">
        <v>-6.0699999999999997E-2</v>
      </c>
      <c r="J168" s="162">
        <v>-7.0000000000000007E-2</v>
      </c>
      <c r="K168" s="162">
        <v>-7.9200000000000007E-2</v>
      </c>
      <c r="L168" s="162">
        <v>-8.4400000000000003E-2</v>
      </c>
      <c r="M168" s="162">
        <v>-8.9800000000000005E-2</v>
      </c>
      <c r="N168" s="162">
        <v>-9.5159999999999995E-2</v>
      </c>
      <c r="O168" s="162">
        <v>-9.8460000000000006E-2</v>
      </c>
      <c r="P168" s="162">
        <v>-0.10100000000000001</v>
      </c>
      <c r="Q168" s="162">
        <v>-0.1036</v>
      </c>
      <c r="R168" s="162">
        <v>-0.10639999999999999</v>
      </c>
      <c r="S168" s="162">
        <v>-0.11840000000000001</v>
      </c>
      <c r="T168" s="162">
        <v>-9.5299999999999996E-2</v>
      </c>
      <c r="U168" s="162">
        <v>-4.8300000000000003E-2</v>
      </c>
      <c r="V168" s="162">
        <v>1.55E-2</v>
      </c>
      <c r="W168" s="162">
        <v>9.2299999999999993E-2</v>
      </c>
      <c r="X168" s="162">
        <v>0.17730000000000001</v>
      </c>
      <c r="Y168" s="162">
        <v>0.2631</v>
      </c>
      <c r="Z168" s="162">
        <v>0.34739999999999999</v>
      </c>
      <c r="AA168" s="162">
        <v>0.4244</v>
      </c>
      <c r="AB168" s="162">
        <v>0.49569999999999997</v>
      </c>
      <c r="AC168" s="162">
        <v>0.56200000000000006</v>
      </c>
      <c r="AD168" s="162">
        <v>0.61909999999999998</v>
      </c>
      <c r="AE168" s="162">
        <v>0.67100000000000004</v>
      </c>
      <c r="AF168" s="162">
        <v>0.71850000000000003</v>
      </c>
      <c r="AG168" s="162">
        <v>0.76359999999999995</v>
      </c>
      <c r="AH168" s="162">
        <v>0.80200000000000005</v>
      </c>
      <c r="AI168" s="162">
        <v>0.83640000000000003</v>
      </c>
      <c r="AJ168" s="162">
        <v>0.86739999999999995</v>
      </c>
      <c r="AK168" s="162">
        <v>0.89080000000000004</v>
      </c>
      <c r="AL168" s="162">
        <v>0.91025999999999996</v>
      </c>
      <c r="AM168" s="162">
        <v>0.92971999999999999</v>
      </c>
      <c r="AN168" s="162">
        <v>0.94918000000000002</v>
      </c>
      <c r="AO168" s="162">
        <v>0.96863999999999995</v>
      </c>
      <c r="AP168" s="162">
        <v>0.98809999999999998</v>
      </c>
      <c r="AQ168" s="162">
        <v>1.00014</v>
      </c>
      <c r="AR168" s="162">
        <v>1.0121800000000001</v>
      </c>
      <c r="AS168" s="162">
        <v>1.0242199999999999</v>
      </c>
      <c r="AT168" s="162">
        <v>1.03626</v>
      </c>
      <c r="AU168" s="162">
        <v>1.0483</v>
      </c>
    </row>
    <row r="169" spans="1:47" ht="12.75" customHeight="1">
      <c r="A169" s="459">
        <v>42076</v>
      </c>
      <c r="B169" s="139">
        <v>11</v>
      </c>
      <c r="C169" s="162">
        <v>-5.8500000000000003E-2</v>
      </c>
      <c r="D169" s="162">
        <v>-5.8500000000000003E-2</v>
      </c>
      <c r="E169" s="162">
        <v>-5.4519999999999999E-2</v>
      </c>
      <c r="F169" s="162">
        <v>-4.6359999999999998E-2</v>
      </c>
      <c r="G169" s="162">
        <v>-5.2200000000000003E-2</v>
      </c>
      <c r="H169" s="162">
        <v>-6.0400000000000002E-2</v>
      </c>
      <c r="I169" s="162">
        <v>-6.7400000000000002E-2</v>
      </c>
      <c r="J169" s="162">
        <v>-7.5399999999999995E-2</v>
      </c>
      <c r="K169" s="162">
        <v>-8.4000000000000005E-2</v>
      </c>
      <c r="L169" s="162">
        <v>-8.9599999999999999E-2</v>
      </c>
      <c r="M169" s="162">
        <v>-9.1200000000000003E-2</v>
      </c>
      <c r="N169" s="162">
        <v>-9.4899999999999998E-2</v>
      </c>
      <c r="O169" s="162">
        <v>-9.8059999999999994E-2</v>
      </c>
      <c r="P169" s="162">
        <v>-0.10059999999999999</v>
      </c>
      <c r="Q169" s="162">
        <v>-0.10416</v>
      </c>
      <c r="R169" s="162">
        <v>-0.10539999999999999</v>
      </c>
      <c r="S169" s="162">
        <v>-0.11</v>
      </c>
      <c r="T169" s="162">
        <v>-7.8600000000000003E-2</v>
      </c>
      <c r="U169" s="162">
        <v>-2.7E-2</v>
      </c>
      <c r="V169" s="162">
        <v>4.1799999999999997E-2</v>
      </c>
      <c r="W169" s="162">
        <v>0.1215</v>
      </c>
      <c r="X169" s="162">
        <v>0.2082</v>
      </c>
      <c r="Y169" s="162">
        <v>0.29630000000000001</v>
      </c>
      <c r="Z169" s="162">
        <v>0.38179999999999997</v>
      </c>
      <c r="AA169" s="162">
        <v>0.45839999999999997</v>
      </c>
      <c r="AB169" s="162">
        <v>0.52680000000000005</v>
      </c>
      <c r="AC169" s="162">
        <v>0.58889999999999998</v>
      </c>
      <c r="AD169" s="162">
        <v>0.64359999999999995</v>
      </c>
      <c r="AE169" s="162">
        <v>0.69220000000000004</v>
      </c>
      <c r="AF169" s="162">
        <v>0.73570000000000002</v>
      </c>
      <c r="AG169" s="162">
        <v>0.78739999999999999</v>
      </c>
      <c r="AH169" s="162">
        <v>0.82299999999999995</v>
      </c>
      <c r="AI169" s="162">
        <v>0.85499999999999998</v>
      </c>
      <c r="AJ169" s="162">
        <v>0.88300000000000001</v>
      </c>
      <c r="AK169" s="162">
        <v>0.89449999999999996</v>
      </c>
      <c r="AL169" s="162">
        <v>0.91090000000000004</v>
      </c>
      <c r="AM169" s="162">
        <v>0.92730000000000001</v>
      </c>
      <c r="AN169" s="162">
        <v>0.94369999999999998</v>
      </c>
      <c r="AO169" s="162">
        <v>0.96009999999999995</v>
      </c>
      <c r="AP169" s="162">
        <v>0.97650000000000003</v>
      </c>
      <c r="AQ169" s="162">
        <v>0.98829999999999996</v>
      </c>
      <c r="AR169" s="162">
        <v>1.0001</v>
      </c>
      <c r="AS169" s="162">
        <v>1.0119</v>
      </c>
      <c r="AT169" s="162">
        <v>1.0237000000000001</v>
      </c>
      <c r="AU169" s="162">
        <v>1.0355000000000001</v>
      </c>
    </row>
    <row r="170" spans="1:47" ht="12.75" customHeight="1">
      <c r="A170" s="459">
        <v>42083</v>
      </c>
      <c r="B170" s="139">
        <v>12</v>
      </c>
      <c r="C170" s="162">
        <v>-5.9499999999999997E-2</v>
      </c>
      <c r="D170" s="162">
        <v>-5.9499999999999997E-2</v>
      </c>
      <c r="E170" s="162">
        <v>-5.8259999999999999E-2</v>
      </c>
      <c r="F170" s="162">
        <v>-6.5460000000000004E-2</v>
      </c>
      <c r="G170" s="162">
        <v>-6.8059999999999996E-2</v>
      </c>
      <c r="H170" s="162">
        <v>-7.3359999999999995E-2</v>
      </c>
      <c r="I170" s="162">
        <v>-7.8899999999999998E-2</v>
      </c>
      <c r="J170" s="162">
        <v>-8.77E-2</v>
      </c>
      <c r="K170" s="162">
        <v>-9.6360000000000001E-2</v>
      </c>
      <c r="L170" s="162">
        <v>-0.1033</v>
      </c>
      <c r="M170" s="162">
        <v>-0.10539999999999999</v>
      </c>
      <c r="N170" s="162">
        <v>-0.1082</v>
      </c>
      <c r="O170" s="162">
        <v>-0.11219999999999999</v>
      </c>
      <c r="P170" s="162">
        <v>-0.1163</v>
      </c>
      <c r="Q170" s="162">
        <v>-0.1162</v>
      </c>
      <c r="R170" s="162">
        <v>-0.1182</v>
      </c>
      <c r="S170" s="162">
        <v>-0.12559999999999999</v>
      </c>
      <c r="T170" s="162">
        <v>-9.7900000000000001E-2</v>
      </c>
      <c r="U170" s="162">
        <v>-4.87E-2</v>
      </c>
      <c r="V170" s="162">
        <v>1.6299999999999999E-2</v>
      </c>
      <c r="W170" s="162">
        <v>8.7999999999999995E-2</v>
      </c>
      <c r="X170" s="162">
        <v>0.16339999999999999</v>
      </c>
      <c r="Y170" s="162">
        <v>0.24129999999999999</v>
      </c>
      <c r="Z170" s="162">
        <v>0.31680000000000003</v>
      </c>
      <c r="AA170" s="162">
        <v>0.38400000000000001</v>
      </c>
      <c r="AB170" s="162">
        <v>0.44579999999999997</v>
      </c>
      <c r="AC170" s="162">
        <v>0.50080000000000002</v>
      </c>
      <c r="AD170" s="162">
        <v>0.54790000000000005</v>
      </c>
      <c r="AE170" s="162">
        <v>0.59040000000000004</v>
      </c>
      <c r="AF170" s="162">
        <v>0.62849999999999995</v>
      </c>
      <c r="AG170" s="162">
        <v>0.66479999999999995</v>
      </c>
      <c r="AH170" s="162">
        <v>0.69520000000000004</v>
      </c>
      <c r="AI170" s="162">
        <v>0.7218</v>
      </c>
      <c r="AJ170" s="162">
        <v>0.74560000000000004</v>
      </c>
      <c r="AK170" s="162">
        <v>0.7641</v>
      </c>
      <c r="AL170" s="162">
        <v>0.77980000000000005</v>
      </c>
      <c r="AM170" s="162">
        <v>0.79549999999999998</v>
      </c>
      <c r="AN170" s="162">
        <v>0.81120000000000003</v>
      </c>
      <c r="AO170" s="162">
        <v>0.82689999999999997</v>
      </c>
      <c r="AP170" s="162">
        <v>0.84260000000000002</v>
      </c>
      <c r="AQ170" s="162">
        <v>0.85307999999999995</v>
      </c>
      <c r="AR170" s="162">
        <v>0.86355999999999999</v>
      </c>
      <c r="AS170" s="162">
        <v>0.87404000000000004</v>
      </c>
      <c r="AT170" s="162">
        <v>0.88451999999999997</v>
      </c>
      <c r="AU170" s="162">
        <v>0.89500000000000002</v>
      </c>
    </row>
    <row r="171" spans="1:47" ht="12.75" customHeight="1">
      <c r="A171" s="459">
        <v>42090</v>
      </c>
      <c r="B171" s="139">
        <v>13</v>
      </c>
      <c r="C171" s="162">
        <v>-4.9000000000000002E-2</v>
      </c>
      <c r="D171" s="162">
        <v>-4.9000000000000002E-2</v>
      </c>
      <c r="E171" s="162">
        <v>-6.4960000000000004E-2</v>
      </c>
      <c r="F171" s="162">
        <v>-6.5759999999999999E-2</v>
      </c>
      <c r="G171" s="162">
        <v>-7.1559999999999999E-2</v>
      </c>
      <c r="H171" s="162">
        <v>-7.7759999999999996E-2</v>
      </c>
      <c r="I171" s="162">
        <v>-8.4000000000000005E-2</v>
      </c>
      <c r="J171" s="162">
        <v>-9.1859999999999997E-2</v>
      </c>
      <c r="K171" s="162">
        <v>-9.7559999999999994E-2</v>
      </c>
      <c r="L171" s="162">
        <v>-0.10249999999999999</v>
      </c>
      <c r="M171" s="162">
        <v>-0.106</v>
      </c>
      <c r="N171" s="162">
        <v>-0.10766000000000001</v>
      </c>
      <c r="O171" s="162">
        <v>-0.113</v>
      </c>
      <c r="P171" s="162">
        <v>-0.11416</v>
      </c>
      <c r="Q171" s="162">
        <v>-0.11726</v>
      </c>
      <c r="R171" s="162">
        <v>-0.1181</v>
      </c>
      <c r="S171" s="162">
        <v>-0.12759999999999999</v>
      </c>
      <c r="T171" s="162">
        <v>-9.6759999999999999E-2</v>
      </c>
      <c r="U171" s="162">
        <v>-5.04E-2</v>
      </c>
      <c r="V171" s="162">
        <v>7.3000000000000001E-3</v>
      </c>
      <c r="W171" s="162">
        <v>6.9900000000000004E-2</v>
      </c>
      <c r="X171" s="162">
        <v>0.13170000000000001</v>
      </c>
      <c r="Y171" s="162">
        <v>0.1946</v>
      </c>
      <c r="Z171" s="162">
        <v>0.25609999999999999</v>
      </c>
      <c r="AA171" s="162">
        <v>0.31040000000000001</v>
      </c>
      <c r="AB171" s="162">
        <v>0.36199999999999999</v>
      </c>
      <c r="AC171" s="162">
        <v>0.40870000000000001</v>
      </c>
      <c r="AD171" s="162">
        <v>0.44940000000000002</v>
      </c>
      <c r="AE171" s="162">
        <v>0.48649999999999999</v>
      </c>
      <c r="AF171" s="162">
        <v>0.51949999999999996</v>
      </c>
      <c r="AG171" s="162">
        <v>0.54920000000000002</v>
      </c>
      <c r="AH171" s="162">
        <v>0.57520000000000004</v>
      </c>
      <c r="AI171" s="162">
        <v>0.59819999999999995</v>
      </c>
      <c r="AJ171" s="162">
        <v>0.61919999999999997</v>
      </c>
      <c r="AK171" s="162">
        <v>0.63719999999999999</v>
      </c>
      <c r="AL171" s="162">
        <v>0.65090000000000003</v>
      </c>
      <c r="AM171" s="162">
        <v>0.66459999999999997</v>
      </c>
      <c r="AN171" s="162">
        <v>0.67830000000000001</v>
      </c>
      <c r="AO171" s="162">
        <v>0.69199999999999995</v>
      </c>
      <c r="AP171" s="162">
        <v>0.70569999999999999</v>
      </c>
      <c r="AQ171" s="162">
        <v>0.71479999999999999</v>
      </c>
      <c r="AR171" s="162">
        <v>0.72389999999999999</v>
      </c>
      <c r="AS171" s="162">
        <v>0.73299999999999998</v>
      </c>
      <c r="AT171" s="162">
        <v>0.74209999999999998</v>
      </c>
      <c r="AU171" s="162">
        <v>0.75119999999999998</v>
      </c>
    </row>
    <row r="172" spans="1:47" ht="12.75" customHeight="1">
      <c r="A172" s="459">
        <v>42097</v>
      </c>
      <c r="B172" s="139">
        <v>14</v>
      </c>
      <c r="C172" s="162">
        <v>-5.7000000000000002E-2</v>
      </c>
      <c r="D172" s="162">
        <v>-5.7000000000000002E-2</v>
      </c>
      <c r="E172" s="162">
        <v>-5.1499999999999997E-2</v>
      </c>
      <c r="F172" s="162">
        <v>-4.3999999999999997E-2</v>
      </c>
      <c r="G172" s="162">
        <v>-7.6799999999999993E-2</v>
      </c>
      <c r="H172" s="162">
        <v>-8.1000000000000003E-2</v>
      </c>
      <c r="I172" s="162">
        <v>-8.6999999999999994E-2</v>
      </c>
      <c r="J172" s="162">
        <v>-9.5000000000000001E-2</v>
      </c>
      <c r="K172" s="162">
        <v>-0.10100000000000001</v>
      </c>
      <c r="L172" s="162">
        <v>-0.105</v>
      </c>
      <c r="M172" s="162">
        <v>-0.109</v>
      </c>
      <c r="N172" s="162">
        <v>-0.11650000000000001</v>
      </c>
      <c r="O172" s="162">
        <v>-0.115</v>
      </c>
      <c r="P172" s="162">
        <v>-0.11700000000000001</v>
      </c>
      <c r="Q172" s="162">
        <v>-0.11899999999999999</v>
      </c>
      <c r="R172" s="162">
        <v>-0.125</v>
      </c>
      <c r="S172" s="162">
        <v>-0.127</v>
      </c>
      <c r="T172" s="162">
        <v>-0.105</v>
      </c>
      <c r="U172" s="162">
        <v>-5.9499999999999997E-2</v>
      </c>
      <c r="V172" s="162">
        <v>-4.0000000000000001E-3</v>
      </c>
      <c r="W172" s="162">
        <v>5.5500000000000001E-2</v>
      </c>
      <c r="X172" s="162">
        <v>0.113</v>
      </c>
      <c r="Y172" s="162">
        <v>0.17249999999999999</v>
      </c>
      <c r="Z172" s="162">
        <v>0.23100000000000001</v>
      </c>
      <c r="AA172" s="162">
        <v>0.28050000000000003</v>
      </c>
      <c r="AB172" s="162">
        <v>0.33050000000000002</v>
      </c>
      <c r="AC172" s="162">
        <v>0.3755</v>
      </c>
      <c r="AD172" s="162">
        <v>0.41299999999999998</v>
      </c>
      <c r="AE172" s="162">
        <v>0.45</v>
      </c>
      <c r="AF172" s="162">
        <v>0.48099999999999998</v>
      </c>
      <c r="AG172" s="162">
        <v>0.50900000000000001</v>
      </c>
      <c r="AH172" s="162">
        <v>0.53400000000000003</v>
      </c>
      <c r="AI172" s="162">
        <v>0.55700000000000005</v>
      </c>
      <c r="AJ172" s="162">
        <v>0.57699999999999996</v>
      </c>
      <c r="AK172" s="162">
        <v>0.59150000000000003</v>
      </c>
      <c r="AL172" s="162">
        <v>0.60450000000000004</v>
      </c>
      <c r="AM172" s="162">
        <v>0.61750000000000005</v>
      </c>
      <c r="AN172" s="162">
        <v>0.63049999999999995</v>
      </c>
      <c r="AO172" s="162">
        <v>0.64349999999999996</v>
      </c>
      <c r="AP172" s="162">
        <v>0.65649999999999997</v>
      </c>
      <c r="AQ172" s="162">
        <v>0.66549999999999998</v>
      </c>
      <c r="AR172" s="162">
        <v>0.67449999999999999</v>
      </c>
      <c r="AS172" s="162">
        <v>0.6835</v>
      </c>
      <c r="AT172" s="162">
        <v>0.6925</v>
      </c>
      <c r="AU172" s="162">
        <v>0.70150000000000001</v>
      </c>
    </row>
    <row r="173" spans="1:47" ht="12.75" customHeight="1">
      <c r="A173" s="459">
        <v>42104</v>
      </c>
      <c r="B173" s="139">
        <v>15</v>
      </c>
      <c r="C173" s="162">
        <v>-2.3333E-2</v>
      </c>
      <c r="D173" s="162">
        <v>-2.3333E-2</v>
      </c>
      <c r="E173" s="162">
        <v>-5.9624999999999997E-2</v>
      </c>
      <c r="F173" s="162">
        <v>-7.0250000000000007E-2</v>
      </c>
      <c r="G173" s="162">
        <v>-7.9000000000000001E-2</v>
      </c>
      <c r="H173" s="162">
        <v>-8.6249999999999993E-2</v>
      </c>
      <c r="I173" s="162">
        <v>-9.4750000000000001E-2</v>
      </c>
      <c r="J173" s="162">
        <v>-0.10125000000000001</v>
      </c>
      <c r="K173" s="162">
        <v>-0.10525</v>
      </c>
      <c r="L173" s="162">
        <v>-0.11325</v>
      </c>
      <c r="M173" s="162">
        <v>-0.11637500000000001</v>
      </c>
      <c r="N173" s="162">
        <v>-0.11899999999999999</v>
      </c>
      <c r="O173" s="162">
        <v>-0.121375</v>
      </c>
      <c r="P173" s="162">
        <v>-0.124375</v>
      </c>
      <c r="Q173" s="162">
        <v>-0.1255</v>
      </c>
      <c r="R173" s="162">
        <v>-0.1295</v>
      </c>
      <c r="S173" s="162">
        <v>-0.14000000000000001</v>
      </c>
      <c r="T173" s="162">
        <v>-0.11275</v>
      </c>
      <c r="U173" s="162">
        <v>-6.5500000000000003E-2</v>
      </c>
      <c r="V173" s="162">
        <v>-5.4999999999999997E-3</v>
      </c>
      <c r="W173" s="162">
        <v>6.0749999999999998E-2</v>
      </c>
      <c r="X173" s="162">
        <v>0.12887499999999999</v>
      </c>
      <c r="Y173" s="162">
        <v>0.192</v>
      </c>
      <c r="Z173" s="162">
        <v>0.24725</v>
      </c>
      <c r="AA173" s="162">
        <v>0.29875000000000002</v>
      </c>
      <c r="AB173" s="162">
        <v>0.34649999999999997</v>
      </c>
      <c r="AC173" s="162">
        <v>0.38774999999999998</v>
      </c>
      <c r="AD173" s="162">
        <v>0.42449999999999999</v>
      </c>
      <c r="AE173" s="162">
        <v>0.45574999999999999</v>
      </c>
      <c r="AF173" s="162">
        <v>0.48199999999999998</v>
      </c>
      <c r="AG173" s="162">
        <v>0.50800000000000001</v>
      </c>
      <c r="AH173" s="162">
        <v>0.52749999999999997</v>
      </c>
      <c r="AI173" s="162">
        <v>0.54425000000000001</v>
      </c>
      <c r="AJ173" s="162">
        <v>0.55874999999999997</v>
      </c>
      <c r="AK173" s="162">
        <v>0.56950000000000001</v>
      </c>
      <c r="AL173" s="162">
        <v>0.57782500000000003</v>
      </c>
      <c r="AM173" s="162">
        <v>0.58614999999999995</v>
      </c>
      <c r="AN173" s="162">
        <v>0.59447499999999998</v>
      </c>
      <c r="AO173" s="162">
        <v>0.6028</v>
      </c>
      <c r="AP173" s="162">
        <v>0.61112500000000003</v>
      </c>
      <c r="AQ173" s="162">
        <v>0.61607500000000004</v>
      </c>
      <c r="AR173" s="162">
        <v>0.62102500000000005</v>
      </c>
      <c r="AS173" s="162">
        <v>0.62597499999999995</v>
      </c>
      <c r="AT173" s="162">
        <v>0.63092499999999996</v>
      </c>
      <c r="AU173" s="162">
        <v>0.63587499999999997</v>
      </c>
    </row>
    <row r="174" spans="1:47" ht="12.75" customHeight="1">
      <c r="A174" s="459">
        <v>42111</v>
      </c>
      <c r="B174" s="139">
        <v>16</v>
      </c>
      <c r="C174" s="162">
        <v>-7.0000000000000007E-2</v>
      </c>
      <c r="D174" s="162">
        <v>-7.0000000000000007E-2</v>
      </c>
      <c r="E174" s="162">
        <v>-8.0699999999999994E-2</v>
      </c>
      <c r="F174" s="162">
        <v>-7.8600000000000003E-2</v>
      </c>
      <c r="G174" s="162">
        <v>-8.2860000000000003E-2</v>
      </c>
      <c r="H174" s="162">
        <v>-8.7800000000000003E-2</v>
      </c>
      <c r="I174" s="162">
        <v>-0.1004</v>
      </c>
      <c r="J174" s="162">
        <v>-0.106</v>
      </c>
      <c r="K174" s="162">
        <v>-0.1134</v>
      </c>
      <c r="L174" s="162">
        <v>-0.1172</v>
      </c>
      <c r="M174" s="162">
        <v>-0.1216</v>
      </c>
      <c r="N174" s="162">
        <v>-0.1242</v>
      </c>
      <c r="O174" s="162">
        <v>-0.12770000000000001</v>
      </c>
      <c r="P174" s="162">
        <v>-0.13</v>
      </c>
      <c r="Q174" s="162">
        <v>-0.13200000000000001</v>
      </c>
      <c r="R174" s="162">
        <v>-0.1346</v>
      </c>
      <c r="S174" s="162">
        <v>-0.14499999999999999</v>
      </c>
      <c r="T174" s="162">
        <v>-0.1244</v>
      </c>
      <c r="U174" s="162">
        <v>-8.1600000000000006E-2</v>
      </c>
      <c r="V174" s="162">
        <v>-2.5700000000000001E-2</v>
      </c>
      <c r="W174" s="162">
        <v>3.9600000000000003E-2</v>
      </c>
      <c r="X174" s="162">
        <v>0.1082</v>
      </c>
      <c r="Y174" s="162">
        <v>0.17469999999999999</v>
      </c>
      <c r="Z174" s="162">
        <v>0.23519999999999999</v>
      </c>
      <c r="AA174" s="162">
        <v>0.2863</v>
      </c>
      <c r="AB174" s="162">
        <v>0.3377</v>
      </c>
      <c r="AC174" s="162">
        <v>0.3826</v>
      </c>
      <c r="AD174" s="162">
        <v>0.42209999999999998</v>
      </c>
      <c r="AE174" s="162">
        <v>0.45639999999999997</v>
      </c>
      <c r="AF174" s="162">
        <v>0.48670000000000002</v>
      </c>
      <c r="AG174" s="162">
        <v>0.51075000000000004</v>
      </c>
      <c r="AH174" s="162">
        <v>0.53400000000000003</v>
      </c>
      <c r="AI174" s="162">
        <v>0.55400000000000005</v>
      </c>
      <c r="AJ174" s="162">
        <v>0.57150000000000001</v>
      </c>
      <c r="AK174" s="162">
        <v>0.58730000000000004</v>
      </c>
      <c r="AL174" s="162">
        <v>0.59684000000000004</v>
      </c>
      <c r="AM174" s="162">
        <v>0.60638000000000003</v>
      </c>
      <c r="AN174" s="162">
        <v>0.61592000000000002</v>
      </c>
      <c r="AO174" s="162">
        <v>0.62546000000000002</v>
      </c>
      <c r="AP174" s="162">
        <v>0.63500000000000001</v>
      </c>
      <c r="AQ174" s="162">
        <v>0.64176</v>
      </c>
      <c r="AR174" s="162">
        <v>0.64851999999999999</v>
      </c>
      <c r="AS174" s="162">
        <v>0.65527999999999997</v>
      </c>
      <c r="AT174" s="162">
        <v>0.66203999999999996</v>
      </c>
      <c r="AU174" s="162">
        <v>0.66879999999999995</v>
      </c>
    </row>
    <row r="175" spans="1:47" ht="12.75" customHeight="1">
      <c r="A175" s="459">
        <v>42118</v>
      </c>
      <c r="B175" s="139">
        <v>17</v>
      </c>
      <c r="C175" s="162">
        <v>-8.2000000000000003E-2</v>
      </c>
      <c r="D175" s="162">
        <v>-8.2000000000000003E-2</v>
      </c>
      <c r="E175" s="162">
        <v>-9.042E-2</v>
      </c>
      <c r="F175" s="162">
        <v>-8.9499999999999996E-2</v>
      </c>
      <c r="G175" s="162">
        <v>-8.9859999999999995E-2</v>
      </c>
      <c r="H175" s="162">
        <v>-9.9000000000000005E-2</v>
      </c>
      <c r="I175" s="162">
        <v>-0.1138</v>
      </c>
      <c r="J175" s="162">
        <v>-0.1202</v>
      </c>
      <c r="K175" s="162">
        <v>-0.1268</v>
      </c>
      <c r="L175" s="162">
        <v>-0.1285</v>
      </c>
      <c r="M175" s="162">
        <v>-0.13150000000000001</v>
      </c>
      <c r="N175" s="162">
        <v>-0.13500000000000001</v>
      </c>
      <c r="O175" s="162">
        <v>-0.1368</v>
      </c>
      <c r="P175" s="162">
        <v>-0.1394</v>
      </c>
      <c r="Q175" s="162">
        <v>-0.1404</v>
      </c>
      <c r="R175" s="162">
        <v>-0.1431</v>
      </c>
      <c r="S175" s="162">
        <v>-0.15240000000000001</v>
      </c>
      <c r="T175" s="162">
        <v>-0.13400000000000001</v>
      </c>
      <c r="U175" s="162">
        <v>-9.9500000000000005E-2</v>
      </c>
      <c r="V175" s="162">
        <v>-5.4100000000000002E-2</v>
      </c>
      <c r="W175" s="162">
        <v>-1E-4</v>
      </c>
      <c r="X175" s="162">
        <v>6.0100000000000001E-2</v>
      </c>
      <c r="Y175" s="162">
        <v>0.1187</v>
      </c>
      <c r="Z175" s="162">
        <v>0.1741</v>
      </c>
      <c r="AA175" s="162">
        <v>0.22420000000000001</v>
      </c>
      <c r="AB175" s="162">
        <v>0.27239999999999998</v>
      </c>
      <c r="AC175" s="162">
        <v>0.31690000000000002</v>
      </c>
      <c r="AD175" s="162">
        <v>0.35520000000000002</v>
      </c>
      <c r="AE175" s="162">
        <v>0.38979999999999998</v>
      </c>
      <c r="AF175" s="162">
        <v>0.4204</v>
      </c>
      <c r="AG175" s="162">
        <v>0.45660000000000001</v>
      </c>
      <c r="AH175" s="162">
        <v>0.48</v>
      </c>
      <c r="AI175" s="162">
        <v>0.50039999999999996</v>
      </c>
      <c r="AJ175" s="162">
        <v>0.51819999999999999</v>
      </c>
      <c r="AK175" s="162">
        <v>0.52310000000000001</v>
      </c>
      <c r="AL175" s="162">
        <v>0.53286</v>
      </c>
      <c r="AM175" s="162">
        <v>0.54261999999999999</v>
      </c>
      <c r="AN175" s="162">
        <v>0.55237999999999998</v>
      </c>
      <c r="AO175" s="162">
        <v>0.56213999999999997</v>
      </c>
      <c r="AP175" s="162">
        <v>0.57189999999999996</v>
      </c>
      <c r="AQ175" s="162">
        <v>0.57886000000000004</v>
      </c>
      <c r="AR175" s="162">
        <v>0.58582000000000001</v>
      </c>
      <c r="AS175" s="162">
        <v>0.59277999999999997</v>
      </c>
      <c r="AT175" s="162">
        <v>0.59974000000000005</v>
      </c>
      <c r="AU175" s="162">
        <v>0.60670000000000002</v>
      </c>
    </row>
    <row r="176" spans="1:47" ht="12.75" customHeight="1">
      <c r="A176" s="459">
        <v>42125</v>
      </c>
      <c r="B176" s="139">
        <v>18</v>
      </c>
      <c r="C176" s="162">
        <v>-0.08</v>
      </c>
      <c r="D176" s="162">
        <v>-0.08</v>
      </c>
      <c r="E176" s="162">
        <v>-6.1800000000000001E-2</v>
      </c>
      <c r="F176" s="162">
        <v>-7.9000000000000001E-2</v>
      </c>
      <c r="G176" s="162">
        <v>-8.7459999999999996E-2</v>
      </c>
      <c r="H176" s="162">
        <v>-9.7299999999999998E-2</v>
      </c>
      <c r="I176" s="162">
        <v>-0.1108</v>
      </c>
      <c r="J176" s="162">
        <v>-0.1172</v>
      </c>
      <c r="K176" s="162">
        <v>-0.1232</v>
      </c>
      <c r="L176" s="162">
        <v>-0.1258</v>
      </c>
      <c r="M176" s="162">
        <v>-0.13039999999999999</v>
      </c>
      <c r="N176" s="162">
        <v>-0.1318</v>
      </c>
      <c r="O176" s="162">
        <v>-0.13519999999999999</v>
      </c>
      <c r="P176" s="162">
        <v>-0.1368</v>
      </c>
      <c r="Q176" s="162">
        <v>-0.1386</v>
      </c>
      <c r="R176" s="162">
        <v>-0.1404</v>
      </c>
      <c r="S176" s="162">
        <v>-0.1444</v>
      </c>
      <c r="T176" s="162">
        <v>-0.1226</v>
      </c>
      <c r="U176" s="162">
        <v>-8.1900000000000001E-2</v>
      </c>
      <c r="V176" s="162">
        <v>-3.15E-2</v>
      </c>
      <c r="W176" s="162">
        <v>2.4E-2</v>
      </c>
      <c r="X176" s="162">
        <v>8.14E-2</v>
      </c>
      <c r="Y176" s="162">
        <v>0.13919999999999999</v>
      </c>
      <c r="Z176" s="162">
        <v>0.19500000000000001</v>
      </c>
      <c r="AA176" s="162">
        <v>0.24490000000000001</v>
      </c>
      <c r="AB176" s="162">
        <v>0.29089999999999999</v>
      </c>
      <c r="AC176" s="162">
        <v>0.33400000000000002</v>
      </c>
      <c r="AD176" s="162">
        <v>0.37040000000000001</v>
      </c>
      <c r="AE176" s="162">
        <v>0.4037</v>
      </c>
      <c r="AF176" s="162">
        <v>0.43280000000000002</v>
      </c>
      <c r="AG176" s="162">
        <v>0.45960000000000001</v>
      </c>
      <c r="AH176" s="162">
        <v>0.48259999999999997</v>
      </c>
      <c r="AI176" s="162">
        <v>0.502</v>
      </c>
      <c r="AJ176" s="162">
        <v>0.51939999999999997</v>
      </c>
      <c r="AK176" s="162">
        <v>0.5323</v>
      </c>
      <c r="AL176" s="162">
        <v>0.54149999999999998</v>
      </c>
      <c r="AM176" s="162">
        <v>0.55069999999999997</v>
      </c>
      <c r="AN176" s="162">
        <v>0.55989999999999995</v>
      </c>
      <c r="AO176" s="162">
        <v>0.56910000000000005</v>
      </c>
      <c r="AP176" s="162">
        <v>0.57830000000000004</v>
      </c>
      <c r="AQ176" s="162">
        <v>0.58452000000000004</v>
      </c>
      <c r="AR176" s="162">
        <v>0.59074000000000004</v>
      </c>
      <c r="AS176" s="162">
        <v>0.59696000000000005</v>
      </c>
      <c r="AT176" s="162">
        <v>0.60318000000000005</v>
      </c>
      <c r="AU176" s="162">
        <v>0.60940000000000005</v>
      </c>
    </row>
    <row r="177" spans="1:47" ht="12.75" customHeight="1">
      <c r="A177" s="459">
        <v>42132</v>
      </c>
      <c r="B177" s="139">
        <v>19</v>
      </c>
      <c r="C177" s="162">
        <v>-7.7333299999999994E-2</v>
      </c>
      <c r="D177" s="162">
        <v>-7.7333299999999994E-2</v>
      </c>
      <c r="E177" s="162">
        <v>-5.9575000000000003E-2</v>
      </c>
      <c r="F177" s="162">
        <v>-7.8875000000000001E-2</v>
      </c>
      <c r="G177" s="162">
        <v>-8.795E-2</v>
      </c>
      <c r="H177" s="162">
        <v>-9.7875000000000004E-2</v>
      </c>
      <c r="I177" s="162">
        <v>-0.107325</v>
      </c>
      <c r="J177" s="162">
        <v>-0.114575</v>
      </c>
      <c r="K177" s="162">
        <v>-0.11887499999999999</v>
      </c>
      <c r="L177" s="162">
        <v>-0.123125</v>
      </c>
      <c r="M177" s="162">
        <v>-0.12632499999999999</v>
      </c>
      <c r="N177" s="162">
        <v>-0.12857499999999999</v>
      </c>
      <c r="O177" s="162">
        <v>-0.12925</v>
      </c>
      <c r="P177" s="162">
        <v>-0.13175000000000001</v>
      </c>
      <c r="Q177" s="162">
        <v>-0.13237499999999999</v>
      </c>
      <c r="R177" s="162">
        <v>-0.13400000000000001</v>
      </c>
      <c r="S177" s="162">
        <v>-0.13450000000000001</v>
      </c>
      <c r="T177" s="162">
        <v>-0.10825</v>
      </c>
      <c r="U177" s="162">
        <v>-5.5125E-2</v>
      </c>
      <c r="V177" s="162">
        <v>3.6250000000000002E-3</v>
      </c>
      <c r="W177" s="162">
        <v>6.8750000000000006E-2</v>
      </c>
      <c r="X177" s="162">
        <v>0.137875</v>
      </c>
      <c r="Y177" s="162">
        <v>0.205125</v>
      </c>
      <c r="Z177" s="162">
        <v>0.26800000000000002</v>
      </c>
      <c r="AA177" s="162">
        <v>0.32450000000000001</v>
      </c>
      <c r="AB177" s="162">
        <v>0.37737500000000002</v>
      </c>
      <c r="AC177" s="162">
        <v>0.42512499999999998</v>
      </c>
      <c r="AD177" s="162">
        <v>0.46550000000000002</v>
      </c>
      <c r="AE177" s="162">
        <v>0.50375000000000003</v>
      </c>
      <c r="AF177" s="162">
        <v>0.53687499999999999</v>
      </c>
      <c r="AG177" s="162">
        <v>0.5665</v>
      </c>
      <c r="AH177" s="162">
        <v>0.59250000000000003</v>
      </c>
      <c r="AI177" s="162">
        <v>0.61599999999999999</v>
      </c>
      <c r="AJ177" s="162">
        <v>0.63600000000000001</v>
      </c>
      <c r="AK177" s="162">
        <v>0.65100000000000002</v>
      </c>
      <c r="AL177" s="162">
        <v>0.66164999999999996</v>
      </c>
      <c r="AM177" s="162">
        <v>0.67230000000000001</v>
      </c>
      <c r="AN177" s="162">
        <v>0.68294999999999995</v>
      </c>
      <c r="AO177" s="162">
        <v>0.69359999999999999</v>
      </c>
      <c r="AP177" s="162">
        <v>0.70425000000000004</v>
      </c>
      <c r="AQ177" s="162">
        <v>0.71132499999999999</v>
      </c>
      <c r="AR177" s="162">
        <v>0.71840000000000004</v>
      </c>
      <c r="AS177" s="162">
        <v>0.72547499999999998</v>
      </c>
      <c r="AT177" s="162">
        <v>0.73255000000000003</v>
      </c>
      <c r="AU177" s="162">
        <v>0.73962499999999998</v>
      </c>
    </row>
    <row r="178" spans="1:47" ht="12.75" customHeight="1">
      <c r="A178" s="459">
        <v>42139</v>
      </c>
      <c r="B178" s="139">
        <v>20</v>
      </c>
      <c r="C178" s="162">
        <v>-8.6499999999999994E-2</v>
      </c>
      <c r="D178" s="162">
        <v>-8.6499999999999994E-2</v>
      </c>
      <c r="E178" s="162">
        <v>-9.3520000000000006E-2</v>
      </c>
      <c r="F178" s="162">
        <v>-9.1759999999999994E-2</v>
      </c>
      <c r="G178" s="162">
        <v>-9.0399999999999994E-2</v>
      </c>
      <c r="H178" s="162">
        <v>-0.10145999999999999</v>
      </c>
      <c r="I178" s="162">
        <v>-0.1065</v>
      </c>
      <c r="J178" s="162">
        <v>-0.11046</v>
      </c>
      <c r="K178" s="162">
        <v>-0.114</v>
      </c>
      <c r="L178" s="162">
        <v>-0.1197</v>
      </c>
      <c r="M178" s="162">
        <v>-0.1176</v>
      </c>
      <c r="N178" s="162">
        <v>-0.1241</v>
      </c>
      <c r="O178" s="162">
        <v>-0.12016</v>
      </c>
      <c r="P178" s="162">
        <v>-0.12156</v>
      </c>
      <c r="Q178" s="162">
        <v>-0.12175999999999999</v>
      </c>
      <c r="R178" s="162">
        <v>-0.1236</v>
      </c>
      <c r="S178" s="162">
        <v>-0.10340000000000001</v>
      </c>
      <c r="T178" s="162">
        <v>-4.3499999999999997E-2</v>
      </c>
      <c r="U178" s="162">
        <v>5.0900000000000001E-2</v>
      </c>
      <c r="V178" s="162">
        <v>0.15190000000000001</v>
      </c>
      <c r="W178" s="162">
        <v>0.25559999999999999</v>
      </c>
      <c r="X178" s="162">
        <v>0.35909999999999997</v>
      </c>
      <c r="Y178" s="162">
        <v>0.45479999999999998</v>
      </c>
      <c r="Z178" s="162">
        <v>0.54139999999999999</v>
      </c>
      <c r="AA178" s="162">
        <v>0.61560000000000004</v>
      </c>
      <c r="AB178" s="162">
        <v>0.67979999999999996</v>
      </c>
      <c r="AC178" s="162">
        <v>0.73809999999999998</v>
      </c>
      <c r="AD178" s="162">
        <v>0.78790000000000004</v>
      </c>
      <c r="AE178" s="162">
        <v>0.83250000000000002</v>
      </c>
      <c r="AF178" s="162">
        <v>0.86960000000000004</v>
      </c>
      <c r="AG178" s="162">
        <v>1.0176666999999999</v>
      </c>
      <c r="AH178" s="162">
        <v>1.0466667000000001</v>
      </c>
      <c r="AI178" s="162">
        <v>1.0706667000000001</v>
      </c>
      <c r="AJ178" s="162">
        <v>1.091</v>
      </c>
      <c r="AK178" s="162">
        <v>0.99139999999999995</v>
      </c>
      <c r="AL178" s="162">
        <v>1.0022800000000001</v>
      </c>
      <c r="AM178" s="162">
        <v>1.0131600000000001</v>
      </c>
      <c r="AN178" s="162">
        <v>1.0240400000000001</v>
      </c>
      <c r="AO178" s="162">
        <v>1.0349200000000001</v>
      </c>
      <c r="AP178" s="162">
        <v>1.0458000000000001</v>
      </c>
      <c r="AQ178" s="162">
        <v>1.0528200000000001</v>
      </c>
      <c r="AR178" s="162">
        <v>1.0598399999999999</v>
      </c>
      <c r="AS178" s="162">
        <v>1.0668599999999999</v>
      </c>
      <c r="AT178" s="162">
        <v>1.0738799999999999</v>
      </c>
      <c r="AU178" s="162">
        <v>1.0809</v>
      </c>
    </row>
    <row r="179" spans="1:47" ht="12.75" customHeight="1">
      <c r="A179" s="459">
        <v>42146</v>
      </c>
      <c r="B179" s="139">
        <v>21</v>
      </c>
      <c r="C179" s="162">
        <v>-0.09</v>
      </c>
      <c r="D179" s="162">
        <v>-0.09</v>
      </c>
      <c r="E179" s="162">
        <v>-9.5600000000000004E-2</v>
      </c>
      <c r="F179" s="162">
        <v>-9.7000000000000003E-2</v>
      </c>
      <c r="G179" s="162">
        <v>-9.7533300000000003E-2</v>
      </c>
      <c r="H179" s="162">
        <v>-0.1036667</v>
      </c>
      <c r="I179" s="162">
        <v>-0.10776670000000001</v>
      </c>
      <c r="J179" s="162">
        <v>-0.1119333</v>
      </c>
      <c r="K179" s="162">
        <v>-0.1164333</v>
      </c>
      <c r="L179" s="162">
        <v>-0.1163333</v>
      </c>
      <c r="M179" s="162">
        <v>-0.1181667</v>
      </c>
      <c r="N179" s="162">
        <v>-0.1193333</v>
      </c>
      <c r="O179" s="162">
        <v>-0.1202667</v>
      </c>
      <c r="P179" s="162">
        <v>-0.1206667</v>
      </c>
      <c r="Q179" s="162">
        <v>-0.1211</v>
      </c>
      <c r="R179" s="162">
        <v>-0.1211667</v>
      </c>
      <c r="S179" s="162">
        <v>-9.8333299999999998E-2</v>
      </c>
      <c r="T179" s="162">
        <v>-3.5099999999999999E-2</v>
      </c>
      <c r="U179" s="162">
        <v>5.66667E-2</v>
      </c>
      <c r="V179" s="162">
        <v>0.1671667</v>
      </c>
      <c r="W179" s="162">
        <v>0.28083330000000001</v>
      </c>
      <c r="X179" s="162">
        <v>0.3988333</v>
      </c>
      <c r="Y179" s="162">
        <v>0.501</v>
      </c>
      <c r="Z179" s="162">
        <v>0.59183330000000001</v>
      </c>
      <c r="AA179" s="162">
        <v>0.67633330000000003</v>
      </c>
      <c r="AB179" s="162">
        <v>0.75016669999999996</v>
      </c>
      <c r="AC179" s="162">
        <v>0.81583329999999998</v>
      </c>
      <c r="AD179" s="162">
        <v>0.86799999999999999</v>
      </c>
      <c r="AE179" s="162">
        <v>0.91366670000000005</v>
      </c>
      <c r="AF179" s="162">
        <v>0.95450000000000002</v>
      </c>
      <c r="AG179" s="162">
        <v>0.96899999999999997</v>
      </c>
      <c r="AH179" s="162">
        <v>0.998</v>
      </c>
      <c r="AI179" s="162">
        <v>1.0229999999999999</v>
      </c>
      <c r="AJ179" s="162">
        <v>1.044</v>
      </c>
      <c r="AK179" s="162">
        <v>1.0873333000000001</v>
      </c>
      <c r="AL179" s="162">
        <v>1.0978333</v>
      </c>
      <c r="AM179" s="162">
        <v>1.1083333</v>
      </c>
      <c r="AN179" s="162">
        <v>1.1188332999999999</v>
      </c>
      <c r="AO179" s="162">
        <v>1.1293333000000001</v>
      </c>
      <c r="AP179" s="162">
        <v>1.1398333</v>
      </c>
      <c r="AQ179" s="162">
        <v>1.1469666999999999</v>
      </c>
      <c r="AR179" s="162">
        <v>1.1540999999999999</v>
      </c>
      <c r="AS179" s="162">
        <v>1.1612332999999999</v>
      </c>
      <c r="AT179" s="162">
        <v>1.1683667</v>
      </c>
      <c r="AU179" s="162">
        <v>1.1755</v>
      </c>
    </row>
    <row r="180" spans="1:47" ht="12.75" customHeight="1">
      <c r="A180" s="459">
        <v>42153</v>
      </c>
      <c r="B180" s="139">
        <v>22</v>
      </c>
      <c r="C180" s="162">
        <v>-0.1055</v>
      </c>
      <c r="D180" s="162">
        <v>-0.1055</v>
      </c>
      <c r="E180" s="162">
        <v>-0.10556</v>
      </c>
      <c r="F180" s="162">
        <v>-0.10675999999999999</v>
      </c>
      <c r="G180" s="162">
        <v>-0.11051999999999999</v>
      </c>
      <c r="H180" s="162">
        <v>-0.11686000000000001</v>
      </c>
      <c r="I180" s="162">
        <v>-0.11899999999999999</v>
      </c>
      <c r="J180" s="162">
        <v>-0.12</v>
      </c>
      <c r="K180" s="162">
        <v>-0.1222</v>
      </c>
      <c r="L180" s="162">
        <v>-0.1211</v>
      </c>
      <c r="M180" s="162">
        <v>-0.1235</v>
      </c>
      <c r="N180" s="162">
        <v>-0.12330000000000001</v>
      </c>
      <c r="O180" s="162">
        <v>-0.1232</v>
      </c>
      <c r="P180" s="162">
        <v>-0.12356</v>
      </c>
      <c r="Q180" s="162">
        <v>-0.12379999999999999</v>
      </c>
      <c r="R180" s="162">
        <v>-0.12236</v>
      </c>
      <c r="S180" s="162">
        <v>-9.9000000000000005E-2</v>
      </c>
      <c r="T180" s="162">
        <v>-3.7699999999999997E-2</v>
      </c>
      <c r="U180" s="162">
        <v>5.3699999999999998E-2</v>
      </c>
      <c r="V180" s="162">
        <v>0.16550000000000001</v>
      </c>
      <c r="W180" s="162">
        <v>0.28549999999999998</v>
      </c>
      <c r="X180" s="162">
        <v>0.40560000000000002</v>
      </c>
      <c r="Y180" s="162">
        <v>0.51929999999999998</v>
      </c>
      <c r="Z180" s="162">
        <v>0.61929999999999996</v>
      </c>
      <c r="AA180" s="162">
        <v>0.70579999999999998</v>
      </c>
      <c r="AB180" s="162">
        <v>0.7843</v>
      </c>
      <c r="AC180" s="162">
        <v>0.85209999999999997</v>
      </c>
      <c r="AD180" s="162">
        <v>0.91049999999999998</v>
      </c>
      <c r="AE180" s="162">
        <v>0.96089999999999998</v>
      </c>
      <c r="AF180" s="162">
        <v>1.0027999999999999</v>
      </c>
      <c r="AG180" s="162">
        <v>1.042</v>
      </c>
      <c r="AH180" s="162">
        <v>1.0731999999999999</v>
      </c>
      <c r="AI180" s="162">
        <v>1.0993999999999999</v>
      </c>
      <c r="AJ180" s="162">
        <v>1.1212</v>
      </c>
      <c r="AK180" s="162">
        <v>1.1368</v>
      </c>
      <c r="AL180" s="162">
        <v>1.1470400000000001</v>
      </c>
      <c r="AM180" s="162">
        <v>1.1572800000000001</v>
      </c>
      <c r="AN180" s="162">
        <v>1.1675199999999999</v>
      </c>
      <c r="AO180" s="162">
        <v>1.1777599999999999</v>
      </c>
      <c r="AP180" s="162">
        <v>1.1879999999999999</v>
      </c>
      <c r="AQ180" s="162">
        <v>1.1938200000000001</v>
      </c>
      <c r="AR180" s="162">
        <v>1.19964</v>
      </c>
      <c r="AS180" s="162">
        <v>1.20546</v>
      </c>
      <c r="AT180" s="162">
        <v>1.2112799999999999</v>
      </c>
      <c r="AU180" s="162">
        <v>1.2171000000000001</v>
      </c>
    </row>
    <row r="181" spans="1:47" ht="12.75" customHeight="1">
      <c r="A181" s="459">
        <v>42160</v>
      </c>
      <c r="B181" s="139">
        <v>23</v>
      </c>
      <c r="C181" s="162">
        <v>-0.122</v>
      </c>
      <c r="D181" s="162">
        <v>-0.122</v>
      </c>
      <c r="E181" s="162">
        <v>-0.105</v>
      </c>
      <c r="F181" s="162">
        <v>-0.1067</v>
      </c>
      <c r="G181" s="162">
        <v>-0.110975</v>
      </c>
      <c r="H181" s="162">
        <v>-0.1205</v>
      </c>
      <c r="I181" s="162">
        <v>-0.124</v>
      </c>
      <c r="J181" s="162">
        <v>-0.1255</v>
      </c>
      <c r="K181" s="162">
        <v>-0.12725</v>
      </c>
      <c r="L181" s="162">
        <v>-0.12770000000000001</v>
      </c>
      <c r="M181" s="162">
        <v>-0.13</v>
      </c>
      <c r="N181" s="162">
        <v>-0.1305</v>
      </c>
      <c r="O181" s="162">
        <v>-0.12975</v>
      </c>
      <c r="P181" s="162">
        <v>-0.1295</v>
      </c>
      <c r="Q181" s="162">
        <v>-0.1295</v>
      </c>
      <c r="R181" s="162">
        <v>-0.12825</v>
      </c>
      <c r="S181" s="162">
        <v>-0.11225</v>
      </c>
      <c r="T181" s="162">
        <v>-6.0999999999999999E-2</v>
      </c>
      <c r="U181" s="162">
        <v>2.725E-2</v>
      </c>
      <c r="V181" s="162">
        <v>0.13250000000000001</v>
      </c>
      <c r="W181" s="162">
        <v>0.24837500000000001</v>
      </c>
      <c r="X181" s="162">
        <v>0.36599999999999999</v>
      </c>
      <c r="Y181" s="162">
        <v>0.47499999999999998</v>
      </c>
      <c r="Z181" s="162">
        <v>0.575125</v>
      </c>
      <c r="AA181" s="162">
        <v>0.66262500000000002</v>
      </c>
      <c r="AB181" s="162">
        <v>0.74437500000000001</v>
      </c>
      <c r="AC181" s="162">
        <v>0.81012499999999998</v>
      </c>
      <c r="AD181" s="162">
        <v>0.86687499999999995</v>
      </c>
      <c r="AE181" s="162">
        <v>0.91849999999999998</v>
      </c>
      <c r="AF181" s="162">
        <v>0.96625000000000005</v>
      </c>
      <c r="AG181" s="162">
        <v>0.98633329999999997</v>
      </c>
      <c r="AH181" s="162">
        <v>1.0186667</v>
      </c>
      <c r="AI181" s="162">
        <v>1.0453333</v>
      </c>
      <c r="AJ181" s="162">
        <v>1.0676667</v>
      </c>
      <c r="AK181" s="162">
        <v>1.101</v>
      </c>
      <c r="AL181" s="162">
        <v>1.1114999999999999</v>
      </c>
      <c r="AM181" s="162">
        <v>1.1220000000000001</v>
      </c>
      <c r="AN181" s="162">
        <v>1.1325000000000001</v>
      </c>
      <c r="AO181" s="162">
        <v>1.143</v>
      </c>
      <c r="AP181" s="162">
        <v>1.1535</v>
      </c>
      <c r="AQ181" s="162">
        <v>1.1597999999999999</v>
      </c>
      <c r="AR181" s="162">
        <v>1.1660999999999999</v>
      </c>
      <c r="AS181" s="162">
        <v>1.1724000000000001</v>
      </c>
      <c r="AT181" s="162">
        <v>1.1787000000000001</v>
      </c>
      <c r="AU181" s="162">
        <v>1.1850000000000001</v>
      </c>
    </row>
    <row r="182" spans="1:47" ht="12.75" customHeight="1">
      <c r="A182" s="459">
        <v>42167</v>
      </c>
      <c r="B182" s="139">
        <v>24</v>
      </c>
      <c r="C182" s="162">
        <v>-0.12725</v>
      </c>
      <c r="D182" s="162">
        <v>-0.12725</v>
      </c>
      <c r="E182" s="162">
        <v>-0.12106</v>
      </c>
      <c r="F182" s="162">
        <v>-0.11846</v>
      </c>
      <c r="G182" s="162">
        <v>-0.11766</v>
      </c>
      <c r="H182" s="162">
        <v>-0.12396</v>
      </c>
      <c r="I182" s="162">
        <v>-0.124</v>
      </c>
      <c r="J182" s="162">
        <v>-0.12520000000000001</v>
      </c>
      <c r="K182" s="162">
        <v>-0.1249</v>
      </c>
      <c r="L182" s="162">
        <v>-0.12816</v>
      </c>
      <c r="M182" s="162">
        <v>-0.1268</v>
      </c>
      <c r="N182" s="162">
        <v>-0.12659999999999999</v>
      </c>
      <c r="O182" s="162">
        <v>-0.12609999999999999</v>
      </c>
      <c r="P182" s="162">
        <v>-0.1236</v>
      </c>
      <c r="Q182" s="162">
        <v>-0.1232</v>
      </c>
      <c r="R182" s="162">
        <v>-0.1216</v>
      </c>
      <c r="S182" s="162">
        <v>-9.6600000000000005E-2</v>
      </c>
      <c r="T182" s="162">
        <v>-1.806E-2</v>
      </c>
      <c r="U182" s="162">
        <v>9.8400000000000001E-2</v>
      </c>
      <c r="V182" s="162">
        <v>0.23369999999999999</v>
      </c>
      <c r="W182" s="162">
        <v>0.37240000000000001</v>
      </c>
      <c r="X182" s="162">
        <v>0.50309999999999999</v>
      </c>
      <c r="Y182" s="162">
        <v>0.62549999999999994</v>
      </c>
      <c r="Z182" s="162">
        <v>0.73670000000000002</v>
      </c>
      <c r="AA182" s="162">
        <v>0.83079999999999998</v>
      </c>
      <c r="AB182" s="162">
        <v>0.9143</v>
      </c>
      <c r="AC182" s="162">
        <v>0.98709999999999998</v>
      </c>
      <c r="AD182" s="162">
        <v>1.0474000000000001</v>
      </c>
      <c r="AE182" s="162">
        <v>1.1004</v>
      </c>
      <c r="AF182" s="162">
        <v>1.1445000000000001</v>
      </c>
      <c r="AG182" s="162">
        <v>1.1537999999999999</v>
      </c>
      <c r="AH182" s="162">
        <v>1.1848000000000001</v>
      </c>
      <c r="AI182" s="162">
        <v>1.2110000000000001</v>
      </c>
      <c r="AJ182" s="162">
        <v>1.232</v>
      </c>
      <c r="AK182" s="162">
        <v>1.2779</v>
      </c>
      <c r="AL182" s="162">
        <v>1.28698</v>
      </c>
      <c r="AM182" s="162">
        <v>1.29606</v>
      </c>
      <c r="AN182" s="162">
        <v>1.30514</v>
      </c>
      <c r="AO182" s="162">
        <v>1.3142199999999999</v>
      </c>
      <c r="AP182" s="162">
        <v>1.3232999999999999</v>
      </c>
      <c r="AQ182" s="162">
        <v>1.3284400000000001</v>
      </c>
      <c r="AR182" s="162">
        <v>1.33358</v>
      </c>
      <c r="AS182" s="162">
        <v>1.3387199999999999</v>
      </c>
      <c r="AT182" s="162">
        <v>1.3438600000000001</v>
      </c>
      <c r="AU182" s="162">
        <v>1.349</v>
      </c>
    </row>
    <row r="183" spans="1:47" ht="12.75" customHeight="1">
      <c r="A183" s="459">
        <v>42174</v>
      </c>
      <c r="B183" s="139">
        <v>25</v>
      </c>
      <c r="C183" s="162">
        <v>-0.1225</v>
      </c>
      <c r="D183" s="162">
        <v>-0.1225</v>
      </c>
      <c r="E183" s="162">
        <v>-0.1182</v>
      </c>
      <c r="F183" s="162">
        <v>-0.11926</v>
      </c>
      <c r="G183" s="162">
        <v>-0.12006</v>
      </c>
      <c r="H183" s="162">
        <v>-0.12056</v>
      </c>
      <c r="I183" s="162">
        <v>-0.12576000000000001</v>
      </c>
      <c r="J183" s="162">
        <v>-0.12640000000000001</v>
      </c>
      <c r="K183" s="162">
        <v>-0.12590000000000001</v>
      </c>
      <c r="L183" s="162">
        <v>-0.12640000000000001</v>
      </c>
      <c r="M183" s="162">
        <v>-0.1249</v>
      </c>
      <c r="N183" s="162">
        <v>-0.124</v>
      </c>
      <c r="O183" s="162">
        <v>-0.12236</v>
      </c>
      <c r="P183" s="162">
        <v>-0.1201</v>
      </c>
      <c r="Q183" s="162">
        <v>-0.11890000000000001</v>
      </c>
      <c r="R183" s="162">
        <v>-0.11700000000000001</v>
      </c>
      <c r="S183" s="162">
        <v>-7.0800000000000002E-2</v>
      </c>
      <c r="T183" s="162">
        <v>2.3599999999999999E-2</v>
      </c>
      <c r="U183" s="162">
        <v>0.1628</v>
      </c>
      <c r="V183" s="162">
        <v>0.31790000000000002</v>
      </c>
      <c r="W183" s="162">
        <v>0.47349999999999998</v>
      </c>
      <c r="X183" s="162">
        <v>0.62380000000000002</v>
      </c>
      <c r="Y183" s="162">
        <v>0.76249999999999996</v>
      </c>
      <c r="Z183" s="162">
        <v>0.88460000000000005</v>
      </c>
      <c r="AA183" s="162">
        <v>0.98699999999999999</v>
      </c>
      <c r="AB183" s="162">
        <v>1.077</v>
      </c>
      <c r="AC183" s="162">
        <v>1.1577999999999999</v>
      </c>
      <c r="AD183" s="162">
        <v>1.2236</v>
      </c>
      <c r="AE183" s="162">
        <v>1.2822</v>
      </c>
      <c r="AF183" s="162">
        <v>1.3323</v>
      </c>
      <c r="AG183" s="162">
        <v>1.403</v>
      </c>
      <c r="AH183" s="162">
        <v>1.4368000000000001</v>
      </c>
      <c r="AI183" s="162">
        <v>1.4648000000000001</v>
      </c>
      <c r="AJ183" s="162">
        <v>1.4601999999999999</v>
      </c>
      <c r="AK183" s="162">
        <v>1.4742</v>
      </c>
      <c r="AL183" s="162">
        <v>1.48214</v>
      </c>
      <c r="AM183" s="162">
        <v>1.4900800000000001</v>
      </c>
      <c r="AN183" s="162">
        <v>1.4980199999999999</v>
      </c>
      <c r="AO183" s="162">
        <v>1.50596</v>
      </c>
      <c r="AP183" s="162">
        <v>1.5139</v>
      </c>
      <c r="AQ183" s="162">
        <v>1.51844</v>
      </c>
      <c r="AR183" s="162">
        <v>1.52298</v>
      </c>
      <c r="AS183" s="162">
        <v>1.52752</v>
      </c>
      <c r="AT183" s="162">
        <v>1.53206</v>
      </c>
      <c r="AU183" s="162">
        <v>1.5366</v>
      </c>
    </row>
    <row r="184" spans="1:47" ht="12.75" customHeight="1">
      <c r="A184" s="459">
        <v>42181</v>
      </c>
      <c r="B184" s="139">
        <v>26</v>
      </c>
      <c r="C184" s="162">
        <v>-0.11799999999999999</v>
      </c>
      <c r="D184" s="162">
        <v>-0.11799999999999999</v>
      </c>
      <c r="E184" s="162">
        <v>-0.12282</v>
      </c>
      <c r="F184" s="162">
        <v>-0.1182</v>
      </c>
      <c r="G184" s="162">
        <v>-0.12620000000000001</v>
      </c>
      <c r="H184" s="162">
        <v>-0.12592</v>
      </c>
      <c r="I184" s="162">
        <v>-0.12722</v>
      </c>
      <c r="J184" s="162">
        <v>-0.12756000000000001</v>
      </c>
      <c r="K184" s="162">
        <v>-0.12806000000000001</v>
      </c>
      <c r="L184" s="162">
        <v>-0.12872</v>
      </c>
      <c r="M184" s="162">
        <v>-0.12659999999999999</v>
      </c>
      <c r="N184" s="162">
        <v>-0.1273</v>
      </c>
      <c r="O184" s="162">
        <v>-0.1249</v>
      </c>
      <c r="P184" s="162">
        <v>-0.1249</v>
      </c>
      <c r="Q184" s="162">
        <v>-0.1242</v>
      </c>
      <c r="R184" s="162">
        <v>-0.1236</v>
      </c>
      <c r="S184" s="162">
        <v>-8.5800000000000001E-2</v>
      </c>
      <c r="T184" s="162">
        <v>-3.6600000000000001E-3</v>
      </c>
      <c r="U184" s="162">
        <v>0.1234</v>
      </c>
      <c r="V184" s="162">
        <v>0.26929999999999998</v>
      </c>
      <c r="W184" s="162">
        <v>0.41689999999999999</v>
      </c>
      <c r="X184" s="162">
        <v>0.5575</v>
      </c>
      <c r="Y184" s="162">
        <v>0.6885</v>
      </c>
      <c r="Z184" s="162">
        <v>0.80530000000000002</v>
      </c>
      <c r="AA184" s="162">
        <v>0.90600000000000003</v>
      </c>
      <c r="AB184" s="162">
        <v>0.99309999999999998</v>
      </c>
      <c r="AC184" s="162">
        <v>1.0711999999999999</v>
      </c>
      <c r="AD184" s="162">
        <v>1.1348</v>
      </c>
      <c r="AE184" s="162">
        <v>1.1912</v>
      </c>
      <c r="AF184" s="162">
        <v>1.2418</v>
      </c>
      <c r="AG184" s="162">
        <v>1.28</v>
      </c>
      <c r="AH184" s="162">
        <v>1.3140000000000001</v>
      </c>
      <c r="AI184" s="162">
        <v>1.3420000000000001</v>
      </c>
      <c r="AJ184" s="162">
        <v>1.365</v>
      </c>
      <c r="AK184" s="162">
        <v>1.3871</v>
      </c>
      <c r="AL184" s="162">
        <v>1.39602</v>
      </c>
      <c r="AM184" s="162">
        <v>1.4049400000000001</v>
      </c>
      <c r="AN184" s="162">
        <v>1.4138599999999999</v>
      </c>
      <c r="AO184" s="162">
        <v>1.4227799999999999</v>
      </c>
      <c r="AP184" s="162">
        <v>1.4317</v>
      </c>
      <c r="AQ184" s="162">
        <v>1.4362200000000001</v>
      </c>
      <c r="AR184" s="162">
        <v>1.4407399999999999</v>
      </c>
      <c r="AS184" s="162">
        <v>1.44526</v>
      </c>
      <c r="AT184" s="162">
        <v>1.4497800000000001</v>
      </c>
      <c r="AU184" s="162">
        <v>1.4542999999999999</v>
      </c>
    </row>
    <row r="185" spans="1:47" ht="12.75" customHeight="1">
      <c r="A185" s="459">
        <v>42188</v>
      </c>
      <c r="B185" s="139">
        <v>27</v>
      </c>
      <c r="C185" s="162">
        <v>-0.11874999999999999</v>
      </c>
      <c r="D185" s="162">
        <v>-0.11874999999999999</v>
      </c>
      <c r="E185" s="162">
        <v>-0.1095</v>
      </c>
      <c r="F185" s="162">
        <v>-0.11452</v>
      </c>
      <c r="G185" s="162">
        <v>-0.12379999999999999</v>
      </c>
      <c r="H185" s="162">
        <v>-0.12280000000000001</v>
      </c>
      <c r="I185" s="162">
        <v>-0.1231</v>
      </c>
      <c r="J185" s="162">
        <v>-0.1225</v>
      </c>
      <c r="K185" s="162">
        <v>-0.12665999999999999</v>
      </c>
      <c r="L185" s="162">
        <v>-0.12520000000000001</v>
      </c>
      <c r="M185" s="162">
        <v>-0.12316000000000001</v>
      </c>
      <c r="N185" s="162">
        <v>-0.125</v>
      </c>
      <c r="O185" s="162">
        <v>-0.12515999999999999</v>
      </c>
      <c r="P185" s="162">
        <v>-0.12486</v>
      </c>
      <c r="Q185" s="162">
        <v>-0.1239</v>
      </c>
      <c r="R185" s="162">
        <v>-0.1246</v>
      </c>
      <c r="S185" s="162">
        <v>-9.3799999999999994E-2</v>
      </c>
      <c r="T185" s="162">
        <v>-3.8E-3</v>
      </c>
      <c r="U185" s="162">
        <v>0.1305</v>
      </c>
      <c r="V185" s="162">
        <v>0.28849999999999998</v>
      </c>
      <c r="W185" s="162">
        <v>0.44640000000000002</v>
      </c>
      <c r="X185" s="162">
        <v>0.59540000000000004</v>
      </c>
      <c r="Y185" s="162">
        <v>0.73350000000000004</v>
      </c>
      <c r="Z185" s="162">
        <v>0.85809999999999997</v>
      </c>
      <c r="AA185" s="162">
        <v>0.9657</v>
      </c>
      <c r="AB185" s="162">
        <v>1.0604199999999999</v>
      </c>
      <c r="AC185" s="162">
        <v>1.1437999999999999</v>
      </c>
      <c r="AD185" s="162">
        <v>1.2140599999999999</v>
      </c>
      <c r="AE185" s="162">
        <v>1.2736000000000001</v>
      </c>
      <c r="AF185" s="162">
        <v>1.3273999999999999</v>
      </c>
      <c r="AG185" s="162">
        <v>1.3534999999999999</v>
      </c>
      <c r="AH185" s="162">
        <v>1.389</v>
      </c>
      <c r="AI185" s="162">
        <v>1.4185000000000001</v>
      </c>
      <c r="AJ185" s="162">
        <v>1.4424999999999999</v>
      </c>
      <c r="AK185" s="162">
        <v>1.4829000000000001</v>
      </c>
      <c r="AL185" s="162">
        <v>1.49224</v>
      </c>
      <c r="AM185" s="162">
        <v>1.5015799999999999</v>
      </c>
      <c r="AN185" s="162">
        <v>1.51092</v>
      </c>
      <c r="AO185" s="162">
        <v>1.5202599999999999</v>
      </c>
      <c r="AP185" s="162">
        <v>1.5296000000000001</v>
      </c>
      <c r="AQ185" s="162">
        <v>1.5349600000000001</v>
      </c>
      <c r="AR185" s="162">
        <v>1.5403199999999999</v>
      </c>
      <c r="AS185" s="162">
        <v>1.5456799999999999</v>
      </c>
      <c r="AT185" s="162">
        <v>1.55104</v>
      </c>
      <c r="AU185" s="162">
        <v>1.5564</v>
      </c>
    </row>
    <row r="186" spans="1:47" ht="12.75" customHeight="1">
      <c r="A186" s="459">
        <v>42195</v>
      </c>
      <c r="B186" s="139">
        <v>28</v>
      </c>
      <c r="C186" s="162">
        <v>-0.1055</v>
      </c>
      <c r="D186" s="162">
        <v>-0.1055</v>
      </c>
      <c r="E186" s="162">
        <v>-0.12121999999999999</v>
      </c>
      <c r="F186" s="162">
        <v>-0.12182</v>
      </c>
      <c r="G186" s="162">
        <v>-0.11922000000000001</v>
      </c>
      <c r="H186" s="162">
        <v>-0.12222</v>
      </c>
      <c r="I186" s="162">
        <v>-0.1207</v>
      </c>
      <c r="J186" s="162">
        <v>-0.1215</v>
      </c>
      <c r="K186" s="162">
        <v>-0.12230000000000001</v>
      </c>
      <c r="L186" s="162">
        <v>-0.1227</v>
      </c>
      <c r="M186" s="162">
        <v>-0.1232</v>
      </c>
      <c r="N186" s="162">
        <v>-0.1232</v>
      </c>
      <c r="O186" s="162">
        <v>-0.1246</v>
      </c>
      <c r="P186" s="162">
        <v>-0.1246</v>
      </c>
      <c r="Q186" s="162">
        <v>-0.12479999999999999</v>
      </c>
      <c r="R186" s="162">
        <v>-0.1255</v>
      </c>
      <c r="S186" s="162">
        <v>-0.1046</v>
      </c>
      <c r="T186" s="162">
        <v>-2.8760000000000001E-2</v>
      </c>
      <c r="U186" s="162">
        <v>9.7799999999999998E-2</v>
      </c>
      <c r="V186" s="162">
        <v>0.247</v>
      </c>
      <c r="W186" s="162">
        <v>0.4037</v>
      </c>
      <c r="X186" s="162">
        <v>0.55600000000000005</v>
      </c>
      <c r="Y186" s="162">
        <v>0.69869999999999999</v>
      </c>
      <c r="Z186" s="162">
        <v>0.82740000000000002</v>
      </c>
      <c r="AA186" s="162">
        <v>0.94130000000000003</v>
      </c>
      <c r="AB186" s="162">
        <v>1.04288</v>
      </c>
      <c r="AC186" s="162">
        <v>1.13106</v>
      </c>
      <c r="AD186" s="162">
        <v>1.2062999999999999</v>
      </c>
      <c r="AE186" s="162">
        <v>1.2695000000000001</v>
      </c>
      <c r="AF186" s="162">
        <v>1.3258000000000001</v>
      </c>
      <c r="AG186" s="162">
        <v>1.3180000000000001</v>
      </c>
      <c r="AH186" s="162">
        <v>1.3560000000000001</v>
      </c>
      <c r="AI186" s="162">
        <v>1.3885000000000001</v>
      </c>
      <c r="AJ186" s="162">
        <v>1.4155</v>
      </c>
      <c r="AK186" s="162">
        <v>1.4963</v>
      </c>
      <c r="AL186" s="162">
        <v>1.5069600000000001</v>
      </c>
      <c r="AM186" s="162">
        <v>1.51762</v>
      </c>
      <c r="AN186" s="162">
        <v>1.5282800000000001</v>
      </c>
      <c r="AO186" s="162">
        <v>1.53894</v>
      </c>
      <c r="AP186" s="162">
        <v>1.5496000000000001</v>
      </c>
      <c r="AQ186" s="162">
        <v>1.55522</v>
      </c>
      <c r="AR186" s="162">
        <v>1.56084</v>
      </c>
      <c r="AS186" s="162">
        <v>1.56646</v>
      </c>
      <c r="AT186" s="162">
        <v>1.5720799999999999</v>
      </c>
      <c r="AU186" s="162">
        <v>1.5777000000000001</v>
      </c>
    </row>
    <row r="187" spans="1:47" ht="12.75" customHeight="1">
      <c r="A187" s="459">
        <v>42202</v>
      </c>
      <c r="B187" s="139">
        <v>29</v>
      </c>
      <c r="C187" s="162">
        <v>-0.12025</v>
      </c>
      <c r="D187" s="162">
        <v>-0.12025</v>
      </c>
      <c r="E187" s="162">
        <v>-0.123</v>
      </c>
      <c r="F187" s="162">
        <v>-0.1232</v>
      </c>
      <c r="G187" s="162">
        <v>-0.12252</v>
      </c>
      <c r="H187" s="162">
        <v>-0.12366000000000001</v>
      </c>
      <c r="I187" s="162">
        <v>-0.12695999999999999</v>
      </c>
      <c r="J187" s="162">
        <v>-0.12726000000000001</v>
      </c>
      <c r="K187" s="162">
        <v>-0.12876000000000001</v>
      </c>
      <c r="L187" s="162">
        <v>-0.13066</v>
      </c>
      <c r="M187" s="162">
        <v>-0.13189999999999999</v>
      </c>
      <c r="N187" s="162">
        <v>-0.13270000000000001</v>
      </c>
      <c r="O187" s="162">
        <v>-0.1348</v>
      </c>
      <c r="P187" s="162">
        <v>-0.13519999999999999</v>
      </c>
      <c r="Q187" s="162">
        <v>-0.13516</v>
      </c>
      <c r="R187" s="162">
        <v>-0.1356</v>
      </c>
      <c r="S187" s="162">
        <v>-0.1138</v>
      </c>
      <c r="T187" s="162">
        <v>-4.7399999999999998E-2</v>
      </c>
      <c r="U187" s="162">
        <v>7.1400000000000005E-2</v>
      </c>
      <c r="V187" s="162">
        <v>0.21640000000000001</v>
      </c>
      <c r="W187" s="162">
        <v>0.36436000000000002</v>
      </c>
      <c r="X187" s="162">
        <v>0.50866</v>
      </c>
      <c r="Y187" s="162">
        <v>0.64336000000000004</v>
      </c>
      <c r="Z187" s="162">
        <v>0.77266000000000001</v>
      </c>
      <c r="AA187" s="162">
        <v>0.88346000000000002</v>
      </c>
      <c r="AB187" s="162">
        <v>0.98236000000000001</v>
      </c>
      <c r="AC187" s="162">
        <v>1.0681</v>
      </c>
      <c r="AD187" s="162">
        <v>1.1423000000000001</v>
      </c>
      <c r="AE187" s="162">
        <v>1.2049000000000001</v>
      </c>
      <c r="AF187" s="162">
        <v>1.2603599999999999</v>
      </c>
      <c r="AG187" s="162">
        <v>1.306</v>
      </c>
      <c r="AH187" s="162">
        <v>1.3458000000000001</v>
      </c>
      <c r="AI187" s="162">
        <v>1.379</v>
      </c>
      <c r="AJ187" s="162">
        <v>1.4059999999999999</v>
      </c>
      <c r="AK187" s="162">
        <v>1.43</v>
      </c>
      <c r="AL187" s="162">
        <v>1.4400999999999999</v>
      </c>
      <c r="AM187" s="162">
        <v>1.4501999999999999</v>
      </c>
      <c r="AN187" s="162">
        <v>1.4602999999999999</v>
      </c>
      <c r="AO187" s="162">
        <v>1.4703999999999999</v>
      </c>
      <c r="AP187" s="162">
        <v>1.4804999999999999</v>
      </c>
      <c r="AQ187" s="162">
        <v>1.48464</v>
      </c>
      <c r="AR187" s="162">
        <v>1.48878</v>
      </c>
      <c r="AS187" s="162">
        <v>1.49292</v>
      </c>
      <c r="AT187" s="162">
        <v>1.4970600000000001</v>
      </c>
      <c r="AU187" s="162">
        <v>1.5012000000000001</v>
      </c>
    </row>
    <row r="188" spans="1:47" ht="12.75" customHeight="1">
      <c r="A188" s="459">
        <v>42209</v>
      </c>
      <c r="B188" s="139">
        <v>30</v>
      </c>
      <c r="C188" s="162">
        <v>-0.11899999999999999</v>
      </c>
      <c r="D188" s="162">
        <v>-0.11899999999999999</v>
      </c>
      <c r="E188" s="162">
        <v>-0.1216</v>
      </c>
      <c r="F188" s="162">
        <v>-0.1192</v>
      </c>
      <c r="G188" s="162">
        <v>-0.12106</v>
      </c>
      <c r="H188" s="162">
        <v>-0.12242</v>
      </c>
      <c r="I188" s="162">
        <v>-0.12531999999999999</v>
      </c>
      <c r="J188" s="162">
        <v>-0.12756000000000001</v>
      </c>
      <c r="K188" s="162">
        <v>-0.1278</v>
      </c>
      <c r="L188" s="162">
        <v>-0.13159999999999999</v>
      </c>
      <c r="M188" s="162">
        <v>-0.13159999999999999</v>
      </c>
      <c r="N188" s="162">
        <v>-0.13239999999999999</v>
      </c>
      <c r="O188" s="162">
        <v>-0.13059999999999999</v>
      </c>
      <c r="P188" s="162">
        <v>-0.13600000000000001</v>
      </c>
      <c r="Q188" s="162">
        <v>-0.13600000000000001</v>
      </c>
      <c r="R188" s="162">
        <v>-0.13619999999999999</v>
      </c>
      <c r="S188" s="162">
        <v>-0.1094</v>
      </c>
      <c r="T188" s="162">
        <v>-3.8399999999999997E-2</v>
      </c>
      <c r="U188" s="162">
        <v>8.2799999999999999E-2</v>
      </c>
      <c r="V188" s="162">
        <v>0.22800000000000001</v>
      </c>
      <c r="W188" s="162">
        <v>0.38200000000000001</v>
      </c>
      <c r="X188" s="162">
        <v>0.53200000000000003</v>
      </c>
      <c r="Y188" s="162">
        <v>0.67459999999999998</v>
      </c>
      <c r="Z188" s="162">
        <v>0.80379999999999996</v>
      </c>
      <c r="AA188" s="162">
        <v>0.91900000000000004</v>
      </c>
      <c r="AB188" s="162">
        <v>1.0226999999999999</v>
      </c>
      <c r="AC188" s="162">
        <v>1.1141000000000001</v>
      </c>
      <c r="AD188" s="162">
        <v>1.1940999999999999</v>
      </c>
      <c r="AE188" s="162">
        <v>1.2616000000000001</v>
      </c>
      <c r="AF188" s="162">
        <v>1.3169999999999999</v>
      </c>
      <c r="AG188" s="162">
        <v>1.3792500000000001</v>
      </c>
      <c r="AH188" s="162">
        <v>1.4215</v>
      </c>
      <c r="AI188" s="162">
        <v>1.45675</v>
      </c>
      <c r="AJ188" s="162">
        <v>1.486</v>
      </c>
      <c r="AK188" s="162">
        <v>1.4988999999999999</v>
      </c>
      <c r="AL188" s="162">
        <v>1.5101599999999999</v>
      </c>
      <c r="AM188" s="162">
        <v>1.52142</v>
      </c>
      <c r="AN188" s="162">
        <v>1.53268</v>
      </c>
      <c r="AO188" s="162">
        <v>1.5439400000000001</v>
      </c>
      <c r="AP188" s="162">
        <v>1.5551999999999999</v>
      </c>
      <c r="AQ188" s="162">
        <v>1.56016</v>
      </c>
      <c r="AR188" s="162">
        <v>1.5651200000000001</v>
      </c>
      <c r="AS188" s="162">
        <v>1.5700799999999999</v>
      </c>
      <c r="AT188" s="162">
        <v>1.57504</v>
      </c>
      <c r="AU188" s="162">
        <v>1.58</v>
      </c>
    </row>
    <row r="189" spans="1:47" ht="12.75" customHeight="1">
      <c r="A189" s="459">
        <v>42216</v>
      </c>
      <c r="B189" s="139">
        <v>31</v>
      </c>
      <c r="C189" s="162">
        <v>-0.11849999999999999</v>
      </c>
      <c r="D189" s="162">
        <v>-0.11849999999999999</v>
      </c>
      <c r="E189" s="162">
        <v>-0.123</v>
      </c>
      <c r="F189" s="162">
        <v>-0.12043329999999999</v>
      </c>
      <c r="G189" s="162">
        <v>-0.12126670000000001</v>
      </c>
      <c r="H189" s="162">
        <v>-0.12276670000000001</v>
      </c>
      <c r="I189" s="162">
        <v>-0.12526670000000001</v>
      </c>
      <c r="J189" s="162">
        <v>-0.12553329999999999</v>
      </c>
      <c r="K189" s="162">
        <v>-0.1269333</v>
      </c>
      <c r="L189" s="162">
        <v>-0.12759999999999999</v>
      </c>
      <c r="M189" s="162">
        <v>-0.128</v>
      </c>
      <c r="N189" s="162">
        <v>-0.12833330000000001</v>
      </c>
      <c r="O189" s="162">
        <v>-0.1291667</v>
      </c>
      <c r="P189" s="162">
        <v>-0.1306667</v>
      </c>
      <c r="Q189" s="162">
        <v>-0.1295</v>
      </c>
      <c r="R189" s="162">
        <v>-0.1291667</v>
      </c>
      <c r="S189" s="162">
        <v>-0.11</v>
      </c>
      <c r="T189" s="162">
        <v>-4.6667E-2</v>
      </c>
      <c r="U189" s="162">
        <v>5.8933300000000001E-2</v>
      </c>
      <c r="V189" s="162">
        <v>0.19209999999999999</v>
      </c>
      <c r="W189" s="162">
        <v>0.33510000000000001</v>
      </c>
      <c r="X189" s="162">
        <v>0.4771667</v>
      </c>
      <c r="Y189" s="162">
        <v>0.61016669999999995</v>
      </c>
      <c r="Z189" s="162">
        <v>0.7336667</v>
      </c>
      <c r="AA189" s="162">
        <v>0.84516670000000005</v>
      </c>
      <c r="AB189" s="162">
        <v>0.94533330000000004</v>
      </c>
      <c r="AC189" s="162">
        <v>1.0345</v>
      </c>
      <c r="AD189" s="162">
        <v>1.1133333000000001</v>
      </c>
      <c r="AE189" s="162">
        <v>1.1814332999999999</v>
      </c>
      <c r="AF189" s="162">
        <v>1.2355</v>
      </c>
      <c r="AG189" s="162">
        <v>1.2849999999999999</v>
      </c>
      <c r="AH189" s="162">
        <v>1.327</v>
      </c>
      <c r="AI189" s="162">
        <v>1.3626666999999999</v>
      </c>
      <c r="AJ189" s="162">
        <v>1.3919999999999999</v>
      </c>
      <c r="AK189" s="162">
        <v>1.4141667</v>
      </c>
      <c r="AL189" s="162">
        <v>1.4258667</v>
      </c>
      <c r="AM189" s="162">
        <v>1.4375667000000001</v>
      </c>
      <c r="AN189" s="162">
        <v>1.4492666999999999</v>
      </c>
      <c r="AO189" s="162">
        <v>1.4609667</v>
      </c>
      <c r="AP189" s="162">
        <v>1.4726667</v>
      </c>
      <c r="AQ189" s="162">
        <v>1.4778332999999999</v>
      </c>
      <c r="AR189" s="162">
        <v>1.4830000000000001</v>
      </c>
      <c r="AS189" s="162">
        <v>1.4881667000000001</v>
      </c>
      <c r="AT189" s="162">
        <v>1.4933333</v>
      </c>
      <c r="AU189" s="162">
        <v>1.4984999999999999</v>
      </c>
    </row>
    <row r="190" spans="1:47" ht="12.75" customHeight="1">
      <c r="A190" s="459">
        <v>42223</v>
      </c>
      <c r="B190" s="139">
        <v>32</v>
      </c>
      <c r="C190" s="162">
        <v>-0.115</v>
      </c>
      <c r="D190" s="162">
        <v>-0.115</v>
      </c>
      <c r="E190" s="162">
        <v>-0.11101999999999999</v>
      </c>
      <c r="F190" s="162">
        <v>-0.11559999999999999</v>
      </c>
      <c r="G190" s="162">
        <v>-0.1177</v>
      </c>
      <c r="H190" s="162">
        <v>-0.11932</v>
      </c>
      <c r="I190" s="162">
        <v>-0.12124</v>
      </c>
      <c r="J190" s="162">
        <v>-0.12330000000000001</v>
      </c>
      <c r="K190" s="162">
        <v>-0.1237</v>
      </c>
      <c r="L190" s="162">
        <v>-0.12520000000000001</v>
      </c>
      <c r="M190" s="162">
        <v>-0.12859999999999999</v>
      </c>
      <c r="N190" s="162">
        <v>-0.12870000000000001</v>
      </c>
      <c r="O190" s="162">
        <v>-0.12790000000000001</v>
      </c>
      <c r="P190" s="162">
        <v>-0.12816</v>
      </c>
      <c r="Q190" s="162">
        <v>-0.1298</v>
      </c>
      <c r="R190" s="162">
        <v>-0.12966</v>
      </c>
      <c r="S190" s="162">
        <v>-0.1128</v>
      </c>
      <c r="T190" s="162">
        <v>-5.2200000000000003E-2</v>
      </c>
      <c r="U190" s="162">
        <v>3.9E-2</v>
      </c>
      <c r="V190" s="162">
        <v>0.1613</v>
      </c>
      <c r="W190" s="162">
        <v>0.29380000000000001</v>
      </c>
      <c r="X190" s="162">
        <v>0.42730000000000001</v>
      </c>
      <c r="Y190" s="162">
        <v>0.55659999999999998</v>
      </c>
      <c r="Z190" s="162">
        <v>0.67569999999999997</v>
      </c>
      <c r="AA190" s="162">
        <v>0.78029999999999999</v>
      </c>
      <c r="AB190" s="162">
        <v>0.87502000000000002</v>
      </c>
      <c r="AC190" s="162">
        <v>0.95840000000000003</v>
      </c>
      <c r="AD190" s="162">
        <v>1.0324</v>
      </c>
      <c r="AE190" s="162">
        <v>1.0946</v>
      </c>
      <c r="AF190" s="162">
        <v>1.1484000000000001</v>
      </c>
      <c r="AG190" s="162">
        <v>1.1821600000000001</v>
      </c>
      <c r="AH190" s="162">
        <v>1.2159199999999999</v>
      </c>
      <c r="AI190" s="162">
        <v>1.2496799999999999</v>
      </c>
      <c r="AJ190" s="162">
        <v>1.2834399999999999</v>
      </c>
      <c r="AK190" s="162">
        <v>1.3171999999999999</v>
      </c>
      <c r="AL190" s="162">
        <v>1.32792</v>
      </c>
      <c r="AM190" s="162">
        <v>1.3386400000000001</v>
      </c>
      <c r="AN190" s="162">
        <v>1.3493599999999999</v>
      </c>
      <c r="AO190" s="162">
        <v>1.36008</v>
      </c>
      <c r="AP190" s="162">
        <v>1.3708</v>
      </c>
      <c r="AQ190" s="162">
        <v>1.37568</v>
      </c>
      <c r="AR190" s="162">
        <v>1.38056</v>
      </c>
      <c r="AS190" s="162">
        <v>1.38544</v>
      </c>
      <c r="AT190" s="162">
        <v>1.39032</v>
      </c>
      <c r="AU190" s="162">
        <v>1.3952</v>
      </c>
    </row>
    <row r="191" spans="1:47" ht="12.75" customHeight="1">
      <c r="A191" s="459">
        <v>42230</v>
      </c>
      <c r="B191" s="139">
        <v>33</v>
      </c>
      <c r="C191" s="162">
        <v>-0.1105</v>
      </c>
      <c r="D191" s="162">
        <v>-0.1105</v>
      </c>
      <c r="E191" s="162">
        <v>-0.1216</v>
      </c>
      <c r="F191" s="162">
        <v>-0.12156</v>
      </c>
      <c r="G191" s="162">
        <v>-0.12102</v>
      </c>
      <c r="H191" s="162">
        <v>-0.12328</v>
      </c>
      <c r="I191" s="162">
        <v>-0.12376</v>
      </c>
      <c r="J191" s="162">
        <v>-0.12615999999999999</v>
      </c>
      <c r="K191" s="162">
        <v>-0.12570000000000001</v>
      </c>
      <c r="L191" s="162">
        <v>-0.12709999999999999</v>
      </c>
      <c r="M191" s="162">
        <v>-0.12945999999999999</v>
      </c>
      <c r="N191" s="162">
        <v>-0.13039999999999999</v>
      </c>
      <c r="O191" s="162">
        <v>-0.13236000000000001</v>
      </c>
      <c r="P191" s="162">
        <v>-0.13150000000000001</v>
      </c>
      <c r="Q191" s="162">
        <v>-0.13350000000000001</v>
      </c>
      <c r="R191" s="162">
        <v>-0.13386000000000001</v>
      </c>
      <c r="S191" s="162">
        <v>-0.11899999999999999</v>
      </c>
      <c r="T191" s="162">
        <v>-5.7660000000000003E-2</v>
      </c>
      <c r="U191" s="162">
        <v>3.5400000000000001E-2</v>
      </c>
      <c r="V191" s="162">
        <v>0.15029999999999999</v>
      </c>
      <c r="W191" s="162">
        <v>0.2833</v>
      </c>
      <c r="X191" s="162">
        <v>0.41810000000000003</v>
      </c>
      <c r="Y191" s="162">
        <v>0.54800000000000004</v>
      </c>
      <c r="Z191" s="162">
        <v>0.66749999999999998</v>
      </c>
      <c r="AA191" s="162">
        <v>0.77329999999999999</v>
      </c>
      <c r="AB191" s="162">
        <v>0.86982000000000004</v>
      </c>
      <c r="AC191" s="162">
        <v>0.95509999999999995</v>
      </c>
      <c r="AD191" s="162">
        <v>1.0286999999999999</v>
      </c>
      <c r="AE191" s="162">
        <v>1.0919000000000001</v>
      </c>
      <c r="AF191" s="162">
        <v>1.1454</v>
      </c>
      <c r="AG191" s="162">
        <v>1.1792720000000001</v>
      </c>
      <c r="AH191" s="162">
        <v>1.213144</v>
      </c>
      <c r="AI191" s="162">
        <v>1.2470159999999999</v>
      </c>
      <c r="AJ191" s="162">
        <v>1.280888</v>
      </c>
      <c r="AK191" s="162">
        <v>1.3147599999999999</v>
      </c>
      <c r="AL191" s="162">
        <v>1.3256479999999999</v>
      </c>
      <c r="AM191" s="162">
        <v>1.3365359999999999</v>
      </c>
      <c r="AN191" s="162">
        <v>1.347424</v>
      </c>
      <c r="AO191" s="162">
        <v>1.358312</v>
      </c>
      <c r="AP191" s="162">
        <v>1.3692</v>
      </c>
      <c r="AQ191" s="162">
        <v>1.37486</v>
      </c>
      <c r="AR191" s="162">
        <v>1.38052</v>
      </c>
      <c r="AS191" s="162">
        <v>1.38618</v>
      </c>
      <c r="AT191" s="162">
        <v>1.39184</v>
      </c>
      <c r="AU191" s="162">
        <v>1.3975</v>
      </c>
    </row>
    <row r="192" spans="1:47" ht="12.75" customHeight="1">
      <c r="A192" s="459">
        <v>42237</v>
      </c>
      <c r="B192" s="139">
        <v>34</v>
      </c>
      <c r="C192" s="162">
        <v>-0.123</v>
      </c>
      <c r="D192" s="162">
        <v>-0.123</v>
      </c>
      <c r="E192" s="162">
        <v>-0.123</v>
      </c>
      <c r="F192" s="162">
        <v>-0.123</v>
      </c>
      <c r="G192" s="162">
        <v>-0.1216667</v>
      </c>
      <c r="H192" s="162">
        <v>-0.1246</v>
      </c>
      <c r="I192" s="162">
        <v>-0.1254333</v>
      </c>
      <c r="J192" s="162">
        <v>-0.12716669999999999</v>
      </c>
      <c r="K192" s="162">
        <v>-0.1295</v>
      </c>
      <c r="L192" s="162">
        <v>-0.13250000000000001</v>
      </c>
      <c r="M192" s="162">
        <v>-0.13226669999999999</v>
      </c>
      <c r="N192" s="162">
        <v>-0.13500000000000001</v>
      </c>
      <c r="O192" s="162">
        <v>-0.1346667</v>
      </c>
      <c r="P192" s="162">
        <v>-0.13750000000000001</v>
      </c>
      <c r="Q192" s="162">
        <v>-0.1365333</v>
      </c>
      <c r="R192" s="162">
        <v>-0.13726669999999999</v>
      </c>
      <c r="S192" s="162">
        <v>-0.1236667</v>
      </c>
      <c r="T192" s="162">
        <v>-6.7000000000000004E-2</v>
      </c>
      <c r="U192" s="162">
        <v>2.1999999999999999E-2</v>
      </c>
      <c r="V192" s="162">
        <v>0.13500000000000001</v>
      </c>
      <c r="W192" s="162">
        <v>0.26333329999999999</v>
      </c>
      <c r="X192" s="162">
        <v>0.39800000000000002</v>
      </c>
      <c r="Y192" s="162">
        <v>0.52566670000000004</v>
      </c>
      <c r="Z192" s="162">
        <v>0.64366670000000004</v>
      </c>
      <c r="AA192" s="162">
        <v>0.75033329999999998</v>
      </c>
      <c r="AB192" s="162">
        <v>0.84636670000000003</v>
      </c>
      <c r="AC192" s="162">
        <v>0.93</v>
      </c>
      <c r="AD192" s="162">
        <v>0.99976670000000001</v>
      </c>
      <c r="AE192" s="162">
        <v>1.0623332999999999</v>
      </c>
      <c r="AF192" s="162">
        <v>1.1185</v>
      </c>
      <c r="AG192" s="162">
        <v>1.1520333</v>
      </c>
      <c r="AH192" s="162">
        <v>1.1855667000000001</v>
      </c>
      <c r="AI192" s="162">
        <v>1.2191000000000001</v>
      </c>
      <c r="AJ192" s="162">
        <v>1.2526333000000001</v>
      </c>
      <c r="AK192" s="162">
        <v>1.2861667000000001</v>
      </c>
      <c r="AL192" s="162">
        <v>1.2974667</v>
      </c>
      <c r="AM192" s="162">
        <v>1.3087667000000001</v>
      </c>
      <c r="AN192" s="162">
        <v>1.3200666999999999</v>
      </c>
      <c r="AO192" s="162">
        <v>1.3313667</v>
      </c>
      <c r="AP192" s="162">
        <v>1.3426667000000001</v>
      </c>
      <c r="AQ192" s="162">
        <v>1.3483000000000001</v>
      </c>
      <c r="AR192" s="162">
        <v>1.3539333</v>
      </c>
      <c r="AS192" s="162">
        <v>1.3595667</v>
      </c>
      <c r="AT192" s="162">
        <v>1.3652</v>
      </c>
      <c r="AU192" s="162">
        <v>1.3708332999999999</v>
      </c>
    </row>
    <row r="193" spans="1:47" ht="12.75" customHeight="1">
      <c r="A193" s="459">
        <v>42244</v>
      </c>
      <c r="B193" s="139">
        <v>35</v>
      </c>
      <c r="C193" s="162">
        <v>-0.12125</v>
      </c>
      <c r="D193" s="162">
        <v>-0.12125</v>
      </c>
      <c r="E193" s="162">
        <v>-0.12640000000000001</v>
      </c>
      <c r="F193" s="162">
        <v>-0.1255</v>
      </c>
      <c r="G193" s="162">
        <v>-0.12631999999999999</v>
      </c>
      <c r="H193" s="162">
        <v>-0.13006000000000001</v>
      </c>
      <c r="I193" s="162">
        <v>-0.13086</v>
      </c>
      <c r="J193" s="162">
        <v>-0.13231999999999999</v>
      </c>
      <c r="K193" s="162">
        <v>-0.13450000000000001</v>
      </c>
      <c r="L193" s="162">
        <v>-0.13589999999999999</v>
      </c>
      <c r="M193" s="162">
        <v>-0.1363</v>
      </c>
      <c r="N193" s="162">
        <v>-0.13819999999999999</v>
      </c>
      <c r="O193" s="162">
        <v>-0.13846</v>
      </c>
      <c r="P193" s="162">
        <v>-0.13972000000000001</v>
      </c>
      <c r="Q193" s="162">
        <v>-0.1401</v>
      </c>
      <c r="R193" s="162">
        <v>-0.14099999999999999</v>
      </c>
      <c r="S193" s="162">
        <v>-0.12740000000000001</v>
      </c>
      <c r="T193" s="162">
        <v>-6.8699999999999997E-2</v>
      </c>
      <c r="U193" s="162">
        <v>1.0800000000000001E-2</v>
      </c>
      <c r="V193" s="162">
        <v>0.11600000000000001</v>
      </c>
      <c r="W193" s="162">
        <v>0.23830000000000001</v>
      </c>
      <c r="X193" s="162">
        <v>0.36630000000000001</v>
      </c>
      <c r="Y193" s="162">
        <v>0.48959999999999998</v>
      </c>
      <c r="Z193" s="162">
        <v>0.60465999999999998</v>
      </c>
      <c r="AA193" s="162">
        <v>0.70730000000000004</v>
      </c>
      <c r="AB193" s="162">
        <v>0.80025999999999997</v>
      </c>
      <c r="AC193" s="162">
        <v>0.88290000000000002</v>
      </c>
      <c r="AD193" s="162">
        <v>0.95455999999999996</v>
      </c>
      <c r="AE193" s="162">
        <v>1.0168600000000001</v>
      </c>
      <c r="AF193" s="162">
        <v>1.0714999999999999</v>
      </c>
      <c r="AG193" s="162">
        <v>1.1042000000000001</v>
      </c>
      <c r="AH193" s="162">
        <v>1.1369</v>
      </c>
      <c r="AI193" s="162">
        <v>1.1696</v>
      </c>
      <c r="AJ193" s="162">
        <v>1.2022999999999999</v>
      </c>
      <c r="AK193" s="162">
        <v>1.2350000000000001</v>
      </c>
      <c r="AL193" s="162">
        <v>1.2454000000000001</v>
      </c>
      <c r="AM193" s="162">
        <v>1.2558</v>
      </c>
      <c r="AN193" s="162">
        <v>1.2662</v>
      </c>
      <c r="AO193" s="162">
        <v>1.2766</v>
      </c>
      <c r="AP193" s="162">
        <v>1.2869999999999999</v>
      </c>
      <c r="AQ193" s="162">
        <v>1.2925599999999999</v>
      </c>
      <c r="AR193" s="162">
        <v>1.2981199999999999</v>
      </c>
      <c r="AS193" s="162">
        <v>1.3036799999999999</v>
      </c>
      <c r="AT193" s="162">
        <v>1.30924</v>
      </c>
      <c r="AU193" s="162">
        <v>1.3148</v>
      </c>
    </row>
    <row r="194" spans="1:47" ht="12.75" customHeight="1">
      <c r="A194" s="459">
        <v>42251</v>
      </c>
      <c r="B194" s="139">
        <v>36</v>
      </c>
      <c r="C194" s="162">
        <v>-0.126</v>
      </c>
      <c r="D194" s="162">
        <v>-0.126</v>
      </c>
      <c r="E194" s="162">
        <v>-0.12025</v>
      </c>
      <c r="F194" s="162">
        <v>-0.12225</v>
      </c>
      <c r="G194" s="162">
        <v>-0.1265</v>
      </c>
      <c r="H194" s="162">
        <v>-0.1275</v>
      </c>
      <c r="I194" s="162">
        <v>-0.13075000000000001</v>
      </c>
      <c r="J194" s="162">
        <v>-0.13200000000000001</v>
      </c>
      <c r="K194" s="162">
        <v>-0.13475000000000001</v>
      </c>
      <c r="L194" s="162">
        <v>-0.13425000000000001</v>
      </c>
      <c r="M194" s="162">
        <v>-0.13539999999999999</v>
      </c>
      <c r="N194" s="162">
        <v>-0.13600000000000001</v>
      </c>
      <c r="O194" s="162">
        <v>-0.13875000000000001</v>
      </c>
      <c r="P194" s="162">
        <v>-0.14224999999999999</v>
      </c>
      <c r="Q194" s="162">
        <v>-0.1399</v>
      </c>
      <c r="R194" s="162">
        <v>-0.1399</v>
      </c>
      <c r="S194" s="162">
        <v>-0.1235</v>
      </c>
      <c r="T194" s="162">
        <v>-6.59E-2</v>
      </c>
      <c r="U194" s="162">
        <v>2.0500000000000001E-2</v>
      </c>
      <c r="V194" s="162">
        <v>0.1275</v>
      </c>
      <c r="W194" s="162">
        <v>0.248</v>
      </c>
      <c r="X194" s="162">
        <v>0.374</v>
      </c>
      <c r="Y194" s="162">
        <v>0.49625000000000002</v>
      </c>
      <c r="Z194" s="162">
        <v>0.61124999999999996</v>
      </c>
      <c r="AA194" s="162">
        <v>0.71325000000000005</v>
      </c>
      <c r="AB194" s="162">
        <v>0.80435000000000001</v>
      </c>
      <c r="AC194" s="162">
        <v>0.88275000000000003</v>
      </c>
      <c r="AD194" s="162">
        <v>0.95325000000000004</v>
      </c>
      <c r="AE194" s="162">
        <v>1.01065</v>
      </c>
      <c r="AF194" s="162">
        <v>1.06525</v>
      </c>
      <c r="AG194" s="162">
        <v>1.0962499999999999</v>
      </c>
      <c r="AH194" s="162">
        <v>1.1272500000000001</v>
      </c>
      <c r="AI194" s="162">
        <v>1.15825</v>
      </c>
      <c r="AJ194" s="162">
        <v>1.1892499999999999</v>
      </c>
      <c r="AK194" s="162">
        <v>1.2202500000000001</v>
      </c>
      <c r="AL194" s="162">
        <v>1.2299</v>
      </c>
      <c r="AM194" s="162">
        <v>1.2395499999999999</v>
      </c>
      <c r="AN194" s="162">
        <v>1.2492000000000001</v>
      </c>
      <c r="AO194" s="162">
        <v>1.25885</v>
      </c>
      <c r="AP194" s="162">
        <v>1.2685</v>
      </c>
      <c r="AQ194" s="162">
        <v>1.27325</v>
      </c>
      <c r="AR194" s="162">
        <v>1.278</v>
      </c>
      <c r="AS194" s="162">
        <v>1.2827500000000001</v>
      </c>
      <c r="AT194" s="162">
        <v>1.2875000000000001</v>
      </c>
      <c r="AU194" s="162">
        <v>1.2922499999999999</v>
      </c>
    </row>
    <row r="195" spans="1:47" ht="12.75" customHeight="1">
      <c r="A195" s="459">
        <v>42258</v>
      </c>
      <c r="B195" s="139">
        <v>37</v>
      </c>
      <c r="C195" s="162">
        <v>-0.121</v>
      </c>
      <c r="D195" s="162">
        <v>-0.121</v>
      </c>
      <c r="E195" s="162">
        <v>-0.12916</v>
      </c>
      <c r="F195" s="162">
        <v>-0.12852</v>
      </c>
      <c r="G195" s="162">
        <v>-0.12778</v>
      </c>
      <c r="H195" s="162">
        <v>-0.13092000000000001</v>
      </c>
      <c r="I195" s="162">
        <v>-0.13192000000000001</v>
      </c>
      <c r="J195" s="162">
        <v>-0.13195999999999999</v>
      </c>
      <c r="K195" s="162">
        <v>-0.13666</v>
      </c>
      <c r="L195" s="162">
        <v>-0.14272000000000001</v>
      </c>
      <c r="M195" s="162">
        <v>-0.14026</v>
      </c>
      <c r="N195" s="162">
        <v>-0.14199999999999999</v>
      </c>
      <c r="O195" s="162">
        <v>-0.14305999999999999</v>
      </c>
      <c r="P195" s="162">
        <v>-0.14416000000000001</v>
      </c>
      <c r="Q195" s="162">
        <v>-0.1452</v>
      </c>
      <c r="R195" s="162">
        <v>-0.14696000000000001</v>
      </c>
      <c r="S195" s="162">
        <v>-0.12839999999999999</v>
      </c>
      <c r="T195" s="162">
        <v>-6.2859999999999999E-2</v>
      </c>
      <c r="U195" s="162">
        <v>4.5999999999999999E-2</v>
      </c>
      <c r="V195" s="162">
        <v>0.1744</v>
      </c>
      <c r="W195" s="162">
        <v>0.31419999999999998</v>
      </c>
      <c r="X195" s="162">
        <v>0.4577</v>
      </c>
      <c r="Y195" s="162">
        <v>0.59279999999999999</v>
      </c>
      <c r="Z195" s="162">
        <v>0.7198</v>
      </c>
      <c r="AA195" s="162">
        <v>0.83089999999999997</v>
      </c>
      <c r="AB195" s="162">
        <v>0.93084</v>
      </c>
      <c r="AC195" s="162">
        <v>1.018</v>
      </c>
      <c r="AD195" s="162">
        <v>1.0882000000000001</v>
      </c>
      <c r="AE195" s="162">
        <v>1.1535</v>
      </c>
      <c r="AF195" s="162">
        <v>1.2104999999999999</v>
      </c>
      <c r="AG195" s="162">
        <v>1.2437199999999999</v>
      </c>
      <c r="AH195" s="162">
        <v>1.27694</v>
      </c>
      <c r="AI195" s="162">
        <v>1.31016</v>
      </c>
      <c r="AJ195" s="162">
        <v>1.34338</v>
      </c>
      <c r="AK195" s="162">
        <v>1.3766</v>
      </c>
      <c r="AL195" s="162">
        <v>1.3868</v>
      </c>
      <c r="AM195" s="162">
        <v>1.397</v>
      </c>
      <c r="AN195" s="162">
        <v>1.4072</v>
      </c>
      <c r="AO195" s="162">
        <v>1.4174</v>
      </c>
      <c r="AP195" s="162">
        <v>1.4276</v>
      </c>
      <c r="AQ195" s="162">
        <v>1.4325600000000001</v>
      </c>
      <c r="AR195" s="162">
        <v>1.4375199999999999</v>
      </c>
      <c r="AS195" s="162">
        <v>1.44248</v>
      </c>
      <c r="AT195" s="162">
        <v>1.4474400000000001</v>
      </c>
      <c r="AU195" s="162">
        <v>1.4523999999999999</v>
      </c>
    </row>
    <row r="196" spans="1:47" ht="12.75" customHeight="1">
      <c r="A196" s="459">
        <v>42265</v>
      </c>
      <c r="B196" s="139">
        <v>38</v>
      </c>
      <c r="C196" s="162">
        <v>-0.13300000000000001</v>
      </c>
      <c r="D196" s="162">
        <v>-0.13300000000000001</v>
      </c>
      <c r="E196" s="162">
        <v>-0.13116</v>
      </c>
      <c r="F196" s="162">
        <v>-0.13159999999999999</v>
      </c>
      <c r="G196" s="162">
        <v>-0.13250000000000001</v>
      </c>
      <c r="H196" s="162">
        <v>-0.13302</v>
      </c>
      <c r="I196" s="162">
        <v>-0.1346</v>
      </c>
      <c r="J196" s="162">
        <v>-0.13516</v>
      </c>
      <c r="K196" s="162">
        <v>-0.13980000000000001</v>
      </c>
      <c r="L196" s="162">
        <v>-0.14130000000000001</v>
      </c>
      <c r="M196" s="162">
        <v>-0.14319999999999999</v>
      </c>
      <c r="N196" s="162">
        <v>-0.14299999999999999</v>
      </c>
      <c r="O196" s="162">
        <v>-0.14460000000000001</v>
      </c>
      <c r="P196" s="162">
        <v>-0.14835999999999999</v>
      </c>
      <c r="Q196" s="162">
        <v>-0.14776</v>
      </c>
      <c r="R196" s="162">
        <v>-0.1492</v>
      </c>
      <c r="S196" s="162">
        <v>-0.13800000000000001</v>
      </c>
      <c r="T196" s="162">
        <v>-8.0320000000000003E-2</v>
      </c>
      <c r="U196" s="162">
        <v>7.0000000000000001E-3</v>
      </c>
      <c r="V196" s="162">
        <v>0.1207</v>
      </c>
      <c r="W196" s="162">
        <v>0.252</v>
      </c>
      <c r="X196" s="162">
        <v>0.38940000000000002</v>
      </c>
      <c r="Y196" s="162">
        <v>0.52339999999999998</v>
      </c>
      <c r="Z196" s="162">
        <v>0.6482</v>
      </c>
      <c r="AA196" s="162">
        <v>0.76039999999999996</v>
      </c>
      <c r="AB196" s="162">
        <v>0.86029999999999995</v>
      </c>
      <c r="AC196" s="162">
        <v>0.95099999999999996</v>
      </c>
      <c r="AD196" s="162">
        <v>1.0287599999999999</v>
      </c>
      <c r="AE196" s="162">
        <v>1.0952599999999999</v>
      </c>
      <c r="AF196" s="162">
        <v>1.1524000000000001</v>
      </c>
      <c r="AG196" s="162">
        <v>1.1878200000000001</v>
      </c>
      <c r="AH196" s="162">
        <v>1.2232400000000001</v>
      </c>
      <c r="AI196" s="162">
        <v>1.2586599999999999</v>
      </c>
      <c r="AJ196" s="162">
        <v>1.2940799999999999</v>
      </c>
      <c r="AK196" s="162">
        <v>1.3294999999999999</v>
      </c>
      <c r="AL196" s="162">
        <v>1.34084</v>
      </c>
      <c r="AM196" s="162">
        <v>1.3521799999999999</v>
      </c>
      <c r="AN196" s="162">
        <v>1.3635200000000001</v>
      </c>
      <c r="AO196" s="162">
        <v>1.37486</v>
      </c>
      <c r="AP196" s="162">
        <v>1.3862000000000001</v>
      </c>
      <c r="AQ196" s="162">
        <v>1.3914800000000001</v>
      </c>
      <c r="AR196" s="162">
        <v>1.39676</v>
      </c>
      <c r="AS196" s="162">
        <v>1.40204</v>
      </c>
      <c r="AT196" s="162">
        <v>1.4073199999999999</v>
      </c>
      <c r="AU196" s="162">
        <v>1.4126000000000001</v>
      </c>
    </row>
    <row r="197" spans="1:47" ht="12.75" customHeight="1">
      <c r="A197" s="459">
        <v>42272</v>
      </c>
      <c r="B197" s="139">
        <v>39</v>
      </c>
      <c r="C197" s="162">
        <v>-0.13900000000000001</v>
      </c>
      <c r="D197" s="162">
        <v>-0.13900000000000001</v>
      </c>
      <c r="E197" s="162">
        <v>-0.1338</v>
      </c>
      <c r="F197" s="162">
        <v>-0.13181999999999999</v>
      </c>
      <c r="G197" s="162">
        <v>-0.13422000000000001</v>
      </c>
      <c r="H197" s="162">
        <v>-0.13542000000000001</v>
      </c>
      <c r="I197" s="162">
        <v>-0.13778000000000001</v>
      </c>
      <c r="J197" s="162">
        <v>-0.13880000000000001</v>
      </c>
      <c r="K197" s="162">
        <v>-0.14019999999999999</v>
      </c>
      <c r="L197" s="162">
        <v>-0.14255999999999999</v>
      </c>
      <c r="M197" s="162">
        <v>-0.14405999999999999</v>
      </c>
      <c r="N197" s="162">
        <v>-0.14549999999999999</v>
      </c>
      <c r="O197" s="162">
        <v>-0.14860000000000001</v>
      </c>
      <c r="P197" s="162">
        <v>-0.1482</v>
      </c>
      <c r="Q197" s="162">
        <v>-0.1502</v>
      </c>
      <c r="R197" s="162">
        <v>-0.1515</v>
      </c>
      <c r="S197" s="162">
        <v>-0.1414</v>
      </c>
      <c r="T197" s="162">
        <v>-8.7499999999999994E-2</v>
      </c>
      <c r="U197" s="162">
        <v>1.03E-2</v>
      </c>
      <c r="V197" s="162">
        <v>0.13306000000000001</v>
      </c>
      <c r="W197" s="162">
        <v>0.27010000000000001</v>
      </c>
      <c r="X197" s="162">
        <v>0.41289999999999999</v>
      </c>
      <c r="Y197" s="162">
        <v>0.5514</v>
      </c>
      <c r="Z197" s="162">
        <v>0.67869999999999997</v>
      </c>
      <c r="AA197" s="162">
        <v>0.79400000000000004</v>
      </c>
      <c r="AB197" s="162">
        <v>0.89246000000000003</v>
      </c>
      <c r="AC197" s="162">
        <v>0.98409999999999997</v>
      </c>
      <c r="AD197" s="162">
        <v>1.0639000000000001</v>
      </c>
      <c r="AE197" s="162">
        <v>1.1353</v>
      </c>
      <c r="AF197" s="162">
        <v>1.19096</v>
      </c>
      <c r="AG197" s="162">
        <v>1.2277800000000001</v>
      </c>
      <c r="AH197" s="162">
        <v>1.2645999999999999</v>
      </c>
      <c r="AI197" s="162">
        <v>1.30142</v>
      </c>
      <c r="AJ197" s="162">
        <v>1.3382400000000001</v>
      </c>
      <c r="AK197" s="162">
        <v>1.3750599999999999</v>
      </c>
      <c r="AL197" s="162">
        <v>1.3874880000000001</v>
      </c>
      <c r="AM197" s="162">
        <v>1.3999159999999999</v>
      </c>
      <c r="AN197" s="162">
        <v>1.412344</v>
      </c>
      <c r="AO197" s="162">
        <v>1.4247719999999999</v>
      </c>
      <c r="AP197" s="162">
        <v>1.4372</v>
      </c>
      <c r="AQ197" s="162">
        <v>1.441452</v>
      </c>
      <c r="AR197" s="162">
        <v>1.4457040000000001</v>
      </c>
      <c r="AS197" s="162">
        <v>1.449956</v>
      </c>
      <c r="AT197" s="162">
        <v>1.4542079999999999</v>
      </c>
      <c r="AU197" s="162">
        <v>1.4584600000000001</v>
      </c>
    </row>
    <row r="198" spans="1:47" ht="12.75" customHeight="1">
      <c r="A198" s="459">
        <v>42279</v>
      </c>
      <c r="B198" s="139">
        <v>40</v>
      </c>
      <c r="C198" s="162">
        <v>-0.14324999999999999</v>
      </c>
      <c r="D198" s="162">
        <v>-0.14324999999999999</v>
      </c>
      <c r="E198" s="162">
        <v>-0.13689999999999999</v>
      </c>
      <c r="F198" s="162">
        <v>-0.13880000000000001</v>
      </c>
      <c r="G198" s="162">
        <v>-0.14146</v>
      </c>
      <c r="H198" s="162">
        <v>-0.14268</v>
      </c>
      <c r="I198" s="162">
        <v>-0.14562</v>
      </c>
      <c r="J198" s="162">
        <v>-0.14876</v>
      </c>
      <c r="K198" s="162">
        <v>-0.14885999999999999</v>
      </c>
      <c r="L198" s="162">
        <v>-0.152</v>
      </c>
      <c r="M198" s="162">
        <v>-0.15445999999999999</v>
      </c>
      <c r="N198" s="162">
        <v>-0.1593</v>
      </c>
      <c r="O198" s="162">
        <v>-0.15959999999999999</v>
      </c>
      <c r="P198" s="162">
        <v>-0.16092000000000001</v>
      </c>
      <c r="Q198" s="162">
        <v>-0.16416</v>
      </c>
      <c r="R198" s="162">
        <v>-0.1666</v>
      </c>
      <c r="S198" s="162">
        <v>-0.16059999999999999</v>
      </c>
      <c r="T198" s="162">
        <v>-0.10656</v>
      </c>
      <c r="U198" s="162">
        <v>-1.346E-2</v>
      </c>
      <c r="V198" s="162">
        <v>0.10296</v>
      </c>
      <c r="W198" s="162">
        <v>0.23369999999999999</v>
      </c>
      <c r="X198" s="162">
        <v>0.36899999999999999</v>
      </c>
      <c r="Y198" s="162">
        <v>0.501</v>
      </c>
      <c r="Z198" s="162">
        <v>0.62360000000000004</v>
      </c>
      <c r="AA198" s="162">
        <v>0.73399999999999999</v>
      </c>
      <c r="AB198" s="162">
        <v>0.83248</v>
      </c>
      <c r="AC198" s="162">
        <v>0.92279999999999995</v>
      </c>
      <c r="AD198" s="162">
        <v>1.0015000000000001</v>
      </c>
      <c r="AE198" s="162">
        <v>1.06806</v>
      </c>
      <c r="AF198" s="162">
        <v>1.1251</v>
      </c>
      <c r="AG198" s="162">
        <v>1.1610799999999999</v>
      </c>
      <c r="AH198" s="162">
        <v>1.19706</v>
      </c>
      <c r="AI198" s="162">
        <v>1.2330399999999999</v>
      </c>
      <c r="AJ198" s="162">
        <v>1.26902</v>
      </c>
      <c r="AK198" s="162">
        <v>1.3049999999999999</v>
      </c>
      <c r="AL198" s="162">
        <v>1.31664</v>
      </c>
      <c r="AM198" s="162">
        <v>1.3282799999999999</v>
      </c>
      <c r="AN198" s="162">
        <v>1.33992</v>
      </c>
      <c r="AO198" s="162">
        <v>1.3515600000000001</v>
      </c>
      <c r="AP198" s="162">
        <v>1.3632</v>
      </c>
      <c r="AQ198" s="162">
        <v>1.36714</v>
      </c>
      <c r="AR198" s="162">
        <v>1.3710800000000001</v>
      </c>
      <c r="AS198" s="162">
        <v>1.3750199999999999</v>
      </c>
      <c r="AT198" s="162">
        <v>1.37896</v>
      </c>
      <c r="AU198" s="162">
        <v>1.3829</v>
      </c>
    </row>
    <row r="199" spans="1:47" ht="12.75" customHeight="1">
      <c r="A199" s="459">
        <v>42286</v>
      </c>
      <c r="B199" s="139">
        <v>41</v>
      </c>
      <c r="C199" s="162">
        <v>-0.13625000000000001</v>
      </c>
      <c r="D199" s="162">
        <v>-0.13625000000000001</v>
      </c>
      <c r="E199" s="162">
        <v>-0.1426</v>
      </c>
      <c r="F199" s="162">
        <v>-0.1434</v>
      </c>
      <c r="G199" s="162">
        <v>-0.14052000000000001</v>
      </c>
      <c r="H199" s="162">
        <v>-0.14496000000000001</v>
      </c>
      <c r="I199" s="162">
        <v>-0.14606</v>
      </c>
      <c r="J199" s="162">
        <v>-0.14910000000000001</v>
      </c>
      <c r="K199" s="162">
        <v>-0.15620000000000001</v>
      </c>
      <c r="L199" s="162">
        <v>-0.15670000000000001</v>
      </c>
      <c r="M199" s="162">
        <v>-0.15959999999999999</v>
      </c>
      <c r="N199" s="162">
        <v>-0.1628</v>
      </c>
      <c r="O199" s="162">
        <v>-0.16450000000000001</v>
      </c>
      <c r="P199" s="162">
        <v>-0.16889999999999999</v>
      </c>
      <c r="Q199" s="162">
        <v>-0.1716</v>
      </c>
      <c r="R199" s="162">
        <v>-0.17299999999999999</v>
      </c>
      <c r="S199" s="162">
        <v>-0.17199999999999999</v>
      </c>
      <c r="T199" s="162">
        <v>-0.1232</v>
      </c>
      <c r="U199" s="162">
        <v>-3.4799999999999998E-2</v>
      </c>
      <c r="V199" s="162">
        <v>7.4260000000000007E-2</v>
      </c>
      <c r="W199" s="162">
        <v>0.19966</v>
      </c>
      <c r="X199" s="162">
        <v>0.33176</v>
      </c>
      <c r="Y199" s="162">
        <v>0.45851999999999998</v>
      </c>
      <c r="Z199" s="162">
        <v>0.57755999999999996</v>
      </c>
      <c r="AA199" s="162">
        <v>0.68615999999999999</v>
      </c>
      <c r="AB199" s="162">
        <v>0.78505999999999998</v>
      </c>
      <c r="AC199" s="162">
        <v>0.87316000000000005</v>
      </c>
      <c r="AD199" s="162">
        <v>0.95326</v>
      </c>
      <c r="AE199" s="162">
        <v>1.0215000000000001</v>
      </c>
      <c r="AF199" s="162">
        <v>1.08016</v>
      </c>
      <c r="AG199" s="162">
        <v>1.1166</v>
      </c>
      <c r="AH199" s="162">
        <v>1.1530400000000001</v>
      </c>
      <c r="AI199" s="162">
        <v>1.1894800000000001</v>
      </c>
      <c r="AJ199" s="162">
        <v>1.2259199999999999</v>
      </c>
      <c r="AK199" s="162">
        <v>1.2623599999999999</v>
      </c>
      <c r="AL199" s="162">
        <v>1.2732000000000001</v>
      </c>
      <c r="AM199" s="162">
        <v>1.2840400000000001</v>
      </c>
      <c r="AN199" s="162">
        <v>1.29488</v>
      </c>
      <c r="AO199" s="162">
        <v>1.30572</v>
      </c>
      <c r="AP199" s="162">
        <v>1.31656</v>
      </c>
      <c r="AQ199" s="162">
        <v>1.320292</v>
      </c>
      <c r="AR199" s="162">
        <v>1.3240240000000001</v>
      </c>
      <c r="AS199" s="162">
        <v>1.3277559999999999</v>
      </c>
      <c r="AT199" s="162">
        <v>1.331488</v>
      </c>
      <c r="AU199" s="162">
        <v>1.3352200000000001</v>
      </c>
    </row>
    <row r="200" spans="1:47" ht="12.75" customHeight="1">
      <c r="A200" s="459">
        <v>42293</v>
      </c>
      <c r="B200" s="139">
        <v>42</v>
      </c>
      <c r="C200" s="162">
        <v>-0.13875000000000001</v>
      </c>
      <c r="D200" s="162">
        <v>-0.13875000000000001</v>
      </c>
      <c r="E200" s="162">
        <v>-0.14026</v>
      </c>
      <c r="F200" s="162">
        <v>-0.14019999999999999</v>
      </c>
      <c r="G200" s="162">
        <v>-0.14105999999999999</v>
      </c>
      <c r="H200" s="162">
        <v>-0.14555999999999999</v>
      </c>
      <c r="I200" s="162">
        <v>-0.1462</v>
      </c>
      <c r="J200" s="162">
        <v>-0.15079999999999999</v>
      </c>
      <c r="K200" s="162">
        <v>-0.1545</v>
      </c>
      <c r="L200" s="162">
        <v>-0.1578</v>
      </c>
      <c r="M200" s="162">
        <v>-0.1608</v>
      </c>
      <c r="N200" s="162">
        <v>-0.16136</v>
      </c>
      <c r="O200" s="162">
        <v>-0.16309999999999999</v>
      </c>
      <c r="P200" s="162">
        <v>-0.16750000000000001</v>
      </c>
      <c r="Q200" s="162">
        <v>-0.16900000000000001</v>
      </c>
      <c r="R200" s="162">
        <v>-0.17030000000000001</v>
      </c>
      <c r="S200" s="162">
        <v>-0.1608</v>
      </c>
      <c r="T200" s="162">
        <v>-0.1128</v>
      </c>
      <c r="U200" s="162">
        <v>-2.3199999999999998E-2</v>
      </c>
      <c r="V200" s="162">
        <v>9.0459999999999999E-2</v>
      </c>
      <c r="W200" s="162">
        <v>0.22009999999999999</v>
      </c>
      <c r="X200" s="162">
        <v>0.35560000000000003</v>
      </c>
      <c r="Y200" s="162">
        <v>0.48570000000000002</v>
      </c>
      <c r="Z200" s="162">
        <v>0.60685999999999996</v>
      </c>
      <c r="AA200" s="162">
        <v>0.7167</v>
      </c>
      <c r="AB200" s="162">
        <v>0.81445999999999996</v>
      </c>
      <c r="AC200" s="162">
        <v>0.90149999999999997</v>
      </c>
      <c r="AD200" s="162">
        <v>0.98050000000000004</v>
      </c>
      <c r="AE200" s="162">
        <v>1.04796</v>
      </c>
      <c r="AF200" s="162">
        <v>1.1057600000000001</v>
      </c>
      <c r="AG200" s="162">
        <v>1.1420999999999999</v>
      </c>
      <c r="AH200" s="162">
        <v>1.1784399999999999</v>
      </c>
      <c r="AI200" s="162">
        <v>1.21478</v>
      </c>
      <c r="AJ200" s="162">
        <v>1.25112</v>
      </c>
      <c r="AK200" s="162">
        <v>1.28746</v>
      </c>
      <c r="AL200" s="162">
        <v>1.2983480000000001</v>
      </c>
      <c r="AM200" s="162">
        <v>1.3092360000000001</v>
      </c>
      <c r="AN200" s="162">
        <v>1.3201240000000001</v>
      </c>
      <c r="AO200" s="162">
        <v>1.3310120000000001</v>
      </c>
      <c r="AP200" s="162">
        <v>1.3419000000000001</v>
      </c>
      <c r="AQ200" s="162">
        <v>1.345852</v>
      </c>
      <c r="AR200" s="162">
        <v>1.349804</v>
      </c>
      <c r="AS200" s="162">
        <v>1.353756</v>
      </c>
      <c r="AT200" s="162">
        <v>1.3577079999999999</v>
      </c>
      <c r="AU200" s="162">
        <v>1.3616600000000001</v>
      </c>
    </row>
    <row r="201" spans="1:47" ht="12.75" customHeight="1">
      <c r="A201" s="459">
        <v>42300</v>
      </c>
      <c r="B201" s="139">
        <v>43</v>
      </c>
      <c r="C201" s="162">
        <v>-0.13700000000000001</v>
      </c>
      <c r="D201" s="162">
        <v>-0.13700000000000001</v>
      </c>
      <c r="E201" s="162">
        <v>-0.1386</v>
      </c>
      <c r="F201" s="162">
        <v>-0.14026</v>
      </c>
      <c r="G201" s="162">
        <v>-0.14182</v>
      </c>
      <c r="H201" s="162">
        <v>-0.14568</v>
      </c>
      <c r="I201" s="162">
        <v>-0.15038000000000001</v>
      </c>
      <c r="J201" s="162">
        <v>-0.15465999999999999</v>
      </c>
      <c r="K201" s="162">
        <v>-0.1578</v>
      </c>
      <c r="L201" s="162">
        <v>-0.16309999999999999</v>
      </c>
      <c r="M201" s="162">
        <v>-0.16550000000000001</v>
      </c>
      <c r="N201" s="162">
        <v>-0.16866</v>
      </c>
      <c r="O201" s="162">
        <v>-0.17119999999999999</v>
      </c>
      <c r="P201" s="162">
        <v>-0.17435999999999999</v>
      </c>
      <c r="Q201" s="162">
        <v>-0.1754</v>
      </c>
      <c r="R201" s="162">
        <v>-0.1767</v>
      </c>
      <c r="S201" s="162">
        <v>-0.1714</v>
      </c>
      <c r="T201" s="162">
        <v>-0.1232</v>
      </c>
      <c r="U201" s="162">
        <v>-3.9059999999999997E-2</v>
      </c>
      <c r="V201" s="162">
        <v>6.9459999999999994E-2</v>
      </c>
      <c r="W201" s="162">
        <v>0.19475999999999999</v>
      </c>
      <c r="X201" s="162">
        <v>0.32800000000000001</v>
      </c>
      <c r="Y201" s="162">
        <v>0.45900000000000002</v>
      </c>
      <c r="Z201" s="162">
        <v>0.57979999999999998</v>
      </c>
      <c r="AA201" s="162">
        <v>0.68789999999999996</v>
      </c>
      <c r="AB201" s="162">
        <v>0.78698000000000001</v>
      </c>
      <c r="AC201" s="162">
        <v>0.87619999999999998</v>
      </c>
      <c r="AD201" s="162">
        <v>0.95589999999999997</v>
      </c>
      <c r="AE201" s="162">
        <v>1.0244599999999999</v>
      </c>
      <c r="AF201" s="162">
        <v>1.0851</v>
      </c>
      <c r="AG201" s="162">
        <v>1.12262</v>
      </c>
      <c r="AH201" s="162">
        <v>1.1601399999999999</v>
      </c>
      <c r="AI201" s="162">
        <v>1.1976599999999999</v>
      </c>
      <c r="AJ201" s="162">
        <v>1.2351799999999999</v>
      </c>
      <c r="AK201" s="162">
        <v>1.2726999999999999</v>
      </c>
      <c r="AL201" s="162">
        <v>1.28444</v>
      </c>
      <c r="AM201" s="162">
        <v>1.2961800000000001</v>
      </c>
      <c r="AN201" s="162">
        <v>1.30792</v>
      </c>
      <c r="AO201" s="162">
        <v>1.3196600000000001</v>
      </c>
      <c r="AP201" s="162">
        <v>1.3313999999999999</v>
      </c>
      <c r="AQ201" s="162">
        <v>1.33592</v>
      </c>
      <c r="AR201" s="162">
        <v>1.3404400000000001</v>
      </c>
      <c r="AS201" s="162">
        <v>1.3449599999999999</v>
      </c>
      <c r="AT201" s="162">
        <v>1.34948</v>
      </c>
      <c r="AU201" s="162">
        <v>1.3540000000000001</v>
      </c>
    </row>
    <row r="202" spans="1:47" ht="12.75" customHeight="1">
      <c r="A202" s="459">
        <v>42307</v>
      </c>
      <c r="B202" s="139">
        <v>44</v>
      </c>
      <c r="C202" s="162">
        <v>-0.13900000000000001</v>
      </c>
      <c r="D202" s="162">
        <v>-0.13900000000000001</v>
      </c>
      <c r="E202" s="162">
        <v>-0.1414</v>
      </c>
      <c r="F202" s="162">
        <v>-0.14102500000000001</v>
      </c>
      <c r="G202" s="162">
        <v>-0.14502499999999999</v>
      </c>
      <c r="H202" s="162">
        <v>-0.15225</v>
      </c>
      <c r="I202" s="162">
        <v>-0.16287499999999999</v>
      </c>
      <c r="J202" s="162">
        <v>-0.16562499999999999</v>
      </c>
      <c r="K202" s="162">
        <v>-0.17150000000000001</v>
      </c>
      <c r="L202" s="162">
        <v>-0.17649999999999999</v>
      </c>
      <c r="M202" s="162">
        <v>-0.18295</v>
      </c>
      <c r="N202" s="162">
        <v>-0.18375</v>
      </c>
      <c r="O202" s="162">
        <v>-0.18745000000000001</v>
      </c>
      <c r="P202" s="162">
        <v>-0.1885</v>
      </c>
      <c r="Q202" s="162">
        <v>-0.1905</v>
      </c>
      <c r="R202" s="162">
        <v>-0.193</v>
      </c>
      <c r="S202" s="162">
        <v>-0.1865</v>
      </c>
      <c r="T202" s="162">
        <v>-0.13900000000000001</v>
      </c>
      <c r="U202" s="162">
        <v>-4.7625000000000001E-2</v>
      </c>
      <c r="V202" s="162">
        <v>6.4375000000000002E-2</v>
      </c>
      <c r="W202" s="162">
        <v>0.19037499999999999</v>
      </c>
      <c r="X202" s="162">
        <v>0.32737500000000003</v>
      </c>
      <c r="Y202" s="162">
        <v>0.46050000000000002</v>
      </c>
      <c r="Z202" s="162">
        <v>0.58425000000000005</v>
      </c>
      <c r="AA202" s="162">
        <v>0.69474999999999998</v>
      </c>
      <c r="AB202" s="162">
        <v>0.79517499999999997</v>
      </c>
      <c r="AC202" s="162">
        <v>0.88570000000000004</v>
      </c>
      <c r="AD202" s="162">
        <v>0.96375</v>
      </c>
      <c r="AE202" s="162">
        <v>1.0327500000000001</v>
      </c>
      <c r="AF202" s="162">
        <v>1.0943750000000001</v>
      </c>
      <c r="AG202" s="162">
        <v>1.132325</v>
      </c>
      <c r="AH202" s="162">
        <v>1.170275</v>
      </c>
      <c r="AI202" s="162">
        <v>1.2082250000000001</v>
      </c>
      <c r="AJ202" s="162">
        <v>1.246175</v>
      </c>
      <c r="AK202" s="162">
        <v>1.284125</v>
      </c>
      <c r="AL202" s="162">
        <v>1.2964249999999999</v>
      </c>
      <c r="AM202" s="162">
        <v>1.3087249999999999</v>
      </c>
      <c r="AN202" s="162">
        <v>1.3210249999999999</v>
      </c>
      <c r="AO202" s="162">
        <v>1.3333250000000001</v>
      </c>
      <c r="AP202" s="162">
        <v>1.3456250000000001</v>
      </c>
      <c r="AQ202" s="162">
        <v>1.3505149999999999</v>
      </c>
      <c r="AR202" s="162">
        <v>1.355405</v>
      </c>
      <c r="AS202" s="162">
        <v>1.360295</v>
      </c>
      <c r="AT202" s="162">
        <v>1.3651850000000001</v>
      </c>
      <c r="AU202" s="162">
        <v>1.3700749999999999</v>
      </c>
    </row>
    <row r="203" spans="1:47" ht="12.75" customHeight="1">
      <c r="A203" s="459">
        <v>42314</v>
      </c>
      <c r="B203" s="139">
        <v>45</v>
      </c>
      <c r="C203" s="162">
        <v>-0.14224999999999999</v>
      </c>
      <c r="D203" s="162">
        <v>-0.14224999999999999</v>
      </c>
      <c r="E203" s="162">
        <v>-0.14000000000000001</v>
      </c>
      <c r="F203" s="162">
        <v>-0.1419</v>
      </c>
      <c r="G203" s="162">
        <v>-0.14308000000000001</v>
      </c>
      <c r="H203" s="162">
        <v>-0.16996</v>
      </c>
      <c r="I203" s="162">
        <v>-0.18812000000000001</v>
      </c>
      <c r="J203" s="162">
        <v>-0.19769999999999999</v>
      </c>
      <c r="K203" s="162">
        <v>-0.20749999999999999</v>
      </c>
      <c r="L203" s="162">
        <v>-0.21410000000000001</v>
      </c>
      <c r="M203" s="162">
        <v>-0.2203</v>
      </c>
      <c r="N203" s="162">
        <v>-0.22639999999999999</v>
      </c>
      <c r="O203" s="162">
        <v>-0.23326</v>
      </c>
      <c r="P203" s="162">
        <v>-0.23505999999999999</v>
      </c>
      <c r="Q203" s="162">
        <v>-0.24016000000000001</v>
      </c>
      <c r="R203" s="162">
        <v>-0.24396000000000001</v>
      </c>
      <c r="S203" s="162">
        <v>-0.24840000000000001</v>
      </c>
      <c r="T203" s="162">
        <v>-0.20519999999999999</v>
      </c>
      <c r="U203" s="162">
        <v>-0.10876</v>
      </c>
      <c r="V203" s="162">
        <v>-4.0000000000000003E-5</v>
      </c>
      <c r="W203" s="162">
        <v>0.1285</v>
      </c>
      <c r="X203" s="162">
        <v>0.26275999999999999</v>
      </c>
      <c r="Y203" s="162">
        <v>0.39526</v>
      </c>
      <c r="Z203" s="162">
        <v>0.51839999999999997</v>
      </c>
      <c r="AA203" s="162">
        <v>0.63036000000000003</v>
      </c>
      <c r="AB203" s="162">
        <v>0.73107999999999995</v>
      </c>
      <c r="AC203" s="162">
        <v>0.82220000000000004</v>
      </c>
      <c r="AD203" s="162">
        <v>0.9</v>
      </c>
      <c r="AE203" s="162">
        <v>0.96896000000000004</v>
      </c>
      <c r="AF203" s="162">
        <v>1.0257000000000001</v>
      </c>
      <c r="AG203" s="162">
        <v>1.0646119999999999</v>
      </c>
      <c r="AH203" s="162">
        <v>1.1035239999999999</v>
      </c>
      <c r="AI203" s="162">
        <v>1.142436</v>
      </c>
      <c r="AJ203" s="162">
        <v>1.1813480000000001</v>
      </c>
      <c r="AK203" s="162">
        <v>1.2202599999999999</v>
      </c>
      <c r="AL203" s="162">
        <v>1.2334000000000001</v>
      </c>
      <c r="AM203" s="162">
        <v>1.24654</v>
      </c>
      <c r="AN203" s="162">
        <v>1.2596799999999999</v>
      </c>
      <c r="AO203" s="162">
        <v>1.2728200000000001</v>
      </c>
      <c r="AP203" s="162">
        <v>1.28596</v>
      </c>
      <c r="AQ203" s="162">
        <v>1.2917000000000001</v>
      </c>
      <c r="AR203" s="162">
        <v>1.2974399999999999</v>
      </c>
      <c r="AS203" s="162">
        <v>1.30318</v>
      </c>
      <c r="AT203" s="162">
        <v>1.3089200000000001</v>
      </c>
      <c r="AU203" s="162">
        <v>1.3146599999999999</v>
      </c>
    </row>
    <row r="204" spans="1:47" ht="12.75" customHeight="1">
      <c r="A204" s="459">
        <v>42321</v>
      </c>
      <c r="B204" s="139">
        <v>46</v>
      </c>
      <c r="C204" s="162">
        <v>-0.1305</v>
      </c>
      <c r="D204" s="162">
        <v>-0.1305</v>
      </c>
      <c r="E204" s="162">
        <v>-0.13669999999999999</v>
      </c>
      <c r="F204" s="162">
        <v>-0.13686000000000001</v>
      </c>
      <c r="G204" s="162">
        <v>-0.13941999999999999</v>
      </c>
      <c r="H204" s="162">
        <v>-0.17132</v>
      </c>
      <c r="I204" s="162">
        <v>-0.19006000000000001</v>
      </c>
      <c r="J204" s="162">
        <v>-0.20050000000000001</v>
      </c>
      <c r="K204" s="162">
        <v>-0.20949999999999999</v>
      </c>
      <c r="L204" s="162">
        <v>-0.2167</v>
      </c>
      <c r="M204" s="162">
        <v>-0.22375999999999999</v>
      </c>
      <c r="N204" s="162">
        <v>-0.22816</v>
      </c>
      <c r="O204" s="162">
        <v>-0.23649999999999999</v>
      </c>
      <c r="P204" s="162">
        <v>-0.23799999999999999</v>
      </c>
      <c r="Q204" s="162">
        <v>-0.24346000000000001</v>
      </c>
      <c r="R204" s="162">
        <v>-0.24665999999999999</v>
      </c>
      <c r="S204" s="162">
        <v>-0.24579999999999999</v>
      </c>
      <c r="T204" s="162">
        <v>-0.1908</v>
      </c>
      <c r="U204" s="162">
        <v>-9.0899999999999995E-2</v>
      </c>
      <c r="V204" s="162">
        <v>3.2099999999999997E-2</v>
      </c>
      <c r="W204" s="162">
        <v>0.17080000000000001</v>
      </c>
      <c r="X204" s="162">
        <v>0.31569999999999998</v>
      </c>
      <c r="Y204" s="162">
        <v>0.45626</v>
      </c>
      <c r="Z204" s="162">
        <v>0.58579999999999999</v>
      </c>
      <c r="AA204" s="162">
        <v>0.70355999999999996</v>
      </c>
      <c r="AB204" s="162">
        <v>0.81237999999999999</v>
      </c>
      <c r="AC204" s="162">
        <v>0.90339999999999998</v>
      </c>
      <c r="AD204" s="162">
        <v>0.98555999999999999</v>
      </c>
      <c r="AE204" s="162">
        <v>1.05766</v>
      </c>
      <c r="AF204" s="162">
        <v>1.1227</v>
      </c>
      <c r="AG204" s="162">
        <v>1.16296</v>
      </c>
      <c r="AH204" s="162">
        <v>1.20322</v>
      </c>
      <c r="AI204" s="162">
        <v>1.2434799999999999</v>
      </c>
      <c r="AJ204" s="162">
        <v>1.2837400000000001</v>
      </c>
      <c r="AK204" s="162">
        <v>1.3240000000000001</v>
      </c>
      <c r="AL204" s="162">
        <v>1.3373520000000001</v>
      </c>
      <c r="AM204" s="162">
        <v>1.3507039999999999</v>
      </c>
      <c r="AN204" s="162">
        <v>1.3640559999999999</v>
      </c>
      <c r="AO204" s="162">
        <v>1.377408</v>
      </c>
      <c r="AP204" s="162">
        <v>1.39076</v>
      </c>
      <c r="AQ204" s="162">
        <v>1.3970400000000001</v>
      </c>
      <c r="AR204" s="162">
        <v>1.4033199999999999</v>
      </c>
      <c r="AS204" s="162">
        <v>1.4096</v>
      </c>
      <c r="AT204" s="162">
        <v>1.41588</v>
      </c>
      <c r="AU204" s="162">
        <v>1.4221600000000001</v>
      </c>
    </row>
    <row r="205" spans="1:47" ht="12.75" customHeight="1">
      <c r="A205" s="459">
        <v>42328</v>
      </c>
      <c r="B205" s="139">
        <v>47</v>
      </c>
      <c r="C205" s="162">
        <v>-0.13833329999999999</v>
      </c>
      <c r="D205" s="162">
        <v>-0.13833329999999999</v>
      </c>
      <c r="E205" s="162">
        <v>-0.13850000000000001</v>
      </c>
      <c r="F205" s="162">
        <v>-0.14025000000000001</v>
      </c>
      <c r="G205" s="162">
        <v>-0.1542</v>
      </c>
      <c r="H205" s="162">
        <v>-0.191825</v>
      </c>
      <c r="I205" s="162">
        <v>-0.21199999999999999</v>
      </c>
      <c r="J205" s="162">
        <v>-0.22525000000000001</v>
      </c>
      <c r="K205" s="162">
        <v>-0.233125</v>
      </c>
      <c r="L205" s="162">
        <v>-0.24312500000000001</v>
      </c>
      <c r="M205" s="162">
        <v>-0.25062499999999999</v>
      </c>
      <c r="N205" s="162">
        <v>-0.25812499999999999</v>
      </c>
      <c r="O205" s="162">
        <v>-0.26524999999999999</v>
      </c>
      <c r="P205" s="162">
        <v>-0.27124999999999999</v>
      </c>
      <c r="Q205" s="162">
        <v>-0.27350000000000002</v>
      </c>
      <c r="R205" s="162">
        <v>-0.27700000000000002</v>
      </c>
      <c r="S205" s="162">
        <v>-0.28000000000000003</v>
      </c>
      <c r="T205" s="162">
        <v>-0.22425</v>
      </c>
      <c r="U205" s="162">
        <v>-0.11774999999999999</v>
      </c>
      <c r="V205" s="162">
        <v>1.095E-2</v>
      </c>
      <c r="W205" s="162">
        <v>0.15887499999999999</v>
      </c>
      <c r="X205" s="162">
        <v>0.31487500000000002</v>
      </c>
      <c r="Y205" s="162">
        <v>0.46494999999999997</v>
      </c>
      <c r="Z205" s="162">
        <v>0.60445000000000004</v>
      </c>
      <c r="AA205" s="162">
        <v>0.72775000000000001</v>
      </c>
      <c r="AB205" s="162">
        <v>0.83832499999999999</v>
      </c>
      <c r="AC205" s="162">
        <v>0.9385</v>
      </c>
      <c r="AD205" s="162">
        <v>1.0249999999999999</v>
      </c>
      <c r="AE205" s="162">
        <v>1.1003750000000001</v>
      </c>
      <c r="AF205" s="162">
        <v>1.166825</v>
      </c>
      <c r="AG205" s="162">
        <v>1.2088000000000001</v>
      </c>
      <c r="AH205" s="162">
        <v>1.250775</v>
      </c>
      <c r="AI205" s="162">
        <v>1.2927500000000001</v>
      </c>
      <c r="AJ205" s="162">
        <v>1.3347249999999999</v>
      </c>
      <c r="AK205" s="162">
        <v>1.3767</v>
      </c>
      <c r="AL205" s="162">
        <v>1.3911500000000001</v>
      </c>
      <c r="AM205" s="162">
        <v>1.4056</v>
      </c>
      <c r="AN205" s="162">
        <v>1.42005</v>
      </c>
      <c r="AO205" s="162">
        <v>1.4345000000000001</v>
      </c>
      <c r="AP205" s="162">
        <v>1.44895</v>
      </c>
      <c r="AQ205" s="162">
        <v>1.4558</v>
      </c>
      <c r="AR205" s="162">
        <v>1.46265</v>
      </c>
      <c r="AS205" s="162">
        <v>1.4695</v>
      </c>
      <c r="AT205" s="162">
        <v>1.4763500000000001</v>
      </c>
      <c r="AU205" s="162">
        <v>1.4832000000000001</v>
      </c>
    </row>
    <row r="206" spans="1:47" ht="12.75" customHeight="1">
      <c r="A206" s="459">
        <v>42335</v>
      </c>
      <c r="B206" s="139">
        <v>48</v>
      </c>
      <c r="C206" s="162">
        <v>-0.13375000000000001</v>
      </c>
      <c r="D206" s="162">
        <v>-0.13375000000000001</v>
      </c>
      <c r="E206" s="162">
        <v>-0.13586000000000001</v>
      </c>
      <c r="F206" s="162">
        <v>-0.13552</v>
      </c>
      <c r="G206" s="162">
        <v>-0.18548000000000001</v>
      </c>
      <c r="H206" s="162">
        <v>-0.21915999999999999</v>
      </c>
      <c r="I206" s="162">
        <v>-0.23582</v>
      </c>
      <c r="J206" s="162">
        <v>-0.24636</v>
      </c>
      <c r="K206" s="162">
        <v>-0.25509999999999999</v>
      </c>
      <c r="L206" s="162">
        <v>-0.26190000000000002</v>
      </c>
      <c r="M206" s="162">
        <v>-0.26790000000000003</v>
      </c>
      <c r="N206" s="162">
        <v>-0.2772</v>
      </c>
      <c r="O206" s="162">
        <v>-0.27800000000000002</v>
      </c>
      <c r="P206" s="162">
        <v>-0.2833</v>
      </c>
      <c r="Q206" s="162">
        <v>-0.2868</v>
      </c>
      <c r="R206" s="162">
        <v>-0.28915999999999997</v>
      </c>
      <c r="S206" s="162">
        <v>-0.29580000000000001</v>
      </c>
      <c r="T206" s="162">
        <v>-0.24540000000000001</v>
      </c>
      <c r="U206" s="162">
        <v>-0.14960000000000001</v>
      </c>
      <c r="V206" s="162">
        <v>-3.1199999999999999E-2</v>
      </c>
      <c r="W206" s="162">
        <v>0.10580000000000001</v>
      </c>
      <c r="X206" s="162">
        <v>0.2482</v>
      </c>
      <c r="Y206" s="162">
        <v>0.38966000000000001</v>
      </c>
      <c r="Z206" s="162">
        <v>0.52195999999999998</v>
      </c>
      <c r="AA206" s="162">
        <v>0.6401</v>
      </c>
      <c r="AB206" s="162">
        <v>0.74965999999999999</v>
      </c>
      <c r="AC206" s="162">
        <v>0.84509999999999996</v>
      </c>
      <c r="AD206" s="162">
        <v>0.93035999999999996</v>
      </c>
      <c r="AE206" s="162">
        <v>1.004</v>
      </c>
      <c r="AF206" s="162">
        <v>1.0670599999999999</v>
      </c>
      <c r="AG206" s="162">
        <v>1.107788</v>
      </c>
      <c r="AH206" s="162">
        <v>1.1485160000000001</v>
      </c>
      <c r="AI206" s="162">
        <v>1.189244</v>
      </c>
      <c r="AJ206" s="162">
        <v>1.2299720000000001</v>
      </c>
      <c r="AK206" s="162">
        <v>1.2706999999999999</v>
      </c>
      <c r="AL206" s="162">
        <v>1.2845</v>
      </c>
      <c r="AM206" s="162">
        <v>1.2983</v>
      </c>
      <c r="AN206" s="162">
        <v>1.3121</v>
      </c>
      <c r="AO206" s="162">
        <v>1.3259000000000001</v>
      </c>
      <c r="AP206" s="162">
        <v>1.3396999999999999</v>
      </c>
      <c r="AQ206" s="162">
        <v>1.3456319999999999</v>
      </c>
      <c r="AR206" s="162">
        <v>1.351564</v>
      </c>
      <c r="AS206" s="162">
        <v>1.357496</v>
      </c>
      <c r="AT206" s="162">
        <v>1.3634280000000001</v>
      </c>
      <c r="AU206" s="162">
        <v>1.3693599999999999</v>
      </c>
    </row>
    <row r="207" spans="1:47" ht="12.75" customHeight="1">
      <c r="A207" s="459">
        <v>42342</v>
      </c>
      <c r="B207" s="139">
        <v>49</v>
      </c>
      <c r="C207" s="162">
        <v>-0.13750000000000001</v>
      </c>
      <c r="D207" s="162">
        <v>-0.13750000000000001</v>
      </c>
      <c r="E207" s="162">
        <v>-0.1343</v>
      </c>
      <c r="F207" s="162">
        <v>-0.16496</v>
      </c>
      <c r="G207" s="162">
        <v>-0.23066</v>
      </c>
      <c r="H207" s="162">
        <v>-0.25469999999999998</v>
      </c>
      <c r="I207" s="162">
        <v>-0.27141999999999999</v>
      </c>
      <c r="J207" s="162">
        <v>-0.27860000000000001</v>
      </c>
      <c r="K207" s="162">
        <v>-0.28660000000000002</v>
      </c>
      <c r="L207" s="162">
        <v>-0.29315999999999998</v>
      </c>
      <c r="M207" s="162">
        <v>-0.29899999999999999</v>
      </c>
      <c r="N207" s="162">
        <v>-0.30015999999999998</v>
      </c>
      <c r="O207" s="162">
        <v>-0.30446000000000001</v>
      </c>
      <c r="P207" s="162">
        <v>-0.31209999999999999</v>
      </c>
      <c r="Q207" s="162">
        <v>-0.314</v>
      </c>
      <c r="R207" s="162">
        <v>-0.31759999999999999</v>
      </c>
      <c r="S207" s="162">
        <v>-0.3276</v>
      </c>
      <c r="T207" s="162">
        <v>-0.2848</v>
      </c>
      <c r="U207" s="162">
        <v>-0.18876000000000001</v>
      </c>
      <c r="V207" s="162">
        <v>-7.016E-2</v>
      </c>
      <c r="W207" s="162">
        <v>6.5659999999999996E-2</v>
      </c>
      <c r="X207" s="162">
        <v>0.2104</v>
      </c>
      <c r="Y207" s="162">
        <v>0.35246</v>
      </c>
      <c r="Z207" s="162">
        <v>0.48586000000000001</v>
      </c>
      <c r="AA207" s="162">
        <v>0.60565999999999998</v>
      </c>
      <c r="AB207" s="162">
        <v>0.71457999999999999</v>
      </c>
      <c r="AC207" s="162">
        <v>0.80966000000000005</v>
      </c>
      <c r="AD207" s="162">
        <v>0.89490000000000003</v>
      </c>
      <c r="AE207" s="162">
        <v>0.96879999999999999</v>
      </c>
      <c r="AF207" s="162">
        <v>1.0303599999999999</v>
      </c>
      <c r="AG207" s="162">
        <v>1.071088</v>
      </c>
      <c r="AH207" s="162">
        <v>1.1118159999999999</v>
      </c>
      <c r="AI207" s="162">
        <v>1.152544</v>
      </c>
      <c r="AJ207" s="162">
        <v>1.1932720000000001</v>
      </c>
      <c r="AK207" s="162">
        <v>1.234</v>
      </c>
      <c r="AL207" s="162">
        <v>1.24658</v>
      </c>
      <c r="AM207" s="162">
        <v>1.2591600000000001</v>
      </c>
      <c r="AN207" s="162">
        <v>1.2717400000000001</v>
      </c>
      <c r="AO207" s="162">
        <v>1.2843199999999999</v>
      </c>
      <c r="AP207" s="162">
        <v>1.2968999999999999</v>
      </c>
      <c r="AQ207" s="162">
        <v>1.30172</v>
      </c>
      <c r="AR207" s="162">
        <v>1.30654</v>
      </c>
      <c r="AS207" s="162">
        <v>1.3113600000000001</v>
      </c>
      <c r="AT207" s="162">
        <v>1.3161799999999999</v>
      </c>
      <c r="AU207" s="162">
        <v>1.321</v>
      </c>
    </row>
    <row r="208" spans="1:47" ht="12.75" customHeight="1">
      <c r="A208" s="459">
        <v>42349</v>
      </c>
      <c r="B208" s="139">
        <v>50</v>
      </c>
      <c r="C208" s="162">
        <v>-0.13150000000000001</v>
      </c>
      <c r="D208" s="162">
        <v>-0.13150000000000001</v>
      </c>
      <c r="E208" s="162">
        <v>-0.16930000000000001</v>
      </c>
      <c r="F208" s="162">
        <v>-0.20730000000000001</v>
      </c>
      <c r="G208" s="162">
        <v>-0.22345999999999999</v>
      </c>
      <c r="H208" s="162">
        <v>-0.24306</v>
      </c>
      <c r="I208" s="162">
        <v>-0.25190000000000001</v>
      </c>
      <c r="J208" s="162">
        <v>-0.26129999999999998</v>
      </c>
      <c r="K208" s="162">
        <v>-0.26550000000000001</v>
      </c>
      <c r="L208" s="162">
        <v>-0.27145999999999998</v>
      </c>
      <c r="M208" s="162">
        <v>-0.27539999999999998</v>
      </c>
      <c r="N208" s="162">
        <v>-0.28079999999999999</v>
      </c>
      <c r="O208" s="162">
        <v>-0.28439999999999999</v>
      </c>
      <c r="P208" s="162">
        <v>-0.28749999999999998</v>
      </c>
      <c r="Q208" s="162">
        <v>-0.28999999999999998</v>
      </c>
      <c r="R208" s="162">
        <v>-0.29160000000000003</v>
      </c>
      <c r="S208" s="162">
        <v>-0.29420000000000002</v>
      </c>
      <c r="T208" s="162">
        <v>-0.24696000000000001</v>
      </c>
      <c r="U208" s="162">
        <v>-0.1426</v>
      </c>
      <c r="V208" s="162">
        <v>-1.7299999999999999E-2</v>
      </c>
      <c r="W208" s="162">
        <v>0.12139999999999999</v>
      </c>
      <c r="X208" s="162">
        <v>0.26540000000000002</v>
      </c>
      <c r="Y208" s="162">
        <v>0.40920000000000001</v>
      </c>
      <c r="Z208" s="162">
        <v>0.5454</v>
      </c>
      <c r="AA208" s="162">
        <v>0.66969999999999996</v>
      </c>
      <c r="AB208" s="162">
        <v>0.78112000000000004</v>
      </c>
      <c r="AC208" s="162">
        <v>0.878</v>
      </c>
      <c r="AD208" s="162">
        <v>0.96296000000000004</v>
      </c>
      <c r="AE208" s="162">
        <v>1.0388999999999999</v>
      </c>
      <c r="AF208" s="162">
        <v>1.1040000000000001</v>
      </c>
      <c r="AG208" s="162">
        <v>1.1446799999999999</v>
      </c>
      <c r="AH208" s="162">
        <v>1.18536</v>
      </c>
      <c r="AI208" s="162">
        <v>1.22604</v>
      </c>
      <c r="AJ208" s="162">
        <v>1.2667200000000001</v>
      </c>
      <c r="AK208" s="162">
        <v>1.3073999999999999</v>
      </c>
      <c r="AL208" s="162">
        <v>1.31976</v>
      </c>
      <c r="AM208" s="162">
        <v>1.33212</v>
      </c>
      <c r="AN208" s="162">
        <v>1.3444799999999999</v>
      </c>
      <c r="AO208" s="162">
        <v>1.35684</v>
      </c>
      <c r="AP208" s="162">
        <v>1.3692</v>
      </c>
      <c r="AQ208" s="162">
        <v>1.373132</v>
      </c>
      <c r="AR208" s="162">
        <v>1.3770640000000001</v>
      </c>
      <c r="AS208" s="162">
        <v>1.3809959999999999</v>
      </c>
      <c r="AT208" s="162">
        <v>1.3849279999999999</v>
      </c>
      <c r="AU208" s="162">
        <v>1.38886</v>
      </c>
    </row>
    <row r="209" spans="1:47" ht="12.75" customHeight="1">
      <c r="A209" s="459">
        <v>42356</v>
      </c>
      <c r="B209" s="139">
        <v>51</v>
      </c>
      <c r="C209" s="162">
        <v>-0.189</v>
      </c>
      <c r="D209" s="162">
        <v>-0.189</v>
      </c>
      <c r="E209" s="162">
        <v>-0.21542</v>
      </c>
      <c r="F209" s="162">
        <v>-0.21892</v>
      </c>
      <c r="G209" s="162">
        <v>-0.21382000000000001</v>
      </c>
      <c r="H209" s="162">
        <v>-0.22358</v>
      </c>
      <c r="I209" s="162">
        <v>-0.22736000000000001</v>
      </c>
      <c r="J209" s="162">
        <v>-0.23455999999999999</v>
      </c>
      <c r="K209" s="162">
        <v>-0.2387</v>
      </c>
      <c r="L209" s="162">
        <v>-0.24390000000000001</v>
      </c>
      <c r="M209" s="162">
        <v>-0.2485</v>
      </c>
      <c r="N209" s="162">
        <v>-0.25390000000000001</v>
      </c>
      <c r="O209" s="162">
        <v>-0.2555</v>
      </c>
      <c r="P209" s="162">
        <v>-0.26016</v>
      </c>
      <c r="Q209" s="162">
        <v>-0.26</v>
      </c>
      <c r="R209" s="162">
        <v>-0.2626</v>
      </c>
      <c r="S209" s="162">
        <v>-0.26100000000000001</v>
      </c>
      <c r="T209" s="162">
        <v>-0.2084</v>
      </c>
      <c r="U209" s="162">
        <v>-0.10920000000000001</v>
      </c>
      <c r="V209" s="162">
        <v>1.2840000000000001E-2</v>
      </c>
      <c r="W209" s="162">
        <v>0.14860000000000001</v>
      </c>
      <c r="X209" s="162">
        <v>0.29010000000000002</v>
      </c>
      <c r="Y209" s="162">
        <v>0.43049999999999999</v>
      </c>
      <c r="Z209" s="162">
        <v>0.56210000000000004</v>
      </c>
      <c r="AA209" s="162">
        <v>0.6825</v>
      </c>
      <c r="AB209" s="162">
        <v>0.78996</v>
      </c>
      <c r="AC209" s="162">
        <v>0.88649999999999995</v>
      </c>
      <c r="AD209" s="162">
        <v>0.97006000000000003</v>
      </c>
      <c r="AE209" s="162">
        <v>1.04216</v>
      </c>
      <c r="AF209" s="162">
        <v>1.1059000000000001</v>
      </c>
      <c r="AG209" s="162">
        <v>1.145492</v>
      </c>
      <c r="AH209" s="162">
        <v>1.185084</v>
      </c>
      <c r="AI209" s="162">
        <v>1.2246760000000001</v>
      </c>
      <c r="AJ209" s="162">
        <v>1.2642679999999999</v>
      </c>
      <c r="AK209" s="162">
        <v>1.30386</v>
      </c>
      <c r="AL209" s="162">
        <v>1.3153680000000001</v>
      </c>
      <c r="AM209" s="162">
        <v>1.3268759999999999</v>
      </c>
      <c r="AN209" s="162">
        <v>1.338384</v>
      </c>
      <c r="AO209" s="162">
        <v>1.3498920000000001</v>
      </c>
      <c r="AP209" s="162">
        <v>1.3613999999999999</v>
      </c>
      <c r="AQ209" s="162">
        <v>1.3642319999999999</v>
      </c>
      <c r="AR209" s="162">
        <v>1.3670640000000001</v>
      </c>
      <c r="AS209" s="162">
        <v>1.369896</v>
      </c>
      <c r="AT209" s="162">
        <v>1.3727279999999999</v>
      </c>
      <c r="AU209" s="162">
        <v>1.3755599999999999</v>
      </c>
    </row>
    <row r="210" spans="1:47" ht="12.75" customHeight="1">
      <c r="A210" s="459">
        <v>42363</v>
      </c>
      <c r="B210" s="139">
        <v>52</v>
      </c>
      <c r="C210" s="162">
        <v>-0.23699999999999999</v>
      </c>
      <c r="D210" s="162">
        <v>-0.23699999999999999</v>
      </c>
      <c r="E210" s="162">
        <v>-0.22842000000000001</v>
      </c>
      <c r="F210" s="162">
        <v>-0.21951999999999999</v>
      </c>
      <c r="G210" s="162">
        <v>-0.22048000000000001</v>
      </c>
      <c r="H210" s="162">
        <v>-0.2268</v>
      </c>
      <c r="I210" s="162">
        <v>-0.23155999999999999</v>
      </c>
      <c r="J210" s="162">
        <v>-0.24179999999999999</v>
      </c>
      <c r="K210" s="162">
        <v>-0.24840000000000001</v>
      </c>
      <c r="L210" s="162">
        <v>-0.25319999999999998</v>
      </c>
      <c r="M210" s="162">
        <v>-0.25640000000000002</v>
      </c>
      <c r="N210" s="162">
        <v>-0.2606</v>
      </c>
      <c r="O210" s="162">
        <v>-0.26001999999999997</v>
      </c>
      <c r="P210" s="162">
        <v>-0.26516000000000001</v>
      </c>
      <c r="Q210" s="162">
        <v>-0.2702</v>
      </c>
      <c r="R210" s="162">
        <v>-0.27160000000000001</v>
      </c>
      <c r="S210" s="162">
        <v>-0.26819999999999999</v>
      </c>
      <c r="T210" s="162">
        <v>-0.20346</v>
      </c>
      <c r="U210" s="162">
        <v>-8.77E-2</v>
      </c>
      <c r="V210" s="162">
        <v>4.6800000000000001E-2</v>
      </c>
      <c r="W210" s="162">
        <v>0.187</v>
      </c>
      <c r="X210" s="162">
        <v>0.3301</v>
      </c>
      <c r="Y210" s="162">
        <v>0.47120000000000001</v>
      </c>
      <c r="Z210" s="162">
        <v>0.60329999999999995</v>
      </c>
      <c r="AA210" s="162">
        <v>0.72160000000000002</v>
      </c>
      <c r="AB210" s="162">
        <v>0.82882</v>
      </c>
      <c r="AC210" s="162">
        <v>0.92230000000000001</v>
      </c>
      <c r="AD210" s="162">
        <v>1.0042</v>
      </c>
      <c r="AE210" s="162">
        <v>1.07596</v>
      </c>
      <c r="AF210" s="162">
        <v>1.1377600000000001</v>
      </c>
      <c r="AG210" s="162">
        <v>1.176088</v>
      </c>
      <c r="AH210" s="162">
        <v>1.2144159999999999</v>
      </c>
      <c r="AI210" s="162">
        <v>1.2527440000000001</v>
      </c>
      <c r="AJ210" s="162">
        <v>1.291072</v>
      </c>
      <c r="AK210" s="162">
        <v>1.3293999999999999</v>
      </c>
      <c r="AL210" s="162">
        <v>1.3390919999999999</v>
      </c>
      <c r="AM210" s="162">
        <v>1.348784</v>
      </c>
      <c r="AN210" s="162">
        <v>1.358476</v>
      </c>
      <c r="AO210" s="162">
        <v>1.3681680000000001</v>
      </c>
      <c r="AP210" s="162">
        <v>1.3778600000000001</v>
      </c>
      <c r="AQ210" s="162">
        <v>1.3808480000000001</v>
      </c>
      <c r="AR210" s="162">
        <v>1.3838360000000001</v>
      </c>
      <c r="AS210" s="162">
        <v>1.3868240000000001</v>
      </c>
      <c r="AT210" s="162">
        <v>1.389812</v>
      </c>
      <c r="AU210" s="162">
        <v>1.3928</v>
      </c>
    </row>
    <row r="211" spans="1:47" ht="12.75" customHeight="1">
      <c r="A211" s="459">
        <v>42370</v>
      </c>
      <c r="B211" s="139">
        <v>53</v>
      </c>
      <c r="C211" s="162">
        <v>-0.23200000000000001</v>
      </c>
      <c r="D211" s="162">
        <v>-0.23200000000000001</v>
      </c>
      <c r="E211" s="162">
        <v>-0.20849999999999999</v>
      </c>
      <c r="F211" s="162">
        <v>-0.2102</v>
      </c>
      <c r="G211" s="162">
        <v>-0.2263</v>
      </c>
      <c r="H211" s="162">
        <v>-0.2351</v>
      </c>
      <c r="I211" s="162">
        <v>-0.2382</v>
      </c>
      <c r="J211" s="162">
        <v>-0.2445</v>
      </c>
      <c r="K211" s="162">
        <v>-0.2455</v>
      </c>
      <c r="L211" s="162">
        <v>-0.25409999999999999</v>
      </c>
      <c r="M211" s="162">
        <v>-0.25879999999999997</v>
      </c>
      <c r="N211" s="162">
        <v>-0.26240000000000002</v>
      </c>
      <c r="O211" s="162">
        <v>-0.26540000000000002</v>
      </c>
      <c r="P211" s="162">
        <v>-0.26919999999999999</v>
      </c>
      <c r="Q211" s="162">
        <v>-0.27010000000000001</v>
      </c>
      <c r="R211" s="162">
        <v>-0.27210000000000001</v>
      </c>
      <c r="S211" s="162">
        <v>-0.25600000000000001</v>
      </c>
      <c r="T211" s="162">
        <v>-0.17849999999999999</v>
      </c>
      <c r="U211" s="162">
        <v>-5.9799999999999999E-2</v>
      </c>
      <c r="V211" s="162">
        <v>6.7500000000000004E-2</v>
      </c>
      <c r="W211" s="162">
        <v>0.20630000000000001</v>
      </c>
      <c r="X211" s="162">
        <v>0.3468</v>
      </c>
      <c r="Y211" s="162">
        <v>0.48680000000000001</v>
      </c>
      <c r="Z211" s="162">
        <v>0.61399999999999999</v>
      </c>
      <c r="AA211" s="162">
        <v>0.73</v>
      </c>
      <c r="AB211" s="162">
        <v>0.83579999999999999</v>
      </c>
      <c r="AC211" s="162">
        <v>0.93030000000000002</v>
      </c>
      <c r="AD211" s="162">
        <v>1.0133000000000001</v>
      </c>
      <c r="AE211" s="162">
        <v>1.085</v>
      </c>
      <c r="AF211" s="162">
        <v>1.1485000000000001</v>
      </c>
      <c r="AG211" s="162">
        <v>1.1863999999999999</v>
      </c>
      <c r="AH211" s="162">
        <v>1.2243999999999999</v>
      </c>
      <c r="AI211" s="162">
        <v>1.2623</v>
      </c>
      <c r="AJ211" s="162">
        <v>1.3002</v>
      </c>
      <c r="AK211" s="162">
        <v>1.3381000000000001</v>
      </c>
      <c r="AL211" s="162">
        <v>1.3486</v>
      </c>
      <c r="AM211" s="162">
        <v>1.359</v>
      </c>
      <c r="AN211" s="162">
        <v>1.3694</v>
      </c>
      <c r="AO211" s="162">
        <v>1.3797999999999999</v>
      </c>
      <c r="AP211" s="162">
        <v>1.3903000000000001</v>
      </c>
      <c r="AQ211" s="162">
        <v>1.3932</v>
      </c>
      <c r="AR211" s="162">
        <v>1.3962000000000001</v>
      </c>
      <c r="AS211" s="162">
        <v>1.3991</v>
      </c>
      <c r="AT211" s="162">
        <v>1.4020999999999999</v>
      </c>
      <c r="AU211" s="162">
        <v>1.405</v>
      </c>
    </row>
    <row r="212" spans="1:47" ht="12.75" customHeight="1">
      <c r="A212" s="459">
        <v>42377</v>
      </c>
      <c r="B212" s="139">
        <v>1</v>
      </c>
      <c r="C212" s="162">
        <v>-0.2098333</v>
      </c>
      <c r="D212" s="162">
        <v>-0.2098333</v>
      </c>
      <c r="E212" s="162">
        <v>-0.204265</v>
      </c>
      <c r="F212" s="162">
        <v>-0.21342249999999999</v>
      </c>
      <c r="G212" s="162">
        <v>-0.22423750000000001</v>
      </c>
      <c r="H212" s="162">
        <v>-0.23012250000000001</v>
      </c>
      <c r="I212" s="162">
        <v>-0.23630999999999999</v>
      </c>
      <c r="J212" s="162">
        <v>-0.2445</v>
      </c>
      <c r="K212" s="162">
        <v>-0.249335</v>
      </c>
      <c r="L212" s="162">
        <v>-0.25508750000000002</v>
      </c>
      <c r="M212" s="162">
        <v>-0.26067499999999999</v>
      </c>
      <c r="N212" s="162">
        <v>-0.26216499999999998</v>
      </c>
      <c r="O212" s="162">
        <v>-0.26703749999999998</v>
      </c>
      <c r="P212" s="162">
        <v>-0.27081</v>
      </c>
      <c r="Q212" s="162">
        <v>-0.27134999999999998</v>
      </c>
      <c r="R212" s="162">
        <v>-0.2730725</v>
      </c>
      <c r="S212" s="162">
        <v>-0.25512499999999999</v>
      </c>
      <c r="T212" s="162">
        <v>-0.17368749999999999</v>
      </c>
      <c r="U212" s="162">
        <v>-5.3100000000000001E-2</v>
      </c>
      <c r="V212" s="162">
        <v>7.5024999999999994E-2</v>
      </c>
      <c r="W212" s="162">
        <v>0.2131625</v>
      </c>
      <c r="X212" s="162">
        <v>0.35444999999999999</v>
      </c>
      <c r="Y212" s="162">
        <v>0.49235000000000001</v>
      </c>
      <c r="Z212" s="162">
        <v>0.62204999999999999</v>
      </c>
      <c r="AA212" s="162">
        <v>0.73875000000000002</v>
      </c>
      <c r="AB212" s="162">
        <v>0.84660000000000002</v>
      </c>
      <c r="AC212" s="162">
        <v>0.94022499999999998</v>
      </c>
      <c r="AD212" s="162">
        <v>1.02305</v>
      </c>
      <c r="AE212" s="162">
        <v>1.099</v>
      </c>
      <c r="AF212" s="162">
        <v>1.161975</v>
      </c>
      <c r="AG212" s="162">
        <v>1.2007574999999999</v>
      </c>
      <c r="AH212" s="162">
        <v>1.2395400000000001</v>
      </c>
      <c r="AI212" s="162">
        <v>1.2783225</v>
      </c>
      <c r="AJ212" s="162">
        <v>1.317105</v>
      </c>
      <c r="AK212" s="162">
        <v>1.3558874999999999</v>
      </c>
      <c r="AL212" s="162">
        <v>1.366225</v>
      </c>
      <c r="AM212" s="162">
        <v>1.3765624999999999</v>
      </c>
      <c r="AN212" s="162">
        <v>1.3869</v>
      </c>
      <c r="AO212" s="162">
        <v>1.3972374999999999</v>
      </c>
      <c r="AP212" s="162">
        <v>1.407575</v>
      </c>
      <c r="AQ212" s="162">
        <v>1.4111724999999999</v>
      </c>
      <c r="AR212" s="162">
        <v>1.4147700000000001</v>
      </c>
      <c r="AS212" s="162">
        <v>1.4183675</v>
      </c>
      <c r="AT212" s="162">
        <v>1.4219649999999999</v>
      </c>
      <c r="AU212" s="162">
        <v>1.4255625000000001</v>
      </c>
    </row>
    <row r="213" spans="1:47" ht="12.75" customHeight="1">
      <c r="A213" s="459">
        <v>42384</v>
      </c>
      <c r="B213" s="139">
        <v>2</v>
      </c>
      <c r="C213" s="162">
        <v>-0.2445</v>
      </c>
      <c r="D213" s="162">
        <v>-0.2445</v>
      </c>
      <c r="E213" s="162">
        <v>-0.23649999999999999</v>
      </c>
      <c r="F213" s="162">
        <v>-0.23805999999999999</v>
      </c>
      <c r="G213" s="162">
        <v>-0.23841999999999999</v>
      </c>
      <c r="H213" s="162">
        <v>-0.24030000000000001</v>
      </c>
      <c r="I213" s="162">
        <v>-0.25125999999999998</v>
      </c>
      <c r="J213" s="162">
        <v>-0.25856000000000001</v>
      </c>
      <c r="K213" s="162">
        <v>-0.26606000000000002</v>
      </c>
      <c r="L213" s="162">
        <v>-0.27266000000000001</v>
      </c>
      <c r="M213" s="162">
        <v>-0.27839999999999998</v>
      </c>
      <c r="N213" s="162">
        <v>-0.28426000000000001</v>
      </c>
      <c r="O213" s="162">
        <v>-0.28870000000000001</v>
      </c>
      <c r="P213" s="162">
        <v>-0.29320000000000002</v>
      </c>
      <c r="Q213" s="162">
        <v>-0.29570000000000002</v>
      </c>
      <c r="R213" s="162">
        <v>-0.2984</v>
      </c>
      <c r="S213" s="162">
        <v>-0.29380000000000001</v>
      </c>
      <c r="T213" s="162">
        <v>-0.22286</v>
      </c>
      <c r="U213" s="162">
        <v>-0.1119</v>
      </c>
      <c r="V213" s="162">
        <v>1.516E-2</v>
      </c>
      <c r="W213" s="162">
        <v>0.15010000000000001</v>
      </c>
      <c r="X213" s="162">
        <v>0.2898</v>
      </c>
      <c r="Y213" s="162">
        <v>0.42630000000000001</v>
      </c>
      <c r="Z213" s="162">
        <v>0.55720000000000003</v>
      </c>
      <c r="AA213" s="162">
        <v>0.67390000000000005</v>
      </c>
      <c r="AB213" s="162">
        <v>0.78188000000000002</v>
      </c>
      <c r="AC213" s="162">
        <v>0.88070000000000004</v>
      </c>
      <c r="AD213" s="162">
        <v>0.96586000000000005</v>
      </c>
      <c r="AE213" s="162">
        <v>1.04206</v>
      </c>
      <c r="AF213" s="162">
        <v>1.1092599999999999</v>
      </c>
      <c r="AG213" s="162">
        <v>1.1498280000000001</v>
      </c>
      <c r="AH213" s="162">
        <v>1.190396</v>
      </c>
      <c r="AI213" s="162">
        <v>1.2309639999999999</v>
      </c>
      <c r="AJ213" s="162">
        <v>1.2715320000000001</v>
      </c>
      <c r="AK213" s="162">
        <v>1.3121</v>
      </c>
      <c r="AL213" s="162">
        <v>1.32378</v>
      </c>
      <c r="AM213" s="162">
        <v>1.3354600000000001</v>
      </c>
      <c r="AN213" s="162">
        <v>1.34714</v>
      </c>
      <c r="AO213" s="162">
        <v>1.3588199999999999</v>
      </c>
      <c r="AP213" s="162">
        <v>1.3705000000000001</v>
      </c>
      <c r="AQ213" s="162">
        <v>1.3739600000000001</v>
      </c>
      <c r="AR213" s="162">
        <v>1.3774200000000001</v>
      </c>
      <c r="AS213" s="162">
        <v>1.3808800000000001</v>
      </c>
      <c r="AT213" s="162">
        <v>1.3843399999999999</v>
      </c>
      <c r="AU213" s="162">
        <v>1.3877999999999999</v>
      </c>
    </row>
    <row r="214" spans="1:47" ht="12.75" customHeight="1">
      <c r="A214" s="459">
        <v>42391</v>
      </c>
      <c r="B214" s="139">
        <v>3</v>
      </c>
      <c r="C214" s="162">
        <v>-0.23649999999999999</v>
      </c>
      <c r="D214" s="162">
        <v>-0.23649999999999999</v>
      </c>
      <c r="E214" s="162">
        <v>-0.23780000000000001</v>
      </c>
      <c r="F214" s="162">
        <v>-0.2356</v>
      </c>
      <c r="G214" s="162">
        <v>-0.24052000000000001</v>
      </c>
      <c r="H214" s="162">
        <v>-0.24338000000000001</v>
      </c>
      <c r="I214" s="162">
        <v>-0.25775999999999999</v>
      </c>
      <c r="J214" s="162">
        <v>-0.26762000000000002</v>
      </c>
      <c r="K214" s="162">
        <v>-0.27098</v>
      </c>
      <c r="L214" s="162">
        <v>-0.28455999999999998</v>
      </c>
      <c r="M214" s="162">
        <v>-0.28826000000000002</v>
      </c>
      <c r="N214" s="162">
        <v>-0.29352</v>
      </c>
      <c r="O214" s="162">
        <v>-0.29846</v>
      </c>
      <c r="P214" s="162">
        <v>-0.30559999999999998</v>
      </c>
      <c r="Q214" s="162">
        <v>-0.30719999999999997</v>
      </c>
      <c r="R214" s="162">
        <v>-0.31008000000000002</v>
      </c>
      <c r="S214" s="162">
        <v>-0.30840000000000001</v>
      </c>
      <c r="T214" s="162">
        <v>-0.24740000000000001</v>
      </c>
      <c r="U214" s="162">
        <v>-0.13755999999999999</v>
      </c>
      <c r="V214" s="162">
        <v>-4.4000000000000003E-3</v>
      </c>
      <c r="W214" s="162">
        <v>0.13125999999999999</v>
      </c>
      <c r="X214" s="162">
        <v>0.26516000000000001</v>
      </c>
      <c r="Y214" s="162">
        <v>0.4007</v>
      </c>
      <c r="Z214" s="162">
        <v>0.52910000000000001</v>
      </c>
      <c r="AA214" s="162">
        <v>0.64600000000000002</v>
      </c>
      <c r="AB214" s="162">
        <v>0.74883999999999995</v>
      </c>
      <c r="AC214" s="162">
        <v>0.84770000000000001</v>
      </c>
      <c r="AD214" s="162">
        <v>0.92996000000000001</v>
      </c>
      <c r="AE214" s="162">
        <v>1.0028600000000001</v>
      </c>
      <c r="AF214" s="162">
        <v>1.0672999999999999</v>
      </c>
      <c r="AG214" s="162">
        <v>1.1058399999999999</v>
      </c>
      <c r="AH214" s="162">
        <v>1.14438</v>
      </c>
      <c r="AI214" s="162">
        <v>1.18292</v>
      </c>
      <c r="AJ214" s="162">
        <v>1.22146</v>
      </c>
      <c r="AK214" s="162">
        <v>1.26</v>
      </c>
      <c r="AL214" s="162">
        <v>1.27128</v>
      </c>
      <c r="AM214" s="162">
        <v>1.2825599999999999</v>
      </c>
      <c r="AN214" s="162">
        <v>1.2938400000000001</v>
      </c>
      <c r="AO214" s="162">
        <v>1.3051200000000001</v>
      </c>
      <c r="AP214" s="162">
        <v>1.3164</v>
      </c>
      <c r="AQ214" s="162">
        <v>1.3192999999999999</v>
      </c>
      <c r="AR214" s="162">
        <v>1.3222</v>
      </c>
      <c r="AS214" s="162">
        <v>1.3250999999999999</v>
      </c>
      <c r="AT214" s="162">
        <v>1.3280000000000001</v>
      </c>
      <c r="AU214" s="162">
        <v>1.3309</v>
      </c>
    </row>
    <row r="215" spans="1:47" ht="12.75" customHeight="1">
      <c r="A215" s="459">
        <v>42398</v>
      </c>
      <c r="B215" s="139">
        <v>4</v>
      </c>
      <c r="C215" s="162">
        <v>-0.23924999999999999</v>
      </c>
      <c r="D215" s="162">
        <v>-0.23924999999999999</v>
      </c>
      <c r="E215" s="162">
        <v>-0.23832</v>
      </c>
      <c r="F215" s="162">
        <v>-0.23956</v>
      </c>
      <c r="G215" s="162">
        <v>-0.24446000000000001</v>
      </c>
      <c r="H215" s="162">
        <v>-0.25330000000000003</v>
      </c>
      <c r="I215" s="162">
        <v>-0.2707</v>
      </c>
      <c r="J215" s="162">
        <v>-0.28299999999999997</v>
      </c>
      <c r="K215" s="162">
        <v>-0.29399999999999998</v>
      </c>
      <c r="L215" s="162">
        <v>-0.29986000000000002</v>
      </c>
      <c r="M215" s="162">
        <v>-0.30959999999999999</v>
      </c>
      <c r="N215" s="162">
        <v>-0.315</v>
      </c>
      <c r="O215" s="162">
        <v>-0.3241</v>
      </c>
      <c r="P215" s="162">
        <v>-0.3281</v>
      </c>
      <c r="Q215" s="162">
        <v>-0.33150000000000002</v>
      </c>
      <c r="R215" s="162">
        <v>-0.33539999999999998</v>
      </c>
      <c r="S215" s="162">
        <v>-0.34660000000000002</v>
      </c>
      <c r="T215" s="162">
        <v>-0.30149999999999999</v>
      </c>
      <c r="U215" s="162">
        <v>-0.1986</v>
      </c>
      <c r="V215" s="162">
        <v>-7.6899999999999996E-2</v>
      </c>
      <c r="W215" s="162">
        <v>5.6300000000000003E-2</v>
      </c>
      <c r="X215" s="162">
        <v>0.1946</v>
      </c>
      <c r="Y215" s="162">
        <v>0.33040000000000003</v>
      </c>
      <c r="Z215" s="162">
        <v>0.4602</v>
      </c>
      <c r="AA215" s="162">
        <v>0.57806000000000002</v>
      </c>
      <c r="AB215" s="162">
        <v>0.68628</v>
      </c>
      <c r="AC215" s="162">
        <v>0.78220000000000001</v>
      </c>
      <c r="AD215" s="162">
        <v>0.86709999999999998</v>
      </c>
      <c r="AE215" s="162">
        <v>0.94140000000000001</v>
      </c>
      <c r="AF215" s="162">
        <v>1.00606</v>
      </c>
      <c r="AG215" s="162">
        <v>1.0452680000000001</v>
      </c>
      <c r="AH215" s="162">
        <v>1.084476</v>
      </c>
      <c r="AI215" s="162">
        <v>1.1236839999999999</v>
      </c>
      <c r="AJ215" s="162">
        <v>1.162892</v>
      </c>
      <c r="AK215" s="162">
        <v>1.2020999999999999</v>
      </c>
      <c r="AL215" s="162">
        <v>1.2142599999999999</v>
      </c>
      <c r="AM215" s="162">
        <v>1.2264200000000001</v>
      </c>
      <c r="AN215" s="162">
        <v>1.23858</v>
      </c>
      <c r="AO215" s="162">
        <v>1.25074</v>
      </c>
      <c r="AP215" s="162">
        <v>1.2628999999999999</v>
      </c>
      <c r="AQ215" s="162">
        <v>1.2666999999999999</v>
      </c>
      <c r="AR215" s="162">
        <v>1.2705</v>
      </c>
      <c r="AS215" s="162">
        <v>1.2743</v>
      </c>
      <c r="AT215" s="162">
        <v>1.2781</v>
      </c>
      <c r="AU215" s="162">
        <v>1.2819</v>
      </c>
    </row>
    <row r="216" spans="1:47" ht="12.75" customHeight="1">
      <c r="A216" s="459">
        <v>42405</v>
      </c>
      <c r="B216" s="139">
        <v>5</v>
      </c>
      <c r="C216" s="162">
        <v>-0.23749999999999999</v>
      </c>
      <c r="D216" s="162">
        <v>-0.23749999999999999</v>
      </c>
      <c r="E216" s="162">
        <v>-0.23791999999999999</v>
      </c>
      <c r="F216" s="162">
        <v>-0.23726</v>
      </c>
      <c r="G216" s="162">
        <v>-0.23985999999999999</v>
      </c>
      <c r="H216" s="162">
        <v>-0.26476</v>
      </c>
      <c r="I216" s="162">
        <v>-0.29082000000000002</v>
      </c>
      <c r="J216" s="162">
        <v>-0.30809999999999998</v>
      </c>
      <c r="K216" s="162">
        <v>-0.32319999999999999</v>
      </c>
      <c r="L216" s="162">
        <v>-0.33160000000000001</v>
      </c>
      <c r="M216" s="162">
        <v>-0.34250000000000003</v>
      </c>
      <c r="N216" s="162">
        <v>-0.34949999999999998</v>
      </c>
      <c r="O216" s="162">
        <v>-0.35639999999999999</v>
      </c>
      <c r="P216" s="162">
        <v>-0.36209999999999998</v>
      </c>
      <c r="Q216" s="162">
        <v>-0.36706</v>
      </c>
      <c r="R216" s="162">
        <v>-0.371</v>
      </c>
      <c r="S216" s="162">
        <v>-0.38479999999999998</v>
      </c>
      <c r="T216" s="162">
        <v>-0.3342</v>
      </c>
      <c r="U216" s="162">
        <v>-0.24335999999999999</v>
      </c>
      <c r="V216" s="162">
        <v>-0.12839999999999999</v>
      </c>
      <c r="W216" s="162">
        <v>6.9999999999999999E-4</v>
      </c>
      <c r="X216" s="162">
        <v>0.13475999999999999</v>
      </c>
      <c r="Y216" s="162">
        <v>0.26735999999999999</v>
      </c>
      <c r="Z216" s="162">
        <v>0.39326</v>
      </c>
      <c r="AA216" s="162">
        <v>0.50819999999999999</v>
      </c>
      <c r="AB216" s="162">
        <v>0.61195999999999995</v>
      </c>
      <c r="AC216" s="162">
        <v>0.70635999999999999</v>
      </c>
      <c r="AD216" s="162">
        <v>0.78835999999999995</v>
      </c>
      <c r="AE216" s="162">
        <v>0.85975999999999997</v>
      </c>
      <c r="AF216" s="162">
        <v>0.92186000000000001</v>
      </c>
      <c r="AG216" s="162">
        <v>0.96021999999999996</v>
      </c>
      <c r="AH216" s="162">
        <v>0.99858000000000002</v>
      </c>
      <c r="AI216" s="162">
        <v>1.03694</v>
      </c>
      <c r="AJ216" s="162">
        <v>1.0752999999999999</v>
      </c>
      <c r="AK216" s="162">
        <v>1.1136600000000001</v>
      </c>
      <c r="AL216" s="162">
        <v>1.126088</v>
      </c>
      <c r="AM216" s="162">
        <v>1.1385160000000001</v>
      </c>
      <c r="AN216" s="162">
        <v>1.150944</v>
      </c>
      <c r="AO216" s="162">
        <v>1.1633720000000001</v>
      </c>
      <c r="AP216" s="162">
        <v>1.1758</v>
      </c>
      <c r="AQ216" s="162">
        <v>1.1801919999999999</v>
      </c>
      <c r="AR216" s="162">
        <v>1.1845840000000001</v>
      </c>
      <c r="AS216" s="162">
        <v>1.188976</v>
      </c>
      <c r="AT216" s="162">
        <v>1.193368</v>
      </c>
      <c r="AU216" s="162">
        <v>1.1977599999999999</v>
      </c>
    </row>
    <row r="217" spans="1:47" ht="12.75" customHeight="1">
      <c r="A217" s="459">
        <v>42412</v>
      </c>
      <c r="B217" s="139">
        <v>6</v>
      </c>
      <c r="C217" s="162">
        <v>-0.23674999999999999</v>
      </c>
      <c r="D217" s="162">
        <v>-0.23674999999999999</v>
      </c>
      <c r="E217" s="162">
        <v>-0.23719999999999999</v>
      </c>
      <c r="F217" s="162">
        <v>-0.23910000000000001</v>
      </c>
      <c r="G217" s="162">
        <v>-0.23769999999999999</v>
      </c>
      <c r="H217" s="162">
        <v>-0.27950000000000003</v>
      </c>
      <c r="I217" s="162">
        <v>-0.3014</v>
      </c>
      <c r="J217" s="162">
        <v>-0.31730000000000003</v>
      </c>
      <c r="K217" s="162">
        <v>-0.33639999999999998</v>
      </c>
      <c r="L217" s="162">
        <v>-0.35215999999999997</v>
      </c>
      <c r="M217" s="162">
        <v>-0.36249999999999999</v>
      </c>
      <c r="N217" s="162">
        <v>-0.3735</v>
      </c>
      <c r="O217" s="162">
        <v>-0.38300000000000001</v>
      </c>
      <c r="P217" s="162">
        <v>-0.39029999999999998</v>
      </c>
      <c r="Q217" s="162">
        <v>-0.39806000000000002</v>
      </c>
      <c r="R217" s="162">
        <v>-0.40300000000000002</v>
      </c>
      <c r="S217" s="162">
        <v>-0.42699999999999999</v>
      </c>
      <c r="T217" s="162">
        <v>-0.38685999999999998</v>
      </c>
      <c r="U217" s="162">
        <v>-0.30696000000000001</v>
      </c>
      <c r="V217" s="162">
        <v>-0.20369999999999999</v>
      </c>
      <c r="W217" s="162">
        <v>-8.3159999999999998E-2</v>
      </c>
      <c r="X217" s="162">
        <v>4.4299999999999999E-2</v>
      </c>
      <c r="Y217" s="162">
        <v>0.17199999999999999</v>
      </c>
      <c r="Z217" s="162">
        <v>0.2923</v>
      </c>
      <c r="AA217" s="162">
        <v>0.40289999999999998</v>
      </c>
      <c r="AB217" s="162">
        <v>0.50253999999999999</v>
      </c>
      <c r="AC217" s="162">
        <v>0.58930000000000005</v>
      </c>
      <c r="AD217" s="162">
        <v>0.66659999999999997</v>
      </c>
      <c r="AE217" s="162">
        <v>0.73260000000000003</v>
      </c>
      <c r="AF217" s="162">
        <v>0.79059999999999997</v>
      </c>
      <c r="AG217" s="162">
        <v>0.82640000000000002</v>
      </c>
      <c r="AH217" s="162">
        <v>0.86219999999999997</v>
      </c>
      <c r="AI217" s="162">
        <v>0.89800000000000002</v>
      </c>
      <c r="AJ217" s="162">
        <v>0.93379999999999996</v>
      </c>
      <c r="AK217" s="162">
        <v>0.96960000000000002</v>
      </c>
      <c r="AL217" s="162">
        <v>0.98337200000000002</v>
      </c>
      <c r="AM217" s="162">
        <v>0.99714400000000003</v>
      </c>
      <c r="AN217" s="162">
        <v>1.0109159999999999</v>
      </c>
      <c r="AO217" s="162">
        <v>1.024688</v>
      </c>
      <c r="AP217" s="162">
        <v>1.0384599999999999</v>
      </c>
      <c r="AQ217" s="162">
        <v>1.04312</v>
      </c>
      <c r="AR217" s="162">
        <v>1.0477799999999999</v>
      </c>
      <c r="AS217" s="162">
        <v>1.05244</v>
      </c>
      <c r="AT217" s="162">
        <v>1.0570999999999999</v>
      </c>
      <c r="AU217" s="162">
        <v>1.06176</v>
      </c>
    </row>
    <row r="218" spans="1:47" ht="12.75" customHeight="1">
      <c r="A218" s="459">
        <v>42419</v>
      </c>
      <c r="B218" s="139">
        <v>7</v>
      </c>
      <c r="C218" s="162">
        <v>-0.23874999999999999</v>
      </c>
      <c r="D218" s="162">
        <v>-0.23874999999999999</v>
      </c>
      <c r="E218" s="162">
        <v>-0.23796</v>
      </c>
      <c r="F218" s="162">
        <v>-0.23580000000000001</v>
      </c>
      <c r="G218" s="162">
        <v>-0.23766000000000001</v>
      </c>
      <c r="H218" s="162">
        <v>-0.29492000000000002</v>
      </c>
      <c r="I218" s="162">
        <v>-0.32085999999999998</v>
      </c>
      <c r="J218" s="162">
        <v>-0.33816000000000002</v>
      </c>
      <c r="K218" s="162">
        <v>-0.35936000000000001</v>
      </c>
      <c r="L218" s="162">
        <v>-0.37365999999999999</v>
      </c>
      <c r="M218" s="162">
        <v>-0.38319999999999999</v>
      </c>
      <c r="N218" s="162">
        <v>-0.39476</v>
      </c>
      <c r="O218" s="162">
        <v>-0.40410000000000001</v>
      </c>
      <c r="P218" s="162">
        <v>-0.41210000000000002</v>
      </c>
      <c r="Q218" s="162">
        <v>-0.41959999999999997</v>
      </c>
      <c r="R218" s="162">
        <v>-0.42730000000000001</v>
      </c>
      <c r="S218" s="162">
        <v>-0.45140000000000002</v>
      </c>
      <c r="T218" s="162">
        <v>-0.42096</v>
      </c>
      <c r="U218" s="162">
        <v>-0.33885999999999999</v>
      </c>
      <c r="V218" s="162">
        <v>-0.24049999999999999</v>
      </c>
      <c r="W218" s="162">
        <v>-0.12520000000000001</v>
      </c>
      <c r="X218" s="162">
        <v>-3.8999999999999998E-3</v>
      </c>
      <c r="Y218" s="162">
        <v>0.1157</v>
      </c>
      <c r="Z218" s="162">
        <v>0.23042000000000001</v>
      </c>
      <c r="AA218" s="162">
        <v>0.33316000000000001</v>
      </c>
      <c r="AB218" s="162">
        <v>0.42674000000000001</v>
      </c>
      <c r="AC218" s="162">
        <v>0.50460000000000005</v>
      </c>
      <c r="AD218" s="162">
        <v>0.57376000000000005</v>
      </c>
      <c r="AE218" s="162">
        <v>0.63366</v>
      </c>
      <c r="AF218" s="162">
        <v>0.68725999999999998</v>
      </c>
      <c r="AG218" s="162">
        <v>0.71922799999999998</v>
      </c>
      <c r="AH218" s="162">
        <v>0.75119599999999997</v>
      </c>
      <c r="AI218" s="162">
        <v>0.78316399999999997</v>
      </c>
      <c r="AJ218" s="162">
        <v>0.81513199999999997</v>
      </c>
      <c r="AK218" s="162">
        <v>0.84709999999999996</v>
      </c>
      <c r="AL218" s="162">
        <v>0.859124</v>
      </c>
      <c r="AM218" s="162">
        <v>0.87114800000000003</v>
      </c>
      <c r="AN218" s="162">
        <v>0.88317199999999996</v>
      </c>
      <c r="AO218" s="162">
        <v>0.89519599999999999</v>
      </c>
      <c r="AP218" s="162">
        <v>0.90722000000000003</v>
      </c>
      <c r="AQ218" s="162">
        <v>0.91160799999999997</v>
      </c>
      <c r="AR218" s="162">
        <v>0.91599600000000003</v>
      </c>
      <c r="AS218" s="162">
        <v>0.92038399999999998</v>
      </c>
      <c r="AT218" s="162">
        <v>0.92477200000000004</v>
      </c>
      <c r="AU218" s="162">
        <v>0.92915999999999999</v>
      </c>
    </row>
    <row r="219" spans="1:47" ht="12.75" customHeight="1">
      <c r="A219" s="459">
        <v>42426</v>
      </c>
      <c r="B219" s="139">
        <v>8</v>
      </c>
      <c r="C219" s="162">
        <v>-0.24324999999999999</v>
      </c>
      <c r="D219" s="162">
        <v>-0.24324999999999999</v>
      </c>
      <c r="E219" s="162">
        <v>-0.2402</v>
      </c>
      <c r="F219" s="162">
        <v>-0.23910000000000001</v>
      </c>
      <c r="G219" s="162">
        <v>-0.25900000000000001</v>
      </c>
      <c r="H219" s="162">
        <v>-0.31075999999999998</v>
      </c>
      <c r="I219" s="162">
        <v>-0.33450000000000002</v>
      </c>
      <c r="J219" s="162">
        <v>-0.35246</v>
      </c>
      <c r="K219" s="162">
        <v>-0.36749999999999999</v>
      </c>
      <c r="L219" s="162">
        <v>-0.38030000000000003</v>
      </c>
      <c r="M219" s="162">
        <v>-0.38919999999999999</v>
      </c>
      <c r="N219" s="162">
        <v>-0.39950000000000002</v>
      </c>
      <c r="O219" s="162">
        <v>-0.40705999999999998</v>
      </c>
      <c r="P219" s="162">
        <v>-0.40989999999999999</v>
      </c>
      <c r="Q219" s="162">
        <v>-0.41699999999999998</v>
      </c>
      <c r="R219" s="162">
        <v>-0.42180000000000001</v>
      </c>
      <c r="S219" s="162">
        <v>-0.43840000000000001</v>
      </c>
      <c r="T219" s="162">
        <v>-0.4007</v>
      </c>
      <c r="U219" s="162">
        <v>-0.3327</v>
      </c>
      <c r="V219" s="162">
        <v>-0.2404</v>
      </c>
      <c r="W219" s="162">
        <v>-0.1273</v>
      </c>
      <c r="X219" s="162">
        <v>-4.7999999999999996E-3</v>
      </c>
      <c r="Y219" s="162">
        <v>0.11595999999999999</v>
      </c>
      <c r="Z219" s="162">
        <v>0.22969999999999999</v>
      </c>
      <c r="AA219" s="162">
        <v>0.33329999999999999</v>
      </c>
      <c r="AB219" s="162">
        <v>0.4254</v>
      </c>
      <c r="AC219" s="162">
        <v>0.50560000000000005</v>
      </c>
      <c r="AD219" s="162">
        <v>0.57550000000000001</v>
      </c>
      <c r="AE219" s="162">
        <v>0.63739999999999997</v>
      </c>
      <c r="AF219" s="162">
        <v>0.69059999999999999</v>
      </c>
      <c r="AG219" s="162">
        <v>0.72277999999999998</v>
      </c>
      <c r="AH219" s="162">
        <v>0.75495999999999996</v>
      </c>
      <c r="AI219" s="162">
        <v>0.78713999999999995</v>
      </c>
      <c r="AJ219" s="162">
        <v>0.81932000000000005</v>
      </c>
      <c r="AK219" s="162">
        <v>0.85150000000000003</v>
      </c>
      <c r="AL219" s="162">
        <v>0.86355199999999999</v>
      </c>
      <c r="AM219" s="162">
        <v>0.87560400000000005</v>
      </c>
      <c r="AN219" s="162">
        <v>0.887656</v>
      </c>
      <c r="AO219" s="162">
        <v>0.89970799999999995</v>
      </c>
      <c r="AP219" s="162">
        <v>0.91176000000000001</v>
      </c>
      <c r="AQ219" s="162">
        <v>0.91616799999999998</v>
      </c>
      <c r="AR219" s="162">
        <v>0.92057599999999995</v>
      </c>
      <c r="AS219" s="162">
        <v>0.92498400000000003</v>
      </c>
      <c r="AT219" s="162">
        <v>0.929392</v>
      </c>
      <c r="AU219" s="162">
        <v>0.93379999999999996</v>
      </c>
    </row>
    <row r="220" spans="1:47" ht="12.75" customHeight="1">
      <c r="A220" s="459">
        <v>42433</v>
      </c>
      <c r="B220" s="139">
        <v>9</v>
      </c>
      <c r="C220" s="162">
        <v>-0.246</v>
      </c>
      <c r="D220" s="162">
        <v>-0.246</v>
      </c>
      <c r="E220" s="162">
        <v>-0.23976</v>
      </c>
      <c r="F220" s="162">
        <v>-0.24121999999999999</v>
      </c>
      <c r="G220" s="162">
        <v>-0.28645999999999999</v>
      </c>
      <c r="H220" s="162">
        <v>-0.32306000000000001</v>
      </c>
      <c r="I220" s="162">
        <v>-0.34082000000000001</v>
      </c>
      <c r="J220" s="162">
        <v>-0.35849999999999999</v>
      </c>
      <c r="K220" s="162">
        <v>-0.36990000000000001</v>
      </c>
      <c r="L220" s="162">
        <v>-0.38066</v>
      </c>
      <c r="M220" s="162">
        <v>-0.3906</v>
      </c>
      <c r="N220" s="162">
        <v>-0.39985999999999999</v>
      </c>
      <c r="O220" s="162">
        <v>-0.40649999999999997</v>
      </c>
      <c r="P220" s="162">
        <v>-0.41449999999999998</v>
      </c>
      <c r="Q220" s="162">
        <v>-0.42070000000000002</v>
      </c>
      <c r="R220" s="162">
        <v>-0.42670000000000002</v>
      </c>
      <c r="S220" s="162">
        <v>-0.45379999999999998</v>
      </c>
      <c r="T220" s="162">
        <v>-0.4224</v>
      </c>
      <c r="U220" s="162">
        <v>-0.35820000000000002</v>
      </c>
      <c r="V220" s="162">
        <v>-0.27366000000000001</v>
      </c>
      <c r="W220" s="162">
        <v>-0.16916</v>
      </c>
      <c r="X220" s="162">
        <v>-5.5559999999999998E-2</v>
      </c>
      <c r="Y220" s="162">
        <v>5.8959999999999999E-2</v>
      </c>
      <c r="Z220" s="162">
        <v>0.16816</v>
      </c>
      <c r="AA220" s="162">
        <v>0.26766000000000001</v>
      </c>
      <c r="AB220" s="162">
        <v>0.35743999999999998</v>
      </c>
      <c r="AC220" s="162">
        <v>0.43515999999999999</v>
      </c>
      <c r="AD220" s="162">
        <v>0.50339999999999996</v>
      </c>
      <c r="AE220" s="162">
        <v>0.56186000000000003</v>
      </c>
      <c r="AF220" s="162">
        <v>0.61275999999999997</v>
      </c>
      <c r="AG220" s="162">
        <v>0.64240799999999998</v>
      </c>
      <c r="AH220" s="162">
        <v>0.67205599999999999</v>
      </c>
      <c r="AI220" s="162">
        <v>0.70170399999999999</v>
      </c>
      <c r="AJ220" s="162">
        <v>0.731352</v>
      </c>
      <c r="AK220" s="162">
        <v>0.76100000000000001</v>
      </c>
      <c r="AL220" s="162">
        <v>0.77151999999999998</v>
      </c>
      <c r="AM220" s="162">
        <v>0.78203999999999996</v>
      </c>
      <c r="AN220" s="162">
        <v>0.79256000000000004</v>
      </c>
      <c r="AO220" s="162">
        <v>0.80308000000000002</v>
      </c>
      <c r="AP220" s="162">
        <v>0.81359999999999999</v>
      </c>
      <c r="AQ220" s="162">
        <v>0.81671199999999999</v>
      </c>
      <c r="AR220" s="162">
        <v>0.819824</v>
      </c>
      <c r="AS220" s="162">
        <v>0.822936</v>
      </c>
      <c r="AT220" s="162">
        <v>0.826048</v>
      </c>
      <c r="AU220" s="162">
        <v>0.82916000000000001</v>
      </c>
    </row>
    <row r="221" spans="1:47" ht="12.75" customHeight="1">
      <c r="A221" s="459">
        <v>42440</v>
      </c>
      <c r="B221" s="139">
        <v>10</v>
      </c>
      <c r="C221" s="162">
        <v>-0.23425000000000001</v>
      </c>
      <c r="D221" s="162">
        <v>-0.23425000000000001</v>
      </c>
      <c r="E221" s="162">
        <v>-0.24390000000000001</v>
      </c>
      <c r="F221" s="162">
        <v>-0.27051999999999998</v>
      </c>
      <c r="G221" s="162">
        <v>-0.32050000000000001</v>
      </c>
      <c r="H221" s="162">
        <v>-0.34429999999999999</v>
      </c>
      <c r="I221" s="162">
        <v>-0.35639999999999999</v>
      </c>
      <c r="J221" s="162">
        <v>-0.37275999999999998</v>
      </c>
      <c r="K221" s="162">
        <v>-0.3866</v>
      </c>
      <c r="L221" s="162">
        <v>-0.39319999999999999</v>
      </c>
      <c r="M221" s="162">
        <v>-0.40260000000000001</v>
      </c>
      <c r="N221" s="162">
        <v>-0.41286</v>
      </c>
      <c r="O221" s="162">
        <v>-0.42126000000000002</v>
      </c>
      <c r="P221" s="162">
        <v>-0.42749999999999999</v>
      </c>
      <c r="Q221" s="162">
        <v>-0.43619999999999998</v>
      </c>
      <c r="R221" s="162">
        <v>-0.44259999999999999</v>
      </c>
      <c r="S221" s="162">
        <v>-0.48</v>
      </c>
      <c r="T221" s="162">
        <v>-0.45989999999999998</v>
      </c>
      <c r="U221" s="162">
        <v>-0.39879999999999999</v>
      </c>
      <c r="V221" s="162">
        <v>-0.31480000000000002</v>
      </c>
      <c r="W221" s="162">
        <v>-0.20480000000000001</v>
      </c>
      <c r="X221" s="162">
        <v>-7.9600000000000004E-2</v>
      </c>
      <c r="Y221" s="162">
        <v>4.6460000000000001E-2</v>
      </c>
      <c r="Z221" s="162">
        <v>0.16569999999999999</v>
      </c>
      <c r="AA221" s="162">
        <v>0.27439999999999998</v>
      </c>
      <c r="AB221" s="162">
        <v>0.37219999999999998</v>
      </c>
      <c r="AC221" s="162">
        <v>0.45889999999999997</v>
      </c>
      <c r="AD221" s="162">
        <v>0.53449999999999998</v>
      </c>
      <c r="AE221" s="162">
        <v>0.59965999999999997</v>
      </c>
      <c r="AF221" s="162">
        <v>0.65576000000000001</v>
      </c>
      <c r="AG221" s="162">
        <v>0.689388</v>
      </c>
      <c r="AH221" s="162">
        <v>0.72301599999999999</v>
      </c>
      <c r="AI221" s="162">
        <v>0.75664399999999998</v>
      </c>
      <c r="AJ221" s="162">
        <v>0.79027199999999997</v>
      </c>
      <c r="AK221" s="162">
        <v>0.82389999999999997</v>
      </c>
      <c r="AL221" s="162">
        <v>0.83582000000000001</v>
      </c>
      <c r="AM221" s="162">
        <v>0.84774000000000005</v>
      </c>
      <c r="AN221" s="162">
        <v>0.85965999999999998</v>
      </c>
      <c r="AO221" s="162">
        <v>0.87158000000000002</v>
      </c>
      <c r="AP221" s="162">
        <v>0.88349999999999995</v>
      </c>
      <c r="AQ221" s="162">
        <v>0.88792000000000004</v>
      </c>
      <c r="AR221" s="162">
        <v>0.89234000000000002</v>
      </c>
      <c r="AS221" s="162">
        <v>0.89676</v>
      </c>
      <c r="AT221" s="162">
        <v>0.90117999999999998</v>
      </c>
      <c r="AU221" s="162">
        <v>0.90559999999999996</v>
      </c>
    </row>
    <row r="222" spans="1:47" ht="12.75" customHeight="1">
      <c r="A222" s="459">
        <v>42447</v>
      </c>
      <c r="B222" s="139">
        <v>11</v>
      </c>
      <c r="C222" s="162">
        <v>-0.23774999999999999</v>
      </c>
      <c r="D222" s="162">
        <v>-0.23774999999999999</v>
      </c>
      <c r="E222" s="162">
        <v>-0.27694000000000002</v>
      </c>
      <c r="F222" s="162">
        <v>-0.31047999999999998</v>
      </c>
      <c r="G222" s="162">
        <v>-0.33356000000000002</v>
      </c>
      <c r="H222" s="162">
        <v>-0.3422</v>
      </c>
      <c r="I222" s="162">
        <v>-0.34960000000000002</v>
      </c>
      <c r="J222" s="162">
        <v>-0.35596</v>
      </c>
      <c r="K222" s="162">
        <v>-0.36115999999999998</v>
      </c>
      <c r="L222" s="162">
        <v>-0.37236000000000002</v>
      </c>
      <c r="M222" s="162">
        <v>-0.37730000000000002</v>
      </c>
      <c r="N222" s="162">
        <v>-0.38185999999999998</v>
      </c>
      <c r="O222" s="162">
        <v>-0.38716</v>
      </c>
      <c r="P222" s="162">
        <v>-0.39389999999999997</v>
      </c>
      <c r="Q222" s="162">
        <v>-0.39789999999999998</v>
      </c>
      <c r="R222" s="162">
        <v>-0.40260000000000001</v>
      </c>
      <c r="S222" s="162">
        <v>-0.42280000000000001</v>
      </c>
      <c r="T222" s="162">
        <v>-0.39101999999999998</v>
      </c>
      <c r="U222" s="162">
        <v>-0.30806</v>
      </c>
      <c r="V222" s="162">
        <v>-0.2369</v>
      </c>
      <c r="W222" s="162">
        <v>-0.12556</v>
      </c>
      <c r="X222" s="162">
        <v>6.6E-4</v>
      </c>
      <c r="Y222" s="162">
        <v>0.12590000000000001</v>
      </c>
      <c r="Z222" s="162">
        <v>0.24909999999999999</v>
      </c>
      <c r="AA222" s="162">
        <v>0.35976000000000002</v>
      </c>
      <c r="AB222" s="162">
        <v>0.46214</v>
      </c>
      <c r="AC222" s="162">
        <v>0.55206</v>
      </c>
      <c r="AD222" s="162">
        <v>0.62819999999999998</v>
      </c>
      <c r="AE222" s="162">
        <v>0.69840000000000002</v>
      </c>
      <c r="AF222" s="162">
        <v>0.75405999999999995</v>
      </c>
      <c r="AG222" s="162">
        <v>0.78808800000000001</v>
      </c>
      <c r="AH222" s="162">
        <v>0.82211599999999996</v>
      </c>
      <c r="AI222" s="162">
        <v>0.85614400000000002</v>
      </c>
      <c r="AJ222" s="162">
        <v>0.89017199999999996</v>
      </c>
      <c r="AK222" s="162">
        <v>0.92420000000000002</v>
      </c>
      <c r="AL222" s="162">
        <v>0.93613999999999997</v>
      </c>
      <c r="AM222" s="162">
        <v>0.94808000000000003</v>
      </c>
      <c r="AN222" s="162">
        <v>0.96001999999999998</v>
      </c>
      <c r="AO222" s="162">
        <v>0.97196000000000005</v>
      </c>
      <c r="AP222" s="162">
        <v>0.9839</v>
      </c>
      <c r="AQ222" s="162">
        <v>0.98819999999999997</v>
      </c>
      <c r="AR222" s="162">
        <v>0.99250000000000005</v>
      </c>
      <c r="AS222" s="162">
        <v>0.99680000000000002</v>
      </c>
      <c r="AT222" s="162">
        <v>1.0011000000000001</v>
      </c>
      <c r="AU222" s="162">
        <v>1.0054000000000001</v>
      </c>
    </row>
    <row r="223" spans="1:47" ht="12.75" customHeight="1">
      <c r="A223" s="459">
        <v>42454</v>
      </c>
      <c r="B223" s="139">
        <v>12</v>
      </c>
      <c r="C223" s="162">
        <v>-0.29425000000000001</v>
      </c>
      <c r="D223" s="162">
        <v>-0.29425000000000001</v>
      </c>
      <c r="E223" s="162">
        <v>-0.3372</v>
      </c>
      <c r="F223" s="162">
        <v>-0.33789999999999998</v>
      </c>
      <c r="G223" s="162">
        <v>-0.33789999999999998</v>
      </c>
      <c r="H223" s="162">
        <v>-0.33900000000000002</v>
      </c>
      <c r="I223" s="162">
        <v>-0.34244000000000002</v>
      </c>
      <c r="J223" s="162">
        <v>-0.34810000000000002</v>
      </c>
      <c r="K223" s="162">
        <v>-0.3478</v>
      </c>
      <c r="L223" s="162">
        <v>-0.35220000000000001</v>
      </c>
      <c r="M223" s="162">
        <v>-0.35510000000000003</v>
      </c>
      <c r="N223" s="162">
        <v>-0.3599</v>
      </c>
      <c r="O223" s="162">
        <v>-0.3629</v>
      </c>
      <c r="P223" s="162">
        <v>-0.36570000000000003</v>
      </c>
      <c r="Q223" s="162">
        <v>-0.37009999999999998</v>
      </c>
      <c r="R223" s="162">
        <v>-0.37359999999999999</v>
      </c>
      <c r="S223" s="162">
        <v>-0.38640000000000002</v>
      </c>
      <c r="T223" s="162">
        <v>-0.35846</v>
      </c>
      <c r="U223" s="162">
        <v>-0.28860000000000002</v>
      </c>
      <c r="V223" s="162">
        <v>-0.20219999999999999</v>
      </c>
      <c r="W223" s="162">
        <v>-9.7259999999999999E-2</v>
      </c>
      <c r="X223" s="162">
        <v>2.1100000000000001E-2</v>
      </c>
      <c r="Y223" s="162">
        <v>0.14330000000000001</v>
      </c>
      <c r="Z223" s="162">
        <v>0.2636</v>
      </c>
      <c r="AA223" s="162">
        <v>0.37259999999999999</v>
      </c>
      <c r="AB223" s="162">
        <v>0.47098000000000001</v>
      </c>
      <c r="AC223" s="162">
        <v>0.56089999999999995</v>
      </c>
      <c r="AD223" s="162">
        <v>0.63629999999999998</v>
      </c>
      <c r="AE223" s="162">
        <v>0.70220000000000005</v>
      </c>
      <c r="AF223" s="162">
        <v>0.75556000000000001</v>
      </c>
      <c r="AG223" s="162">
        <v>0.78924799999999995</v>
      </c>
      <c r="AH223" s="162">
        <v>0.822936</v>
      </c>
      <c r="AI223" s="162">
        <v>0.85662400000000005</v>
      </c>
      <c r="AJ223" s="162">
        <v>0.89031199999999999</v>
      </c>
      <c r="AK223" s="162">
        <v>0.92400000000000004</v>
      </c>
      <c r="AL223" s="162">
        <v>0.93523999999999996</v>
      </c>
      <c r="AM223" s="162">
        <v>0.94647999999999999</v>
      </c>
      <c r="AN223" s="162">
        <v>0.95772000000000002</v>
      </c>
      <c r="AO223" s="162">
        <v>0.96896000000000004</v>
      </c>
      <c r="AP223" s="162">
        <v>0.98019999999999996</v>
      </c>
      <c r="AQ223" s="162">
        <v>0.98382000000000003</v>
      </c>
      <c r="AR223" s="162">
        <v>0.98743999999999998</v>
      </c>
      <c r="AS223" s="162">
        <v>0.99106000000000005</v>
      </c>
      <c r="AT223" s="162">
        <v>0.99468000000000001</v>
      </c>
      <c r="AU223" s="162">
        <v>0.99829999999999997</v>
      </c>
    </row>
    <row r="224" spans="1:47" ht="12.75" customHeight="1">
      <c r="A224" s="459">
        <v>42461</v>
      </c>
      <c r="B224" s="139">
        <v>13</v>
      </c>
      <c r="C224" s="162">
        <v>-0.34499999999999997</v>
      </c>
      <c r="D224" s="162">
        <v>-0.34499999999999997</v>
      </c>
      <c r="E224" s="162">
        <v>-0.33774999999999999</v>
      </c>
      <c r="F224" s="162">
        <v>-0.33862500000000001</v>
      </c>
      <c r="G224" s="162">
        <v>-0.34025</v>
      </c>
      <c r="H224" s="162">
        <v>-0.34107500000000002</v>
      </c>
      <c r="I224" s="162">
        <v>-0.34602500000000003</v>
      </c>
      <c r="J224" s="162">
        <v>-0.35037499999999999</v>
      </c>
      <c r="K224" s="162">
        <v>-0.35375000000000001</v>
      </c>
      <c r="L224" s="162">
        <v>-0.35994999999999999</v>
      </c>
      <c r="M224" s="162">
        <v>-0.36475000000000002</v>
      </c>
      <c r="N224" s="162">
        <v>-0.36925000000000002</v>
      </c>
      <c r="O224" s="162">
        <v>-0.37287500000000001</v>
      </c>
      <c r="P224" s="162">
        <v>-0.37619999999999998</v>
      </c>
      <c r="Q224" s="162">
        <v>-0.38200000000000001</v>
      </c>
      <c r="R224" s="162">
        <v>-0.38424999999999998</v>
      </c>
      <c r="S224" s="162">
        <v>-0.39900000000000002</v>
      </c>
      <c r="T224" s="162">
        <v>-0.3695</v>
      </c>
      <c r="U224" s="162">
        <v>-0.30962499999999998</v>
      </c>
      <c r="V224" s="162">
        <v>-0.23050000000000001</v>
      </c>
      <c r="W224" s="162">
        <v>-0.13075000000000001</v>
      </c>
      <c r="X224" s="162">
        <v>-1.7250000000000001E-2</v>
      </c>
      <c r="Y224" s="162">
        <v>9.9875000000000005E-2</v>
      </c>
      <c r="Z224" s="162">
        <v>0.2155</v>
      </c>
      <c r="AA224" s="162">
        <v>0.32124999999999998</v>
      </c>
      <c r="AB224" s="162">
        <v>0.41807499999999997</v>
      </c>
      <c r="AC224" s="162">
        <v>0.50275000000000003</v>
      </c>
      <c r="AD224" s="162">
        <v>0.57662500000000005</v>
      </c>
      <c r="AE224" s="162">
        <v>0.64012500000000006</v>
      </c>
      <c r="AF224" s="162">
        <v>0.69569999999999999</v>
      </c>
      <c r="AG224" s="162">
        <v>0.72821000000000002</v>
      </c>
      <c r="AH224" s="162">
        <v>0.76071999999999995</v>
      </c>
      <c r="AI224" s="162">
        <v>0.79322999999999999</v>
      </c>
      <c r="AJ224" s="162">
        <v>0.82574000000000003</v>
      </c>
      <c r="AK224" s="162">
        <v>0.85824999999999996</v>
      </c>
      <c r="AL224" s="162">
        <v>0.86985000000000001</v>
      </c>
      <c r="AM224" s="162">
        <v>0.88144999999999996</v>
      </c>
      <c r="AN224" s="162">
        <v>0.89305000000000001</v>
      </c>
      <c r="AO224" s="162">
        <v>0.90464999999999995</v>
      </c>
      <c r="AP224" s="162">
        <v>0.91625000000000001</v>
      </c>
      <c r="AQ224" s="162">
        <v>0.91984999999999995</v>
      </c>
      <c r="AR224" s="162">
        <v>0.92344999999999999</v>
      </c>
      <c r="AS224" s="162">
        <v>0.92705000000000004</v>
      </c>
      <c r="AT224" s="162">
        <v>0.93064999999999998</v>
      </c>
      <c r="AU224" s="162">
        <v>0.93425000000000002</v>
      </c>
    </row>
    <row r="225" spans="1:47" ht="12.75" customHeight="1">
      <c r="A225" s="459">
        <v>42468</v>
      </c>
      <c r="B225" s="139">
        <v>14</v>
      </c>
      <c r="C225" s="162">
        <v>-0.3323333</v>
      </c>
      <c r="D225" s="162">
        <v>-0.3323333</v>
      </c>
      <c r="E225" s="162">
        <v>-0.34139999999999998</v>
      </c>
      <c r="F225" s="162">
        <v>-0.34239999999999998</v>
      </c>
      <c r="G225" s="162">
        <v>-0.34182000000000001</v>
      </c>
      <c r="H225" s="162">
        <v>-0.34189999999999998</v>
      </c>
      <c r="I225" s="162">
        <v>-0.34292</v>
      </c>
      <c r="J225" s="162">
        <v>-0.35236000000000001</v>
      </c>
      <c r="K225" s="162">
        <v>-0.35670000000000002</v>
      </c>
      <c r="L225" s="162">
        <v>-0.36126000000000003</v>
      </c>
      <c r="M225" s="162">
        <v>-0.36509999999999998</v>
      </c>
      <c r="N225" s="162">
        <v>-0.36430000000000001</v>
      </c>
      <c r="O225" s="162">
        <v>-0.36646000000000001</v>
      </c>
      <c r="P225" s="162">
        <v>-0.37740000000000001</v>
      </c>
      <c r="Q225" s="162">
        <v>-0.38100000000000001</v>
      </c>
      <c r="R225" s="162">
        <v>-0.38400000000000001</v>
      </c>
      <c r="S225" s="162">
        <v>-0.39400000000000002</v>
      </c>
      <c r="T225" s="162">
        <v>-0.36846000000000001</v>
      </c>
      <c r="U225" s="162">
        <v>-0.31540000000000001</v>
      </c>
      <c r="V225" s="162">
        <v>-0.2417</v>
      </c>
      <c r="W225" s="162">
        <v>-0.14455999999999999</v>
      </c>
      <c r="X225" s="162">
        <v>-3.3399999999999999E-2</v>
      </c>
      <c r="Y225" s="162">
        <v>8.1900000000000001E-2</v>
      </c>
      <c r="Z225" s="162">
        <v>0.1938</v>
      </c>
      <c r="AA225" s="162">
        <v>0.29570000000000002</v>
      </c>
      <c r="AB225" s="162">
        <v>0.38840000000000002</v>
      </c>
      <c r="AC225" s="162">
        <v>0.47020000000000001</v>
      </c>
      <c r="AD225" s="162">
        <v>0.53979999999999995</v>
      </c>
      <c r="AE225" s="162">
        <v>0.60240000000000005</v>
      </c>
      <c r="AF225" s="162">
        <v>0.65759999999999996</v>
      </c>
      <c r="AG225" s="162">
        <v>0.68923199999999996</v>
      </c>
      <c r="AH225" s="162">
        <v>0.72086399999999995</v>
      </c>
      <c r="AI225" s="162">
        <v>0.75249600000000005</v>
      </c>
      <c r="AJ225" s="162">
        <v>0.78412800000000005</v>
      </c>
      <c r="AK225" s="162">
        <v>0.81576000000000004</v>
      </c>
      <c r="AL225" s="162">
        <v>0.82704800000000001</v>
      </c>
      <c r="AM225" s="162">
        <v>0.83833599999999997</v>
      </c>
      <c r="AN225" s="162">
        <v>0.84962400000000005</v>
      </c>
      <c r="AO225" s="162">
        <v>0.86091200000000001</v>
      </c>
      <c r="AP225" s="162">
        <v>0.87219999999999998</v>
      </c>
      <c r="AQ225" s="162">
        <v>0.87549999999999994</v>
      </c>
      <c r="AR225" s="162">
        <v>0.87880000000000003</v>
      </c>
      <c r="AS225" s="162">
        <v>0.8821</v>
      </c>
      <c r="AT225" s="162">
        <v>0.88539999999999996</v>
      </c>
      <c r="AU225" s="162">
        <v>0.88870000000000005</v>
      </c>
    </row>
    <row r="226" spans="1:47" ht="12.75" customHeight="1">
      <c r="A226" s="459">
        <v>42475</v>
      </c>
      <c r="B226" s="139">
        <v>15</v>
      </c>
      <c r="C226" s="162">
        <v>-0.33174999999999999</v>
      </c>
      <c r="D226" s="162">
        <v>-0.33174999999999999</v>
      </c>
      <c r="E226" s="162">
        <v>-0.33829999999999999</v>
      </c>
      <c r="F226" s="162">
        <v>-0.33850000000000002</v>
      </c>
      <c r="G226" s="162">
        <v>-0.33842</v>
      </c>
      <c r="H226" s="162">
        <v>-0.34016000000000002</v>
      </c>
      <c r="I226" s="162">
        <v>-0.34426000000000001</v>
      </c>
      <c r="J226" s="162">
        <v>-0.34926000000000001</v>
      </c>
      <c r="K226" s="162">
        <v>-0.35376000000000002</v>
      </c>
      <c r="L226" s="162">
        <v>-0.3589</v>
      </c>
      <c r="M226" s="162">
        <v>-0.36492000000000002</v>
      </c>
      <c r="N226" s="162">
        <v>-0.36871999999999999</v>
      </c>
      <c r="O226" s="162">
        <v>-0.37315999999999999</v>
      </c>
      <c r="P226" s="162">
        <v>-0.37609999999999999</v>
      </c>
      <c r="Q226" s="162">
        <v>-0.38269999999999998</v>
      </c>
      <c r="R226" s="162">
        <v>-0.38600000000000001</v>
      </c>
      <c r="S226" s="162">
        <v>-0.40560000000000002</v>
      </c>
      <c r="T226" s="162">
        <v>-0.3926</v>
      </c>
      <c r="U226" s="162">
        <v>-0.35</v>
      </c>
      <c r="V226" s="162">
        <v>-0.28349999999999997</v>
      </c>
      <c r="W226" s="162">
        <v>-0.1908</v>
      </c>
      <c r="X226" s="162">
        <v>-8.2900000000000001E-2</v>
      </c>
      <c r="Y226" s="162">
        <v>2.92E-2</v>
      </c>
      <c r="Z226" s="162">
        <v>0.1371</v>
      </c>
      <c r="AA226" s="162">
        <v>0.23666000000000001</v>
      </c>
      <c r="AB226" s="162">
        <v>0.32778000000000002</v>
      </c>
      <c r="AC226" s="162">
        <v>0.40805999999999998</v>
      </c>
      <c r="AD226" s="162">
        <v>0.4783</v>
      </c>
      <c r="AE226" s="162">
        <v>0.53966000000000003</v>
      </c>
      <c r="AF226" s="162">
        <v>0.59265999999999996</v>
      </c>
      <c r="AG226" s="162">
        <v>0.62382000000000004</v>
      </c>
      <c r="AH226" s="162">
        <v>0.65498000000000001</v>
      </c>
      <c r="AI226" s="162">
        <v>0.68613999999999997</v>
      </c>
      <c r="AJ226" s="162">
        <v>0.71730000000000005</v>
      </c>
      <c r="AK226" s="162">
        <v>0.74846000000000001</v>
      </c>
      <c r="AL226" s="162">
        <v>0.75916799999999995</v>
      </c>
      <c r="AM226" s="162">
        <v>0.769876</v>
      </c>
      <c r="AN226" s="162">
        <v>0.78058399999999994</v>
      </c>
      <c r="AO226" s="162">
        <v>0.791292</v>
      </c>
      <c r="AP226" s="162">
        <v>0.80200000000000005</v>
      </c>
      <c r="AQ226" s="162">
        <v>0.80488000000000004</v>
      </c>
      <c r="AR226" s="162">
        <v>0.80776000000000003</v>
      </c>
      <c r="AS226" s="162">
        <v>0.81064000000000003</v>
      </c>
      <c r="AT226" s="162">
        <v>0.81352000000000002</v>
      </c>
      <c r="AU226" s="162">
        <v>0.81640000000000001</v>
      </c>
    </row>
    <row r="227" spans="1:47" ht="12.75" customHeight="1">
      <c r="A227" s="459">
        <v>42482</v>
      </c>
      <c r="B227" s="139">
        <v>16</v>
      </c>
      <c r="C227" s="162">
        <v>-0.33774999999999999</v>
      </c>
      <c r="D227" s="162">
        <v>-0.33774999999999999</v>
      </c>
      <c r="E227" s="162">
        <v>-0.33429999999999999</v>
      </c>
      <c r="F227" s="162">
        <v>-0.33439999999999998</v>
      </c>
      <c r="G227" s="162">
        <v>-0.33776</v>
      </c>
      <c r="H227" s="162">
        <v>-0.34251999999999999</v>
      </c>
      <c r="I227" s="162">
        <v>-0.34816000000000003</v>
      </c>
      <c r="J227" s="162">
        <v>-0.35339999999999999</v>
      </c>
      <c r="K227" s="162">
        <v>-0.35749999999999998</v>
      </c>
      <c r="L227" s="162">
        <v>-0.36609999999999998</v>
      </c>
      <c r="M227" s="162">
        <v>-0.37080000000000002</v>
      </c>
      <c r="N227" s="162">
        <v>-0.37859999999999999</v>
      </c>
      <c r="O227" s="162">
        <v>-0.38469999999999999</v>
      </c>
      <c r="P227" s="162">
        <v>-0.38890000000000002</v>
      </c>
      <c r="Q227" s="162">
        <v>-0.39269999999999999</v>
      </c>
      <c r="R227" s="162">
        <v>-0.39739999999999998</v>
      </c>
      <c r="S227" s="162">
        <v>-0.4244</v>
      </c>
      <c r="T227" s="162">
        <v>-0.40870000000000001</v>
      </c>
      <c r="U227" s="162">
        <v>-0.35520000000000002</v>
      </c>
      <c r="V227" s="162">
        <v>-0.27895999999999999</v>
      </c>
      <c r="W227" s="162">
        <v>-0.17929999999999999</v>
      </c>
      <c r="X227" s="162">
        <v>-6.5360000000000001E-2</v>
      </c>
      <c r="Y227" s="162">
        <v>5.3359999999999998E-2</v>
      </c>
      <c r="Z227" s="162">
        <v>0.16689999999999999</v>
      </c>
      <c r="AA227" s="162">
        <v>0.27010000000000001</v>
      </c>
      <c r="AB227" s="162">
        <v>0.36612</v>
      </c>
      <c r="AC227" s="162">
        <v>0.45019999999999999</v>
      </c>
      <c r="AD227" s="162">
        <v>0.52349999999999997</v>
      </c>
      <c r="AE227" s="162">
        <v>0.58796000000000004</v>
      </c>
      <c r="AF227" s="162">
        <v>0.64385999999999999</v>
      </c>
      <c r="AG227" s="162">
        <v>0.67700800000000005</v>
      </c>
      <c r="AH227" s="162">
        <v>0.71015600000000001</v>
      </c>
      <c r="AI227" s="162">
        <v>0.74330399999999996</v>
      </c>
      <c r="AJ227" s="162">
        <v>0.77645200000000003</v>
      </c>
      <c r="AK227" s="162">
        <v>0.80959999999999999</v>
      </c>
      <c r="AL227" s="162">
        <v>0.82099999999999995</v>
      </c>
      <c r="AM227" s="162">
        <v>0.83240000000000003</v>
      </c>
      <c r="AN227" s="162">
        <v>0.84379999999999999</v>
      </c>
      <c r="AO227" s="162">
        <v>0.85519999999999996</v>
      </c>
      <c r="AP227" s="162">
        <v>0.86660000000000004</v>
      </c>
      <c r="AQ227" s="162">
        <v>0.87007999999999996</v>
      </c>
      <c r="AR227" s="162">
        <v>0.87356</v>
      </c>
      <c r="AS227" s="162">
        <v>0.87704000000000004</v>
      </c>
      <c r="AT227" s="162">
        <v>0.88051999999999997</v>
      </c>
      <c r="AU227" s="162">
        <v>0.88400000000000001</v>
      </c>
    </row>
    <row r="228" spans="1:47" ht="12.75" customHeight="1">
      <c r="A228" s="459">
        <v>42489</v>
      </c>
      <c r="B228" s="139">
        <v>17</v>
      </c>
      <c r="C228" s="162">
        <v>-0.34325</v>
      </c>
      <c r="D228" s="162">
        <v>-0.34325</v>
      </c>
      <c r="E228" s="162">
        <v>-0.33792</v>
      </c>
      <c r="F228" s="162">
        <v>-0.33785999999999999</v>
      </c>
      <c r="G228" s="162">
        <v>-0.34023999999999999</v>
      </c>
      <c r="H228" s="162">
        <v>-0.34314</v>
      </c>
      <c r="I228" s="162">
        <v>-0.34645999999999999</v>
      </c>
      <c r="J228" s="162">
        <v>-0.34949999999999998</v>
      </c>
      <c r="K228" s="162">
        <v>-0.35396</v>
      </c>
      <c r="L228" s="162">
        <v>-0.35820000000000002</v>
      </c>
      <c r="M228" s="162">
        <v>-0.36299999999999999</v>
      </c>
      <c r="N228" s="162">
        <v>-0.36725999999999998</v>
      </c>
      <c r="O228" s="162">
        <v>-0.37259999999999999</v>
      </c>
      <c r="P228" s="162">
        <v>-0.37706000000000001</v>
      </c>
      <c r="Q228" s="162">
        <v>-0.38190000000000002</v>
      </c>
      <c r="R228" s="162">
        <v>-0.38566</v>
      </c>
      <c r="S228" s="162">
        <v>-0.40920000000000001</v>
      </c>
      <c r="T228" s="162">
        <v>-0.39029999999999998</v>
      </c>
      <c r="U228" s="162">
        <v>-0.33550000000000002</v>
      </c>
      <c r="V228" s="162">
        <v>-0.25559999999999999</v>
      </c>
      <c r="W228" s="162">
        <v>-0.15340000000000001</v>
      </c>
      <c r="X228" s="162">
        <v>-3.2599999999999997E-2</v>
      </c>
      <c r="Y228" s="162">
        <v>9.0260000000000007E-2</v>
      </c>
      <c r="Z228" s="162">
        <v>0.20746000000000001</v>
      </c>
      <c r="AA228" s="162">
        <v>0.31359999999999999</v>
      </c>
      <c r="AB228" s="162">
        <v>0.40872000000000003</v>
      </c>
      <c r="AC228" s="162">
        <v>0.497</v>
      </c>
      <c r="AD228" s="162">
        <v>0.57145999999999997</v>
      </c>
      <c r="AE228" s="162">
        <v>0.63739999999999997</v>
      </c>
      <c r="AF228" s="162">
        <v>0.69550000000000001</v>
      </c>
      <c r="AG228" s="162">
        <v>0.72907999999999995</v>
      </c>
      <c r="AH228" s="162">
        <v>0.76266</v>
      </c>
      <c r="AI228" s="162">
        <v>0.79623999999999995</v>
      </c>
      <c r="AJ228" s="162">
        <v>0.82982</v>
      </c>
      <c r="AK228" s="162">
        <v>0.86339999999999995</v>
      </c>
      <c r="AL228" s="162">
        <v>0.87509199999999998</v>
      </c>
      <c r="AM228" s="162">
        <v>0.88678400000000002</v>
      </c>
      <c r="AN228" s="162">
        <v>0.89847600000000005</v>
      </c>
      <c r="AO228" s="162">
        <v>0.91016799999999998</v>
      </c>
      <c r="AP228" s="162">
        <v>0.92186000000000001</v>
      </c>
      <c r="AQ228" s="162">
        <v>0.92618800000000001</v>
      </c>
      <c r="AR228" s="162">
        <v>0.93051600000000001</v>
      </c>
      <c r="AS228" s="162">
        <v>0.93484400000000001</v>
      </c>
      <c r="AT228" s="162">
        <v>0.93917200000000001</v>
      </c>
      <c r="AU228" s="162">
        <v>0.94350000000000001</v>
      </c>
    </row>
    <row r="229" spans="1:47" ht="12.75" customHeight="1">
      <c r="A229" s="459">
        <v>42496</v>
      </c>
      <c r="B229" s="139">
        <v>18</v>
      </c>
      <c r="C229" s="162">
        <v>-0.34</v>
      </c>
      <c r="D229" s="162">
        <v>-0.34</v>
      </c>
      <c r="E229" s="162">
        <v>-0.3387</v>
      </c>
      <c r="F229" s="162">
        <v>-0.34029999999999999</v>
      </c>
      <c r="G229" s="162">
        <v>-0.34045999999999998</v>
      </c>
      <c r="H229" s="162">
        <v>-0.34205999999999998</v>
      </c>
      <c r="I229" s="162">
        <v>-0.34460000000000002</v>
      </c>
      <c r="J229" s="162">
        <v>-0.3478</v>
      </c>
      <c r="K229" s="162">
        <v>-0.3528</v>
      </c>
      <c r="L229" s="162">
        <v>-0.35820000000000002</v>
      </c>
      <c r="M229" s="162">
        <v>-0.36380000000000001</v>
      </c>
      <c r="N229" s="162">
        <v>-0.36680000000000001</v>
      </c>
      <c r="O229" s="162">
        <v>-0.37269999999999998</v>
      </c>
      <c r="P229" s="162">
        <v>-0.37819999999999998</v>
      </c>
      <c r="Q229" s="162">
        <v>-0.38059999999999999</v>
      </c>
      <c r="R229" s="162">
        <v>-0.38290000000000002</v>
      </c>
      <c r="S229" s="162">
        <v>-0.40060000000000001</v>
      </c>
      <c r="T229" s="162">
        <v>-0.37646000000000002</v>
      </c>
      <c r="U229" s="162">
        <v>-0.31390000000000001</v>
      </c>
      <c r="V229" s="162">
        <v>-0.22316</v>
      </c>
      <c r="W229" s="162">
        <v>-0.10780000000000001</v>
      </c>
      <c r="X229" s="162">
        <v>2.2100000000000002E-2</v>
      </c>
      <c r="Y229" s="162">
        <v>0.15329999999999999</v>
      </c>
      <c r="Z229" s="162">
        <v>0.27910000000000001</v>
      </c>
      <c r="AA229" s="162">
        <v>0.39226</v>
      </c>
      <c r="AB229" s="162">
        <v>0.49581999999999998</v>
      </c>
      <c r="AC229" s="162">
        <v>0.58760000000000001</v>
      </c>
      <c r="AD229" s="162">
        <v>0.66810000000000003</v>
      </c>
      <c r="AE229" s="162">
        <v>0.73870000000000002</v>
      </c>
      <c r="AF229" s="162">
        <v>0.7974</v>
      </c>
      <c r="AG229" s="162">
        <v>0.83393200000000001</v>
      </c>
      <c r="AH229" s="162">
        <v>0.87046400000000002</v>
      </c>
      <c r="AI229" s="162">
        <v>0.90699600000000002</v>
      </c>
      <c r="AJ229" s="162">
        <v>0.94352800000000003</v>
      </c>
      <c r="AK229" s="162">
        <v>0.98006000000000004</v>
      </c>
      <c r="AL229" s="162">
        <v>0.99308799999999997</v>
      </c>
      <c r="AM229" s="162">
        <v>1.006116</v>
      </c>
      <c r="AN229" s="162">
        <v>1.019144</v>
      </c>
      <c r="AO229" s="162">
        <v>1.0321720000000001</v>
      </c>
      <c r="AP229" s="162">
        <v>1.0451999999999999</v>
      </c>
      <c r="AQ229" s="162">
        <v>1.0496399999999999</v>
      </c>
      <c r="AR229" s="162">
        <v>1.0540799999999999</v>
      </c>
      <c r="AS229" s="162">
        <v>1.0585199999999999</v>
      </c>
      <c r="AT229" s="162">
        <v>1.0629599999999999</v>
      </c>
      <c r="AU229" s="162">
        <v>1.0673999999999999</v>
      </c>
    </row>
    <row r="230" spans="1:47" ht="12.75" customHeight="1">
      <c r="A230" s="459">
        <v>42503</v>
      </c>
      <c r="B230" s="139">
        <v>19</v>
      </c>
      <c r="C230" s="162">
        <v>-0.33450000000000002</v>
      </c>
      <c r="D230" s="162">
        <v>-0.33450000000000002</v>
      </c>
      <c r="E230" s="162">
        <v>-0.34100000000000003</v>
      </c>
      <c r="F230" s="162">
        <v>-0.34166669999999999</v>
      </c>
      <c r="G230" s="162">
        <v>-0.34066669999999999</v>
      </c>
      <c r="H230" s="162">
        <v>-0.34310000000000002</v>
      </c>
      <c r="I230" s="162">
        <v>-0.34566669999999999</v>
      </c>
      <c r="J230" s="162">
        <v>-0.3476667</v>
      </c>
      <c r="K230" s="162">
        <v>-0.35199999999999998</v>
      </c>
      <c r="L230" s="162">
        <v>-0.35733330000000002</v>
      </c>
      <c r="M230" s="162">
        <v>-0.3612667</v>
      </c>
      <c r="N230" s="162">
        <v>-0.36433330000000003</v>
      </c>
      <c r="O230" s="162">
        <v>-0.37116670000000002</v>
      </c>
      <c r="P230" s="162">
        <v>-0.37283329999999998</v>
      </c>
      <c r="Q230" s="162">
        <v>-0.37609999999999999</v>
      </c>
      <c r="R230" s="162">
        <v>-0.37826670000000001</v>
      </c>
      <c r="S230" s="162">
        <v>-0.39</v>
      </c>
      <c r="T230" s="162">
        <v>-0.36583329999999997</v>
      </c>
      <c r="U230" s="162">
        <v>-0.311</v>
      </c>
      <c r="V230" s="162">
        <v>-0.23</v>
      </c>
      <c r="W230" s="162">
        <v>-0.123</v>
      </c>
      <c r="X230" s="162">
        <v>-1.6666999999999999E-3</v>
      </c>
      <c r="Y230" s="162">
        <v>0.12433329999999999</v>
      </c>
      <c r="Z230" s="162">
        <v>0.24633330000000001</v>
      </c>
      <c r="AA230" s="162">
        <v>0.35749999999999998</v>
      </c>
      <c r="AB230" s="162">
        <v>0.45516669999999998</v>
      </c>
      <c r="AC230" s="162">
        <v>0.54576670000000005</v>
      </c>
      <c r="AD230" s="162">
        <v>0.62450000000000006</v>
      </c>
      <c r="AE230" s="162">
        <v>0.69383329999999999</v>
      </c>
      <c r="AF230" s="162">
        <v>0.75309999999999999</v>
      </c>
      <c r="AG230" s="162">
        <v>0.78837999999999997</v>
      </c>
      <c r="AH230" s="162">
        <v>0.82365999999999995</v>
      </c>
      <c r="AI230" s="162">
        <v>0.85894000000000004</v>
      </c>
      <c r="AJ230" s="162">
        <v>0.89422000000000001</v>
      </c>
      <c r="AK230" s="162">
        <v>0.92949999999999999</v>
      </c>
      <c r="AL230" s="162">
        <v>0.94186669999999995</v>
      </c>
      <c r="AM230" s="162">
        <v>0.95423329999999995</v>
      </c>
      <c r="AN230" s="162">
        <v>0.96660000000000001</v>
      </c>
      <c r="AO230" s="162">
        <v>0.97896669999999997</v>
      </c>
      <c r="AP230" s="162">
        <v>0.99133329999999997</v>
      </c>
      <c r="AQ230" s="162">
        <v>0.99563330000000005</v>
      </c>
      <c r="AR230" s="162">
        <v>0.99993330000000002</v>
      </c>
      <c r="AS230" s="162">
        <v>1.0042333000000001</v>
      </c>
      <c r="AT230" s="162">
        <v>1.0085333000000001</v>
      </c>
      <c r="AU230" s="162">
        <v>1.0128333</v>
      </c>
    </row>
    <row r="231" spans="1:47" ht="12.75" customHeight="1">
      <c r="A231" s="459">
        <v>42510</v>
      </c>
      <c r="B231" s="139">
        <v>20</v>
      </c>
      <c r="C231" s="162">
        <v>-0.33400000000000002</v>
      </c>
      <c r="D231" s="162">
        <v>-0.33400000000000002</v>
      </c>
      <c r="E231" s="162">
        <v>-0.3387</v>
      </c>
      <c r="F231" s="162">
        <v>-0.33929999999999999</v>
      </c>
      <c r="G231" s="162">
        <v>-0.33872000000000002</v>
      </c>
      <c r="H231" s="162">
        <v>-0.34072000000000002</v>
      </c>
      <c r="I231" s="162">
        <v>-0.34210000000000002</v>
      </c>
      <c r="J231" s="162">
        <v>-0.34586</v>
      </c>
      <c r="K231" s="162">
        <v>-0.35521999999999998</v>
      </c>
      <c r="L231" s="162">
        <v>-0.35849999999999999</v>
      </c>
      <c r="M231" s="162">
        <v>-0.3629</v>
      </c>
      <c r="N231" s="162">
        <v>-0.36849999999999999</v>
      </c>
      <c r="O231" s="162">
        <v>-0.37280000000000002</v>
      </c>
      <c r="P231" s="162">
        <v>-0.37568000000000001</v>
      </c>
      <c r="Q231" s="162">
        <v>-0.38169999999999998</v>
      </c>
      <c r="R231" s="162">
        <v>-0.38616</v>
      </c>
      <c r="S231" s="162">
        <v>-0.40960000000000002</v>
      </c>
      <c r="T231" s="162">
        <v>-0.39689999999999998</v>
      </c>
      <c r="U231" s="162">
        <v>-0.35560000000000003</v>
      </c>
      <c r="V231" s="162">
        <v>-0.28536</v>
      </c>
      <c r="W231" s="162">
        <v>-0.18986</v>
      </c>
      <c r="X231" s="162">
        <v>-7.6399999999999996E-2</v>
      </c>
      <c r="Y231" s="162">
        <v>4.2200000000000001E-2</v>
      </c>
      <c r="Z231" s="162">
        <v>0.15959999999999999</v>
      </c>
      <c r="AA231" s="162">
        <v>0.26856000000000002</v>
      </c>
      <c r="AB231" s="162">
        <v>0.36837999999999999</v>
      </c>
      <c r="AC231" s="162">
        <v>0.45779999999999998</v>
      </c>
      <c r="AD231" s="162">
        <v>0.53459999999999996</v>
      </c>
      <c r="AE231" s="162">
        <v>0.60346</v>
      </c>
      <c r="AF231" s="162">
        <v>0.66335999999999995</v>
      </c>
      <c r="AG231" s="162">
        <v>0.69911999999999996</v>
      </c>
      <c r="AH231" s="162">
        <v>0.73487999999999998</v>
      </c>
      <c r="AI231" s="162">
        <v>0.77063999999999999</v>
      </c>
      <c r="AJ231" s="162">
        <v>0.80640000000000001</v>
      </c>
      <c r="AK231" s="162">
        <v>0.84216000000000002</v>
      </c>
      <c r="AL231" s="162">
        <v>0.85466799999999998</v>
      </c>
      <c r="AM231" s="162">
        <v>0.86717599999999995</v>
      </c>
      <c r="AN231" s="162">
        <v>0.87968400000000002</v>
      </c>
      <c r="AO231" s="162">
        <v>0.89219199999999999</v>
      </c>
      <c r="AP231" s="162">
        <v>0.90469999999999995</v>
      </c>
      <c r="AQ231" s="162">
        <v>0.90817199999999998</v>
      </c>
      <c r="AR231" s="162">
        <v>0.91164400000000001</v>
      </c>
      <c r="AS231" s="162">
        <v>0.91511600000000004</v>
      </c>
      <c r="AT231" s="162">
        <v>0.91858799999999996</v>
      </c>
      <c r="AU231" s="162">
        <v>0.92205999999999999</v>
      </c>
    </row>
    <row r="232" spans="1:47" ht="12.75" customHeight="1">
      <c r="A232" s="459">
        <v>42517</v>
      </c>
      <c r="B232" s="139">
        <v>21</v>
      </c>
      <c r="C232" s="162">
        <v>-0.33950000000000002</v>
      </c>
      <c r="D232" s="162">
        <v>-0.33950000000000002</v>
      </c>
      <c r="E232" s="162">
        <v>-0.34079999999999999</v>
      </c>
      <c r="F232" s="162">
        <v>-0.34029999999999999</v>
      </c>
      <c r="G232" s="162">
        <v>-0.33988000000000002</v>
      </c>
      <c r="H232" s="162">
        <v>-0.34036</v>
      </c>
      <c r="I232" s="162">
        <v>-0.34538000000000002</v>
      </c>
      <c r="J232" s="162">
        <v>-0.34670000000000001</v>
      </c>
      <c r="K232" s="162">
        <v>-0.35095999999999999</v>
      </c>
      <c r="L232" s="162">
        <v>-0.35515999999999998</v>
      </c>
      <c r="M232" s="162">
        <v>-0.35880000000000001</v>
      </c>
      <c r="N232" s="162">
        <v>-0.36309999999999998</v>
      </c>
      <c r="O232" s="162">
        <v>-0.36515999999999998</v>
      </c>
      <c r="P232" s="162">
        <v>-0.37025999999999998</v>
      </c>
      <c r="Q232" s="162">
        <v>-0.37359999999999999</v>
      </c>
      <c r="R232" s="162">
        <v>-0.37465999999999999</v>
      </c>
      <c r="S232" s="162">
        <v>-0.39439999999999997</v>
      </c>
      <c r="T232" s="162">
        <v>-0.37619999999999998</v>
      </c>
      <c r="U232" s="162">
        <v>-0.32469999999999999</v>
      </c>
      <c r="V232" s="162">
        <v>-0.2525</v>
      </c>
      <c r="W232" s="162">
        <v>-0.156</v>
      </c>
      <c r="X232" s="162">
        <v>-4.3659999999999997E-2</v>
      </c>
      <c r="Y232" s="162">
        <v>7.6300000000000007E-2</v>
      </c>
      <c r="Z232" s="162">
        <v>0.19370000000000001</v>
      </c>
      <c r="AA232" s="162">
        <v>0.30306</v>
      </c>
      <c r="AB232" s="162">
        <v>0.40207999999999999</v>
      </c>
      <c r="AC232" s="162">
        <v>0.49075999999999997</v>
      </c>
      <c r="AD232" s="162">
        <v>0.56730000000000003</v>
      </c>
      <c r="AE232" s="162">
        <v>0.63675999999999999</v>
      </c>
      <c r="AF232" s="162">
        <v>0.69530000000000003</v>
      </c>
      <c r="AG232" s="162">
        <v>0.73075999999999997</v>
      </c>
      <c r="AH232" s="162">
        <v>0.76622000000000001</v>
      </c>
      <c r="AI232" s="162">
        <v>0.80167999999999995</v>
      </c>
      <c r="AJ232" s="162">
        <v>0.83714</v>
      </c>
      <c r="AK232" s="162">
        <v>0.87260000000000004</v>
      </c>
      <c r="AL232" s="162">
        <v>0.88451999999999997</v>
      </c>
      <c r="AM232" s="162">
        <v>0.89644000000000001</v>
      </c>
      <c r="AN232" s="162">
        <v>0.90835999999999995</v>
      </c>
      <c r="AO232" s="162">
        <v>0.92027999999999999</v>
      </c>
      <c r="AP232" s="162">
        <v>0.93220000000000003</v>
      </c>
      <c r="AQ232" s="162">
        <v>0.93628</v>
      </c>
      <c r="AR232" s="162">
        <v>0.94035999999999997</v>
      </c>
      <c r="AS232" s="162">
        <v>0.94443999999999995</v>
      </c>
      <c r="AT232" s="162">
        <v>0.94852000000000003</v>
      </c>
      <c r="AU232" s="162">
        <v>0.9526</v>
      </c>
    </row>
    <row r="233" spans="1:47" ht="12.75" customHeight="1">
      <c r="A233" s="459">
        <v>42524</v>
      </c>
      <c r="B233" s="139">
        <v>22</v>
      </c>
      <c r="C233" s="162">
        <v>-0.34399999999999997</v>
      </c>
      <c r="D233" s="162">
        <v>-0.34399999999999997</v>
      </c>
      <c r="E233" s="162">
        <v>-0.3367</v>
      </c>
      <c r="F233" s="162">
        <v>-0.33876000000000001</v>
      </c>
      <c r="G233" s="162">
        <v>-0.33986</v>
      </c>
      <c r="H233" s="162">
        <v>-0.34032000000000001</v>
      </c>
      <c r="I233" s="162">
        <v>-0.34295999999999999</v>
      </c>
      <c r="J233" s="162">
        <v>-0.3468</v>
      </c>
      <c r="K233" s="162">
        <v>-0.35199999999999998</v>
      </c>
      <c r="L233" s="162">
        <v>-0.35630000000000001</v>
      </c>
      <c r="M233" s="162">
        <v>-0.36080000000000001</v>
      </c>
      <c r="N233" s="162">
        <v>-0.36549999999999999</v>
      </c>
      <c r="O233" s="162">
        <v>-0.36921999999999999</v>
      </c>
      <c r="P233" s="162">
        <v>-0.3715</v>
      </c>
      <c r="Q233" s="162">
        <v>-0.37436000000000003</v>
      </c>
      <c r="R233" s="162">
        <v>-0.3775</v>
      </c>
      <c r="S233" s="162">
        <v>-0.39400000000000002</v>
      </c>
      <c r="T233" s="162">
        <v>-0.37890000000000001</v>
      </c>
      <c r="U233" s="162">
        <v>-0.32990000000000003</v>
      </c>
      <c r="V233" s="162">
        <v>-0.25850000000000001</v>
      </c>
      <c r="W233" s="162">
        <v>-0.1623</v>
      </c>
      <c r="X233" s="162">
        <v>-4.8300000000000003E-2</v>
      </c>
      <c r="Y233" s="162">
        <v>7.0459999999999995E-2</v>
      </c>
      <c r="Z233" s="162">
        <v>0.18990000000000001</v>
      </c>
      <c r="AA233" s="162">
        <v>0.30149999999999999</v>
      </c>
      <c r="AB233" s="162">
        <v>0.40222000000000002</v>
      </c>
      <c r="AC233" s="162">
        <v>0.49371999999999999</v>
      </c>
      <c r="AD233" s="162">
        <v>0.57055999999999996</v>
      </c>
      <c r="AE233" s="162">
        <v>0.64036000000000004</v>
      </c>
      <c r="AF233" s="162">
        <v>0.69879999999999998</v>
      </c>
      <c r="AG233" s="162">
        <v>0.73473200000000005</v>
      </c>
      <c r="AH233" s="162">
        <v>0.77066400000000002</v>
      </c>
      <c r="AI233" s="162">
        <v>0.80659599999999998</v>
      </c>
      <c r="AJ233" s="162">
        <v>0.84252800000000005</v>
      </c>
      <c r="AK233" s="162">
        <v>0.87846000000000002</v>
      </c>
      <c r="AL233" s="162">
        <v>0.89108799999999999</v>
      </c>
      <c r="AM233" s="162">
        <v>0.90371599999999996</v>
      </c>
      <c r="AN233" s="162">
        <v>0.91634400000000005</v>
      </c>
      <c r="AO233" s="162">
        <v>0.92897200000000002</v>
      </c>
      <c r="AP233" s="162">
        <v>0.94159999999999999</v>
      </c>
      <c r="AQ233" s="162">
        <v>0.94628000000000001</v>
      </c>
      <c r="AR233" s="162">
        <v>0.95096000000000003</v>
      </c>
      <c r="AS233" s="162">
        <v>0.95564000000000004</v>
      </c>
      <c r="AT233" s="162">
        <v>0.96031999999999995</v>
      </c>
      <c r="AU233" s="162">
        <v>0.96499999999999997</v>
      </c>
    </row>
    <row r="234" spans="1:47" ht="12.75" customHeight="1">
      <c r="A234" s="459">
        <v>42531</v>
      </c>
      <c r="B234" s="139">
        <v>23</v>
      </c>
      <c r="C234" s="162">
        <v>-0.33300000000000002</v>
      </c>
      <c r="D234" s="162">
        <v>-0.33300000000000002</v>
      </c>
      <c r="E234" s="162">
        <v>-0.34028000000000003</v>
      </c>
      <c r="F234" s="162">
        <v>-0.33910000000000001</v>
      </c>
      <c r="G234" s="162">
        <v>-0.3392</v>
      </c>
      <c r="H234" s="162">
        <v>-0.34160000000000001</v>
      </c>
      <c r="I234" s="162">
        <v>-0.34405999999999998</v>
      </c>
      <c r="J234" s="162">
        <v>-0.34916000000000003</v>
      </c>
      <c r="K234" s="162">
        <v>-0.3553</v>
      </c>
      <c r="L234" s="162">
        <v>-0.35780000000000001</v>
      </c>
      <c r="M234" s="162">
        <v>-0.3644</v>
      </c>
      <c r="N234" s="162">
        <v>-0.36702000000000001</v>
      </c>
      <c r="O234" s="162">
        <v>-0.37036000000000002</v>
      </c>
      <c r="P234" s="162">
        <v>-0.3755</v>
      </c>
      <c r="Q234" s="162">
        <v>-0.37819999999999998</v>
      </c>
      <c r="R234" s="162">
        <v>-0.38019999999999998</v>
      </c>
      <c r="S234" s="162">
        <v>-0.39860000000000001</v>
      </c>
      <c r="T234" s="162">
        <v>-0.38719999999999999</v>
      </c>
      <c r="U234" s="162">
        <v>-0.34086</v>
      </c>
      <c r="V234" s="162">
        <v>-0.27029999999999998</v>
      </c>
      <c r="W234" s="162">
        <v>-0.17599999999999999</v>
      </c>
      <c r="X234" s="162">
        <v>-6.3600000000000004E-2</v>
      </c>
      <c r="Y234" s="162">
        <v>5.7599999999999998E-2</v>
      </c>
      <c r="Z234" s="162">
        <v>0.1764</v>
      </c>
      <c r="AA234" s="162">
        <v>0.28720000000000001</v>
      </c>
      <c r="AB234" s="162">
        <v>0.38816000000000001</v>
      </c>
      <c r="AC234" s="162">
        <v>0.4793</v>
      </c>
      <c r="AD234" s="162">
        <v>0.55830000000000002</v>
      </c>
      <c r="AE234" s="162">
        <v>0.62839999999999996</v>
      </c>
      <c r="AF234" s="162">
        <v>0.68730000000000002</v>
      </c>
      <c r="AG234" s="162">
        <v>0.72340000000000004</v>
      </c>
      <c r="AH234" s="162">
        <v>0.75949999999999995</v>
      </c>
      <c r="AI234" s="162">
        <v>0.79559999999999997</v>
      </c>
      <c r="AJ234" s="162">
        <v>0.83169999999999999</v>
      </c>
      <c r="AK234" s="162">
        <v>0.86780000000000002</v>
      </c>
      <c r="AL234" s="162">
        <v>0.88097999999999999</v>
      </c>
      <c r="AM234" s="162">
        <v>0.89415999999999995</v>
      </c>
      <c r="AN234" s="162">
        <v>0.90734000000000004</v>
      </c>
      <c r="AO234" s="162">
        <v>0.92052</v>
      </c>
      <c r="AP234" s="162">
        <v>0.93369999999999997</v>
      </c>
      <c r="AQ234" s="162">
        <v>0.93825999999999998</v>
      </c>
      <c r="AR234" s="162">
        <v>0.94281999999999999</v>
      </c>
      <c r="AS234" s="162">
        <v>0.94738</v>
      </c>
      <c r="AT234" s="162">
        <v>0.95194000000000001</v>
      </c>
      <c r="AU234" s="162">
        <v>0.95650000000000002</v>
      </c>
    </row>
    <row r="235" spans="1:47" ht="12.75" customHeight="1">
      <c r="A235" s="459">
        <v>42538</v>
      </c>
      <c r="B235" s="139">
        <v>24</v>
      </c>
      <c r="C235" s="162">
        <v>-0.33300000000000002</v>
      </c>
      <c r="D235" s="162">
        <v>-0.33300000000000002</v>
      </c>
      <c r="E235" s="162">
        <v>-0.33576</v>
      </c>
      <c r="F235" s="162">
        <v>-0.33989999999999998</v>
      </c>
      <c r="G235" s="162">
        <v>-0.34089999999999998</v>
      </c>
      <c r="H235" s="162">
        <v>-0.34386</v>
      </c>
      <c r="I235" s="162">
        <v>-0.34739999999999999</v>
      </c>
      <c r="J235" s="162">
        <v>-0.35299999999999998</v>
      </c>
      <c r="K235" s="162">
        <v>-0.35620000000000002</v>
      </c>
      <c r="L235" s="162">
        <v>-0.36359999999999998</v>
      </c>
      <c r="M235" s="162">
        <v>-0.3669</v>
      </c>
      <c r="N235" s="162">
        <v>-0.37030000000000002</v>
      </c>
      <c r="O235" s="162">
        <v>-0.37209999999999999</v>
      </c>
      <c r="P235" s="162">
        <v>-0.37640000000000001</v>
      </c>
      <c r="Q235" s="162">
        <v>-0.38</v>
      </c>
      <c r="R235" s="162">
        <v>-0.38275999999999999</v>
      </c>
      <c r="S235" s="162">
        <v>-0.41299999999999998</v>
      </c>
      <c r="T235" s="162">
        <v>-0.4052</v>
      </c>
      <c r="U235" s="162">
        <v>-0.36170000000000002</v>
      </c>
      <c r="V235" s="162">
        <v>-0.29530000000000001</v>
      </c>
      <c r="W235" s="162">
        <v>-0.21115999999999999</v>
      </c>
      <c r="X235" s="162">
        <v>-0.10249999999999999</v>
      </c>
      <c r="Y235" s="162">
        <v>7.0400000000000003E-3</v>
      </c>
      <c r="Z235" s="162">
        <v>0.12086</v>
      </c>
      <c r="AA235" s="162">
        <v>0.22770000000000001</v>
      </c>
      <c r="AB235" s="162">
        <v>0.32235999999999998</v>
      </c>
      <c r="AC235" s="162">
        <v>0.40660000000000002</v>
      </c>
      <c r="AD235" s="162">
        <v>0.47946</v>
      </c>
      <c r="AE235" s="162">
        <v>0.54559999999999997</v>
      </c>
      <c r="AF235" s="162">
        <v>0.60216000000000003</v>
      </c>
      <c r="AG235" s="162">
        <v>0.63574799999999998</v>
      </c>
      <c r="AH235" s="162">
        <v>0.66933600000000004</v>
      </c>
      <c r="AI235" s="162">
        <v>0.70292399999999999</v>
      </c>
      <c r="AJ235" s="162">
        <v>0.73651200000000006</v>
      </c>
      <c r="AK235" s="162">
        <v>0.77010000000000001</v>
      </c>
      <c r="AL235" s="162">
        <v>0.78125999999999995</v>
      </c>
      <c r="AM235" s="162">
        <v>0.79242000000000001</v>
      </c>
      <c r="AN235" s="162">
        <v>0.80357999999999996</v>
      </c>
      <c r="AO235" s="162">
        <v>0.81474000000000002</v>
      </c>
      <c r="AP235" s="162">
        <v>0.82589999999999997</v>
      </c>
      <c r="AQ235" s="162">
        <v>0.82935999999999999</v>
      </c>
      <c r="AR235" s="162">
        <v>0.83282</v>
      </c>
      <c r="AS235" s="162">
        <v>0.83628000000000002</v>
      </c>
      <c r="AT235" s="162">
        <v>0.83974000000000004</v>
      </c>
      <c r="AU235" s="162">
        <v>0.84319999999999995</v>
      </c>
    </row>
    <row r="236" spans="1:47" ht="12.75" customHeight="1">
      <c r="A236" s="459">
        <v>42545</v>
      </c>
      <c r="B236" s="139">
        <v>25</v>
      </c>
      <c r="C236" s="162">
        <v>-0.33150000000000002</v>
      </c>
      <c r="D236" s="162">
        <v>-0.33150000000000002</v>
      </c>
      <c r="E236" s="162">
        <v>-0.33716000000000002</v>
      </c>
      <c r="F236" s="162">
        <v>-0.3377</v>
      </c>
      <c r="G236" s="162">
        <v>-0.33839999999999998</v>
      </c>
      <c r="H236" s="162">
        <v>-0.34126000000000001</v>
      </c>
      <c r="I236" s="162">
        <v>-0.3498</v>
      </c>
      <c r="J236" s="162">
        <v>-0.35949999999999999</v>
      </c>
      <c r="K236" s="162">
        <v>-0.36586000000000002</v>
      </c>
      <c r="L236" s="162">
        <v>-0.37259999999999999</v>
      </c>
      <c r="M236" s="162">
        <v>-0.37959999999999999</v>
      </c>
      <c r="N236" s="162">
        <v>-0.38400000000000001</v>
      </c>
      <c r="O236" s="162">
        <v>-0.3876</v>
      </c>
      <c r="P236" s="162">
        <v>-0.39250000000000002</v>
      </c>
      <c r="Q236" s="162">
        <v>-0.39710000000000001</v>
      </c>
      <c r="R236" s="162">
        <v>-0.40150000000000002</v>
      </c>
      <c r="S236" s="162">
        <v>-0.43819999999999998</v>
      </c>
      <c r="T236" s="162">
        <v>-0.43519999999999998</v>
      </c>
      <c r="U236" s="162">
        <v>-0.40500000000000003</v>
      </c>
      <c r="V236" s="162">
        <v>-0.34345999999999999</v>
      </c>
      <c r="W236" s="162">
        <v>-0.25456000000000001</v>
      </c>
      <c r="X236" s="162">
        <v>-0.14915999999999999</v>
      </c>
      <c r="Y236" s="162">
        <v>-3.6400000000000002E-2</v>
      </c>
      <c r="Z236" s="162">
        <v>7.3760000000000006E-2</v>
      </c>
      <c r="AA236" s="162">
        <v>0.17829999999999999</v>
      </c>
      <c r="AB236" s="162">
        <v>0.27056000000000002</v>
      </c>
      <c r="AC236" s="162">
        <v>0.35165999999999997</v>
      </c>
      <c r="AD236" s="162">
        <v>0.4224</v>
      </c>
      <c r="AE236" s="162">
        <v>0.48459999999999998</v>
      </c>
      <c r="AF236" s="162">
        <v>0.53849999999999998</v>
      </c>
      <c r="AG236" s="162">
        <v>0.5696</v>
      </c>
      <c r="AH236" s="162">
        <v>0.60070000000000001</v>
      </c>
      <c r="AI236" s="162">
        <v>0.63180000000000003</v>
      </c>
      <c r="AJ236" s="162">
        <v>0.66290000000000004</v>
      </c>
      <c r="AK236" s="162">
        <v>0.69399999999999995</v>
      </c>
      <c r="AL236" s="162">
        <v>0.70428000000000002</v>
      </c>
      <c r="AM236" s="162">
        <v>0.71455999999999997</v>
      </c>
      <c r="AN236" s="162">
        <v>0.72484000000000004</v>
      </c>
      <c r="AO236" s="162">
        <v>0.73512</v>
      </c>
      <c r="AP236" s="162">
        <v>0.74539999999999995</v>
      </c>
      <c r="AQ236" s="162">
        <v>0.74758000000000002</v>
      </c>
      <c r="AR236" s="162">
        <v>0.74975999999999998</v>
      </c>
      <c r="AS236" s="162">
        <v>0.75194000000000005</v>
      </c>
      <c r="AT236" s="162">
        <v>0.75412000000000001</v>
      </c>
      <c r="AU236" s="162">
        <v>0.75629999999999997</v>
      </c>
    </row>
    <row r="237" spans="1:47" ht="12.75" customHeight="1">
      <c r="A237" s="459">
        <v>42552</v>
      </c>
      <c r="B237" s="139">
        <v>26</v>
      </c>
      <c r="C237" s="162">
        <v>-0.34025</v>
      </c>
      <c r="D237" s="162">
        <v>-0.34025</v>
      </c>
      <c r="E237" s="162">
        <v>-0.33935999999999999</v>
      </c>
      <c r="F237" s="162">
        <v>-0.34026000000000001</v>
      </c>
      <c r="G237" s="162">
        <v>-0.34076000000000001</v>
      </c>
      <c r="H237" s="162">
        <v>-0.34899999999999998</v>
      </c>
      <c r="I237" s="162">
        <v>-0.35598000000000002</v>
      </c>
      <c r="J237" s="162">
        <v>-0.36059999999999998</v>
      </c>
      <c r="K237" s="162">
        <v>-0.36846000000000001</v>
      </c>
      <c r="L237" s="162">
        <v>-0.37546000000000002</v>
      </c>
      <c r="M237" s="162">
        <v>-0.38075999999999999</v>
      </c>
      <c r="N237" s="162">
        <v>-0.38675999999999999</v>
      </c>
      <c r="O237" s="162">
        <v>-0.38969999999999999</v>
      </c>
      <c r="P237" s="162">
        <v>-0.39629999999999999</v>
      </c>
      <c r="Q237" s="162">
        <v>-0.40050000000000002</v>
      </c>
      <c r="R237" s="162">
        <v>-0.40405999999999997</v>
      </c>
      <c r="S237" s="162">
        <v>-0.44319999999999998</v>
      </c>
      <c r="T237" s="162">
        <v>-0.44979999999999998</v>
      </c>
      <c r="U237" s="162">
        <v>-0.41399999999999998</v>
      </c>
      <c r="V237" s="162">
        <v>-0.34689999999999999</v>
      </c>
      <c r="W237" s="162">
        <v>-0.24640000000000001</v>
      </c>
      <c r="X237" s="162">
        <v>-0.13250000000000001</v>
      </c>
      <c r="Y237" s="162">
        <v>-1.2E-2</v>
      </c>
      <c r="Z237" s="162">
        <v>0.1051</v>
      </c>
      <c r="AA237" s="162">
        <v>0.21360000000000001</v>
      </c>
      <c r="AB237" s="162">
        <v>0.31040000000000001</v>
      </c>
      <c r="AC237" s="162">
        <v>0.3972</v>
      </c>
      <c r="AD237" s="162">
        <v>0.47139999999999999</v>
      </c>
      <c r="AE237" s="162">
        <v>0.53749999999999998</v>
      </c>
      <c r="AF237" s="162">
        <v>0.59389999999999998</v>
      </c>
      <c r="AG237" s="162">
        <v>0.62572000000000005</v>
      </c>
      <c r="AH237" s="162">
        <v>0.65754000000000001</v>
      </c>
      <c r="AI237" s="162">
        <v>0.68935999999999997</v>
      </c>
      <c r="AJ237" s="162">
        <v>0.72118000000000004</v>
      </c>
      <c r="AK237" s="162">
        <v>0.753</v>
      </c>
      <c r="AL237" s="162">
        <v>0.76326000000000005</v>
      </c>
      <c r="AM237" s="162">
        <v>0.77351999999999999</v>
      </c>
      <c r="AN237" s="162">
        <v>0.78378000000000003</v>
      </c>
      <c r="AO237" s="162">
        <v>0.79403999999999997</v>
      </c>
      <c r="AP237" s="162">
        <v>0.80430000000000001</v>
      </c>
      <c r="AQ237" s="162">
        <v>0.80693999999999999</v>
      </c>
      <c r="AR237" s="162">
        <v>0.80957999999999997</v>
      </c>
      <c r="AS237" s="162">
        <v>0.81222000000000005</v>
      </c>
      <c r="AT237" s="162">
        <v>0.81486000000000003</v>
      </c>
      <c r="AU237" s="162">
        <v>0.8175</v>
      </c>
    </row>
    <row r="238" spans="1:47" ht="12.75" customHeight="1">
      <c r="A238" s="459">
        <v>42559</v>
      </c>
      <c r="B238" s="139">
        <v>27</v>
      </c>
      <c r="C238" s="162">
        <v>-0.32574999999999998</v>
      </c>
      <c r="D238" s="162">
        <v>-0.32574999999999998</v>
      </c>
      <c r="E238" s="162">
        <v>-0.3342</v>
      </c>
      <c r="F238" s="162">
        <v>-0.33529999999999999</v>
      </c>
      <c r="G238" s="162">
        <v>-0.33885999999999999</v>
      </c>
      <c r="H238" s="162">
        <v>-0.34960000000000002</v>
      </c>
      <c r="I238" s="162">
        <v>-0.36130000000000001</v>
      </c>
      <c r="J238" s="162">
        <v>-0.37140000000000001</v>
      </c>
      <c r="K238" s="162">
        <v>-0.37766</v>
      </c>
      <c r="L238" s="162">
        <v>-0.38782</v>
      </c>
      <c r="M238" s="162">
        <v>-0.39945999999999998</v>
      </c>
      <c r="N238" s="162">
        <v>-0.4042</v>
      </c>
      <c r="O238" s="162">
        <v>-0.41255999999999998</v>
      </c>
      <c r="P238" s="162">
        <v>-0.41726000000000002</v>
      </c>
      <c r="Q238" s="162">
        <v>-0.42586000000000002</v>
      </c>
      <c r="R238" s="162">
        <v>-0.42970000000000003</v>
      </c>
      <c r="S238" s="162">
        <v>-0.47839999999999999</v>
      </c>
      <c r="T238" s="162">
        <v>-0.49230000000000002</v>
      </c>
      <c r="U238" s="162">
        <v>-0.46879999999999999</v>
      </c>
      <c r="V238" s="162">
        <v>-0.4088</v>
      </c>
      <c r="W238" s="162">
        <v>-0.32600000000000001</v>
      </c>
      <c r="X238" s="162">
        <v>-0.22339999999999999</v>
      </c>
      <c r="Y238" s="162">
        <v>-0.1186</v>
      </c>
      <c r="Z238" s="162">
        <v>-1.2200000000000001E-2</v>
      </c>
      <c r="AA238" s="162">
        <v>8.6959999999999996E-2</v>
      </c>
      <c r="AB238" s="162">
        <v>0.17674000000000001</v>
      </c>
      <c r="AC238" s="162">
        <v>0.25750000000000001</v>
      </c>
      <c r="AD238" s="162">
        <v>0.32669999999999999</v>
      </c>
      <c r="AE238" s="162">
        <v>0.38850000000000001</v>
      </c>
      <c r="AF238" s="162">
        <v>0.43869999999999998</v>
      </c>
      <c r="AG238" s="162">
        <v>0.46709200000000001</v>
      </c>
      <c r="AH238" s="162">
        <v>0.49548399999999998</v>
      </c>
      <c r="AI238" s="162">
        <v>0.52387600000000001</v>
      </c>
      <c r="AJ238" s="162">
        <v>0.55226799999999998</v>
      </c>
      <c r="AK238" s="162">
        <v>0.58065999999999995</v>
      </c>
      <c r="AL238" s="162">
        <v>0.58930800000000005</v>
      </c>
      <c r="AM238" s="162">
        <v>0.59795600000000004</v>
      </c>
      <c r="AN238" s="162">
        <v>0.60660400000000003</v>
      </c>
      <c r="AO238" s="162">
        <v>0.61525200000000002</v>
      </c>
      <c r="AP238" s="162">
        <v>0.62390000000000001</v>
      </c>
      <c r="AQ238" s="162">
        <v>0.62616000000000005</v>
      </c>
      <c r="AR238" s="162">
        <v>0.62841999999999998</v>
      </c>
      <c r="AS238" s="162">
        <v>0.63068000000000002</v>
      </c>
      <c r="AT238" s="162">
        <v>0.63293999999999995</v>
      </c>
      <c r="AU238" s="162">
        <v>0.63519999999999999</v>
      </c>
    </row>
    <row r="239" spans="1:47" ht="12.75" customHeight="1">
      <c r="A239" s="459">
        <v>42566</v>
      </c>
      <c r="B239" s="139">
        <v>28</v>
      </c>
      <c r="C239" s="162">
        <v>-0.32324999999999998</v>
      </c>
      <c r="D239" s="162">
        <v>-0.32324999999999998</v>
      </c>
      <c r="E239" s="162">
        <v>-0.32879999999999998</v>
      </c>
      <c r="F239" s="162">
        <v>-0.32879999999999998</v>
      </c>
      <c r="G239" s="162">
        <v>-0.33829999999999999</v>
      </c>
      <c r="H239" s="162">
        <v>-0.34782000000000002</v>
      </c>
      <c r="I239" s="162">
        <v>-0.36402000000000001</v>
      </c>
      <c r="J239" s="162">
        <v>-0.3785</v>
      </c>
      <c r="K239" s="162">
        <v>-0.38850000000000001</v>
      </c>
      <c r="L239" s="162">
        <v>-0.40011999999999998</v>
      </c>
      <c r="M239" s="162">
        <v>-0.40986</v>
      </c>
      <c r="N239" s="162">
        <v>-0.41860000000000003</v>
      </c>
      <c r="O239" s="162">
        <v>-0.42599999999999999</v>
      </c>
      <c r="P239" s="162">
        <v>-0.43430000000000002</v>
      </c>
      <c r="Q239" s="162">
        <v>-0.44140000000000001</v>
      </c>
      <c r="R239" s="162">
        <v>-0.4476</v>
      </c>
      <c r="S239" s="162">
        <v>-0.49780000000000002</v>
      </c>
      <c r="T239" s="162">
        <v>-0.51105999999999996</v>
      </c>
      <c r="U239" s="162">
        <v>-0.50639999999999996</v>
      </c>
      <c r="V239" s="162">
        <v>-0.4667</v>
      </c>
      <c r="W239" s="162">
        <v>-0.39685999999999999</v>
      </c>
      <c r="X239" s="162">
        <v>-0.30420000000000003</v>
      </c>
      <c r="Y239" s="162">
        <v>-0.20030000000000001</v>
      </c>
      <c r="Z239" s="162">
        <v>-9.6299999999999997E-2</v>
      </c>
      <c r="AA239" s="162">
        <v>3.96E-3</v>
      </c>
      <c r="AB239" s="162">
        <v>9.214E-2</v>
      </c>
      <c r="AC239" s="162">
        <v>0.17496</v>
      </c>
      <c r="AD239" s="162">
        <v>0.24506</v>
      </c>
      <c r="AE239" s="162">
        <v>0.30640000000000001</v>
      </c>
      <c r="AF239" s="162">
        <v>0.35949999999999999</v>
      </c>
      <c r="AG239" s="162">
        <v>0.39007999999999998</v>
      </c>
      <c r="AH239" s="162">
        <v>0.42065999999999998</v>
      </c>
      <c r="AI239" s="162">
        <v>0.45123999999999997</v>
      </c>
      <c r="AJ239" s="162">
        <v>0.48182000000000003</v>
      </c>
      <c r="AK239" s="162">
        <v>0.51239999999999997</v>
      </c>
      <c r="AL239" s="162">
        <v>0.52161999999999997</v>
      </c>
      <c r="AM239" s="162">
        <v>0.53083999999999998</v>
      </c>
      <c r="AN239" s="162">
        <v>0.54005999999999998</v>
      </c>
      <c r="AO239" s="162">
        <v>0.54927999999999999</v>
      </c>
      <c r="AP239" s="162">
        <v>0.5585</v>
      </c>
      <c r="AQ239" s="162">
        <v>0.56225999999999998</v>
      </c>
      <c r="AR239" s="162">
        <v>0.56601999999999997</v>
      </c>
      <c r="AS239" s="162">
        <v>0.56977999999999995</v>
      </c>
      <c r="AT239" s="162">
        <v>0.57354000000000005</v>
      </c>
      <c r="AU239" s="162">
        <v>0.57730000000000004</v>
      </c>
    </row>
    <row r="240" spans="1:47" ht="12.75" customHeight="1">
      <c r="A240" s="459">
        <v>42573</v>
      </c>
      <c r="B240" s="139">
        <v>29</v>
      </c>
      <c r="C240" s="162">
        <v>-0.32700000000000001</v>
      </c>
      <c r="D240" s="162">
        <v>-0.32700000000000001</v>
      </c>
      <c r="E240" s="162">
        <v>-0.32729999999999998</v>
      </c>
      <c r="F240" s="162">
        <v>-0.32866000000000001</v>
      </c>
      <c r="G240" s="162">
        <v>-0.33961999999999998</v>
      </c>
      <c r="H240" s="162">
        <v>-0.34572000000000003</v>
      </c>
      <c r="I240" s="162">
        <v>-0.36026000000000002</v>
      </c>
      <c r="J240" s="162">
        <v>-0.37141999999999997</v>
      </c>
      <c r="K240" s="162">
        <v>-0.37980000000000003</v>
      </c>
      <c r="L240" s="162">
        <v>-0.39026</v>
      </c>
      <c r="M240" s="162">
        <v>-0.3987</v>
      </c>
      <c r="N240" s="162">
        <v>-0.40636</v>
      </c>
      <c r="O240" s="162">
        <v>-0.4143</v>
      </c>
      <c r="P240" s="162">
        <v>-0.42130000000000001</v>
      </c>
      <c r="Q240" s="162">
        <v>-0.42659999999999998</v>
      </c>
      <c r="R240" s="162">
        <v>-0.43169999999999997</v>
      </c>
      <c r="S240" s="162">
        <v>-0.4768</v>
      </c>
      <c r="T240" s="162">
        <v>-0.48870000000000002</v>
      </c>
      <c r="U240" s="162">
        <v>-0.47789999999999999</v>
      </c>
      <c r="V240" s="162">
        <v>-0.43469999999999998</v>
      </c>
      <c r="W240" s="162">
        <v>-0.36326000000000003</v>
      </c>
      <c r="X240" s="162">
        <v>-0.26879999999999998</v>
      </c>
      <c r="Y240" s="162">
        <v>-0.161</v>
      </c>
      <c r="Z240" s="162">
        <v>-5.3859999999999998E-2</v>
      </c>
      <c r="AA240" s="162">
        <v>4.6059999999999997E-2</v>
      </c>
      <c r="AB240" s="162">
        <v>0.13718</v>
      </c>
      <c r="AC240" s="162">
        <v>0.21890000000000001</v>
      </c>
      <c r="AD240" s="162">
        <v>0.28926000000000002</v>
      </c>
      <c r="AE240" s="162">
        <v>0.35</v>
      </c>
      <c r="AF240" s="162">
        <v>0.40200000000000002</v>
      </c>
      <c r="AG240" s="162">
        <v>0.43285200000000001</v>
      </c>
      <c r="AH240" s="162">
        <v>0.46370400000000001</v>
      </c>
      <c r="AI240" s="162">
        <v>0.494556</v>
      </c>
      <c r="AJ240" s="162">
        <v>0.52540799999999999</v>
      </c>
      <c r="AK240" s="162">
        <v>0.55625999999999998</v>
      </c>
      <c r="AL240" s="162">
        <v>0.56706800000000002</v>
      </c>
      <c r="AM240" s="162">
        <v>0.57787599999999995</v>
      </c>
      <c r="AN240" s="162">
        <v>0.58868399999999999</v>
      </c>
      <c r="AO240" s="162">
        <v>0.59949200000000002</v>
      </c>
      <c r="AP240" s="162">
        <v>0.61029999999999995</v>
      </c>
      <c r="AQ240" s="162">
        <v>0.61407199999999995</v>
      </c>
      <c r="AR240" s="162">
        <v>0.61784399999999995</v>
      </c>
      <c r="AS240" s="162">
        <v>0.62161599999999995</v>
      </c>
      <c r="AT240" s="162">
        <v>0.62538800000000005</v>
      </c>
      <c r="AU240" s="162">
        <v>0.62916000000000005</v>
      </c>
    </row>
    <row r="241" spans="1:47" ht="12.75" customHeight="1">
      <c r="A241" s="459">
        <v>42580</v>
      </c>
      <c r="B241" s="139">
        <v>30</v>
      </c>
      <c r="C241" s="162">
        <v>-0.33500000000000002</v>
      </c>
      <c r="D241" s="162">
        <v>-0.33500000000000002</v>
      </c>
      <c r="E241" s="162">
        <v>-0.33543329999999999</v>
      </c>
      <c r="F241" s="162">
        <v>-0.33100000000000002</v>
      </c>
      <c r="G241" s="162">
        <v>-0.33729999999999999</v>
      </c>
      <c r="H241" s="162">
        <v>-0.3424333</v>
      </c>
      <c r="I241" s="162">
        <v>-0.35483330000000002</v>
      </c>
      <c r="J241" s="162">
        <v>-0.36699999999999999</v>
      </c>
      <c r="K241" s="162">
        <v>-0.37116670000000002</v>
      </c>
      <c r="L241" s="162">
        <v>-0.38150000000000001</v>
      </c>
      <c r="M241" s="162">
        <v>-0.38866669999999998</v>
      </c>
      <c r="N241" s="162">
        <v>-0.3953333</v>
      </c>
      <c r="O241" s="162">
        <v>-0.39766669999999998</v>
      </c>
      <c r="P241" s="162">
        <v>-0.4059333</v>
      </c>
      <c r="Q241" s="162">
        <v>-0.41299999999999998</v>
      </c>
      <c r="R241" s="162">
        <v>-0.41733330000000002</v>
      </c>
      <c r="S241" s="162">
        <v>-0.45366669999999998</v>
      </c>
      <c r="T241" s="162">
        <v>-0.46576669999999998</v>
      </c>
      <c r="U241" s="162">
        <v>-0.45366669999999998</v>
      </c>
      <c r="V241" s="162">
        <v>-0.40616669999999999</v>
      </c>
      <c r="W241" s="162">
        <v>-0.33166669999999998</v>
      </c>
      <c r="X241" s="162">
        <v>-0.23716670000000001</v>
      </c>
      <c r="Y241" s="162">
        <v>-0.1321667</v>
      </c>
      <c r="Z241" s="162">
        <v>-2.1833000000000002E-2</v>
      </c>
      <c r="AA241" s="162">
        <v>8.0266699999999996E-2</v>
      </c>
      <c r="AB241" s="162">
        <v>0.17449999999999999</v>
      </c>
      <c r="AC241" s="162">
        <v>0.25800000000000001</v>
      </c>
      <c r="AD241" s="162">
        <v>0.3306</v>
      </c>
      <c r="AE241" s="162">
        <v>0.39216669999999998</v>
      </c>
      <c r="AF241" s="162">
        <v>0.44493329999999998</v>
      </c>
      <c r="AG241" s="162">
        <v>0.47610000000000002</v>
      </c>
      <c r="AH241" s="162">
        <v>0.50726669999999996</v>
      </c>
      <c r="AI241" s="162">
        <v>0.5384333</v>
      </c>
      <c r="AJ241" s="162">
        <v>0.5696</v>
      </c>
      <c r="AK241" s="162">
        <v>0.60076669999999999</v>
      </c>
      <c r="AL241" s="162">
        <v>0.61148000000000002</v>
      </c>
      <c r="AM241" s="162">
        <v>0.62219329999999995</v>
      </c>
      <c r="AN241" s="162">
        <v>0.63290670000000004</v>
      </c>
      <c r="AO241" s="162">
        <v>0.64361999999999997</v>
      </c>
      <c r="AP241" s="162">
        <v>0.65433330000000001</v>
      </c>
      <c r="AQ241" s="162">
        <v>0.65825330000000004</v>
      </c>
      <c r="AR241" s="162">
        <v>0.66217329999999996</v>
      </c>
      <c r="AS241" s="162">
        <v>0.6660933</v>
      </c>
      <c r="AT241" s="162">
        <v>0.67001330000000003</v>
      </c>
      <c r="AU241" s="162">
        <v>0.67393329999999996</v>
      </c>
    </row>
    <row r="242" spans="1:47" ht="12.75" customHeight="1">
      <c r="A242" s="459">
        <v>42587</v>
      </c>
      <c r="B242" s="139">
        <v>31</v>
      </c>
      <c r="C242" s="162">
        <v>-0.33350000000000002</v>
      </c>
      <c r="D242" s="162">
        <v>-0.33350000000000002</v>
      </c>
      <c r="E242" s="162">
        <v>-0.33056000000000002</v>
      </c>
      <c r="F242" s="162">
        <v>-0.33356000000000002</v>
      </c>
      <c r="G242" s="162">
        <v>-0.33516000000000001</v>
      </c>
      <c r="H242" s="162">
        <v>-0.34332000000000001</v>
      </c>
      <c r="I242" s="162">
        <v>-0.3538</v>
      </c>
      <c r="J242" s="162">
        <v>-0.3609</v>
      </c>
      <c r="K242" s="162">
        <v>-0.36840000000000001</v>
      </c>
      <c r="L242" s="162">
        <v>-0.37380000000000002</v>
      </c>
      <c r="M242" s="162">
        <v>-0.37819999999999998</v>
      </c>
      <c r="N242" s="162">
        <v>-0.38290000000000002</v>
      </c>
      <c r="O242" s="162">
        <v>-0.38740000000000002</v>
      </c>
      <c r="P242" s="162">
        <v>-0.39269999999999999</v>
      </c>
      <c r="Q242" s="162">
        <v>-0.39560000000000001</v>
      </c>
      <c r="R242" s="162">
        <v>-0.39950000000000002</v>
      </c>
      <c r="S242" s="162">
        <v>-0.44019999999999998</v>
      </c>
      <c r="T242" s="162">
        <v>-0.4536</v>
      </c>
      <c r="U242" s="162">
        <v>-0.44275999999999999</v>
      </c>
      <c r="V242" s="162">
        <v>-0.40050000000000002</v>
      </c>
      <c r="W242" s="162">
        <v>-0.33139999999999997</v>
      </c>
      <c r="X242" s="162">
        <v>-0.24210000000000001</v>
      </c>
      <c r="Y242" s="162">
        <v>-0.14230000000000001</v>
      </c>
      <c r="Z242" s="162">
        <v>-3.8800000000000001E-2</v>
      </c>
      <c r="AA242" s="162">
        <v>6.1800000000000001E-2</v>
      </c>
      <c r="AB242" s="162">
        <v>0.15340000000000001</v>
      </c>
      <c r="AC242" s="162">
        <v>0.23369999999999999</v>
      </c>
      <c r="AD242" s="162">
        <v>0.30456</v>
      </c>
      <c r="AE242" s="162">
        <v>0.36465999999999998</v>
      </c>
      <c r="AF242" s="162">
        <v>0.41565999999999997</v>
      </c>
      <c r="AG242" s="162">
        <v>0.44568799999999997</v>
      </c>
      <c r="AH242" s="162">
        <v>0.47571600000000003</v>
      </c>
      <c r="AI242" s="162">
        <v>0.50574399999999997</v>
      </c>
      <c r="AJ242" s="162">
        <v>0.53577200000000003</v>
      </c>
      <c r="AK242" s="162">
        <v>0.56579999999999997</v>
      </c>
      <c r="AL242" s="162">
        <v>0.57555999999999996</v>
      </c>
      <c r="AM242" s="162">
        <v>0.58531999999999995</v>
      </c>
      <c r="AN242" s="162">
        <v>0.59508000000000005</v>
      </c>
      <c r="AO242" s="162">
        <v>0.60484000000000004</v>
      </c>
      <c r="AP242" s="162">
        <v>0.61460000000000004</v>
      </c>
      <c r="AQ242" s="162">
        <v>0.61750000000000005</v>
      </c>
      <c r="AR242" s="162">
        <v>0.62039999999999995</v>
      </c>
      <c r="AS242" s="162">
        <v>0.62329999999999997</v>
      </c>
      <c r="AT242" s="162">
        <v>0.62619999999999998</v>
      </c>
      <c r="AU242" s="162">
        <v>0.62909999999999999</v>
      </c>
    </row>
    <row r="243" spans="1:47" ht="12.75" customHeight="1">
      <c r="A243" s="459">
        <v>42594</v>
      </c>
      <c r="B243" s="139">
        <v>32</v>
      </c>
      <c r="C243" s="162">
        <v>-0.33250000000000002</v>
      </c>
      <c r="D243" s="162">
        <v>-0.33250000000000002</v>
      </c>
      <c r="E243" s="162">
        <v>-0.33400000000000002</v>
      </c>
      <c r="F243" s="162">
        <v>-0.33435999999999999</v>
      </c>
      <c r="G243" s="162">
        <v>-0.33276</v>
      </c>
      <c r="H243" s="162">
        <v>-0.34245999999999999</v>
      </c>
      <c r="I243" s="162">
        <v>-0.35139999999999999</v>
      </c>
      <c r="J243" s="162">
        <v>-0.35699999999999998</v>
      </c>
      <c r="K243" s="162">
        <v>-0.36280000000000001</v>
      </c>
      <c r="L243" s="162">
        <v>-0.3695</v>
      </c>
      <c r="M243" s="162">
        <v>-0.375</v>
      </c>
      <c r="N243" s="162">
        <v>-0.38030000000000003</v>
      </c>
      <c r="O243" s="162">
        <v>-0.38429999999999997</v>
      </c>
      <c r="P243" s="162">
        <v>-0.3886</v>
      </c>
      <c r="Q243" s="162">
        <v>-0.39329999999999998</v>
      </c>
      <c r="R243" s="162">
        <v>-0.39729999999999999</v>
      </c>
      <c r="S243" s="162">
        <v>-0.436</v>
      </c>
      <c r="T243" s="162">
        <v>-0.45085999999999998</v>
      </c>
      <c r="U243" s="162">
        <v>-0.44275999999999999</v>
      </c>
      <c r="V243" s="162">
        <v>-0.40466000000000002</v>
      </c>
      <c r="W243" s="162">
        <v>-0.3377</v>
      </c>
      <c r="X243" s="162">
        <v>-0.25290000000000001</v>
      </c>
      <c r="Y243" s="162">
        <v>-0.155</v>
      </c>
      <c r="Z243" s="162">
        <v>-5.3999999999999999E-2</v>
      </c>
      <c r="AA243" s="162">
        <v>4.2000000000000003E-2</v>
      </c>
      <c r="AB243" s="162">
        <v>0.13172</v>
      </c>
      <c r="AC243" s="162">
        <v>0.21029999999999999</v>
      </c>
      <c r="AD243" s="162">
        <v>0.27836</v>
      </c>
      <c r="AE243" s="162">
        <v>0.33889999999999998</v>
      </c>
      <c r="AF243" s="162">
        <v>0.38800000000000001</v>
      </c>
      <c r="AG243" s="162">
        <v>0.41758000000000001</v>
      </c>
      <c r="AH243" s="162">
        <v>0.44716</v>
      </c>
      <c r="AI243" s="162">
        <v>0.47674</v>
      </c>
      <c r="AJ243" s="162">
        <v>0.50631999999999999</v>
      </c>
      <c r="AK243" s="162">
        <v>0.53590000000000004</v>
      </c>
      <c r="AL243" s="162">
        <v>0.54598000000000002</v>
      </c>
      <c r="AM243" s="162">
        <v>0.55606</v>
      </c>
      <c r="AN243" s="162">
        <v>0.56613999999999998</v>
      </c>
      <c r="AO243" s="162">
        <v>0.57621999999999995</v>
      </c>
      <c r="AP243" s="162">
        <v>0.58630000000000004</v>
      </c>
      <c r="AQ243" s="162">
        <v>0.58923999999999999</v>
      </c>
      <c r="AR243" s="162">
        <v>0.59218000000000004</v>
      </c>
      <c r="AS243" s="162">
        <v>0.59511999999999998</v>
      </c>
      <c r="AT243" s="162">
        <v>0.59806000000000004</v>
      </c>
      <c r="AU243" s="162">
        <v>0.60099999999999998</v>
      </c>
    </row>
    <row r="244" spans="1:47" ht="12.75" customHeight="1">
      <c r="A244" s="459">
        <v>42601</v>
      </c>
      <c r="B244" s="139">
        <v>33</v>
      </c>
      <c r="C244" s="162">
        <v>-0.33925</v>
      </c>
      <c r="D244" s="162">
        <v>-0.33925</v>
      </c>
      <c r="E244" s="162">
        <v>-0.33650000000000002</v>
      </c>
      <c r="F244" s="162">
        <v>-0.3362</v>
      </c>
      <c r="G244" s="162">
        <v>-0.33350000000000002</v>
      </c>
      <c r="H244" s="162">
        <v>-0.3448</v>
      </c>
      <c r="I244" s="162">
        <v>-0.35099999999999998</v>
      </c>
      <c r="J244" s="162">
        <v>-0.35580000000000001</v>
      </c>
      <c r="K244" s="162">
        <v>-0.36220000000000002</v>
      </c>
      <c r="L244" s="162">
        <v>-0.36969999999999997</v>
      </c>
      <c r="M244" s="162">
        <v>-0.3765</v>
      </c>
      <c r="N244" s="162">
        <v>-0.3826</v>
      </c>
      <c r="O244" s="162">
        <v>-0.38769999999999999</v>
      </c>
      <c r="P244" s="162">
        <v>-0.3931</v>
      </c>
      <c r="Q244" s="162">
        <v>-0.39789999999999998</v>
      </c>
      <c r="R244" s="162">
        <v>-0.4032</v>
      </c>
      <c r="S244" s="162">
        <v>-0.44679999999999997</v>
      </c>
      <c r="T244" s="162">
        <v>-0.46350000000000002</v>
      </c>
      <c r="U244" s="162">
        <v>-0.45519999999999999</v>
      </c>
      <c r="V244" s="162">
        <v>-0.41810000000000003</v>
      </c>
      <c r="W244" s="162">
        <v>-0.35149999999999998</v>
      </c>
      <c r="X244" s="162">
        <v>-0.2681</v>
      </c>
      <c r="Y244" s="162">
        <v>-0.17166000000000001</v>
      </c>
      <c r="Z244" s="162">
        <v>-7.1300000000000002E-2</v>
      </c>
      <c r="AA244" s="162">
        <v>2.4299999999999999E-2</v>
      </c>
      <c r="AB244" s="162">
        <v>0.11402</v>
      </c>
      <c r="AC244" s="162">
        <v>0.1925</v>
      </c>
      <c r="AD244" s="162">
        <v>0.26550000000000001</v>
      </c>
      <c r="AE244" s="162">
        <v>0.32346000000000003</v>
      </c>
      <c r="AF244" s="162">
        <v>0.3745</v>
      </c>
      <c r="AG244" s="162">
        <v>0.40511999999999998</v>
      </c>
      <c r="AH244" s="162">
        <v>0.43574000000000002</v>
      </c>
      <c r="AI244" s="162">
        <v>0.46636</v>
      </c>
      <c r="AJ244" s="162">
        <v>0.49697999999999998</v>
      </c>
      <c r="AK244" s="162">
        <v>0.52759999999999996</v>
      </c>
      <c r="AL244" s="162">
        <v>0.53788000000000002</v>
      </c>
      <c r="AM244" s="162">
        <v>0.54815999999999998</v>
      </c>
      <c r="AN244" s="162">
        <v>0.55844000000000005</v>
      </c>
      <c r="AO244" s="162">
        <v>0.56872</v>
      </c>
      <c r="AP244" s="162">
        <v>0.57899999999999996</v>
      </c>
      <c r="AQ244" s="162">
        <v>0.58262000000000003</v>
      </c>
      <c r="AR244" s="162">
        <v>0.58623999999999998</v>
      </c>
      <c r="AS244" s="162">
        <v>0.58986000000000005</v>
      </c>
      <c r="AT244" s="162">
        <v>0.59348000000000001</v>
      </c>
      <c r="AU244" s="162">
        <v>0.59709999999999996</v>
      </c>
    </row>
    <row r="245" spans="1:47" ht="12.75" customHeight="1">
      <c r="A245" s="459">
        <v>42608</v>
      </c>
      <c r="B245" s="139">
        <v>34</v>
      </c>
      <c r="C245" s="162">
        <v>-0.33975</v>
      </c>
      <c r="D245" s="162">
        <v>-0.33975</v>
      </c>
      <c r="E245" s="162">
        <v>-0.33679999999999999</v>
      </c>
      <c r="F245" s="162">
        <v>-0.33679999999999999</v>
      </c>
      <c r="G245" s="162">
        <v>-0.34129999999999999</v>
      </c>
      <c r="H245" s="162">
        <v>-0.34839999999999999</v>
      </c>
      <c r="I245" s="162">
        <v>-0.35199999999999998</v>
      </c>
      <c r="J245" s="162">
        <v>-0.35499999999999998</v>
      </c>
      <c r="K245" s="162">
        <v>-0.36249999999999999</v>
      </c>
      <c r="L245" s="162">
        <v>-0.3695</v>
      </c>
      <c r="M245" s="162">
        <v>-0.37640000000000001</v>
      </c>
      <c r="N245" s="162">
        <v>-0.38059999999999999</v>
      </c>
      <c r="O245" s="162">
        <v>-0.38429999999999997</v>
      </c>
      <c r="P245" s="162">
        <v>-0.38869999999999999</v>
      </c>
      <c r="Q245" s="162">
        <v>-0.39410000000000001</v>
      </c>
      <c r="R245" s="162">
        <v>-0.3987</v>
      </c>
      <c r="S245" s="162">
        <v>-0.43419999999999997</v>
      </c>
      <c r="T245" s="162">
        <v>-0.44550000000000001</v>
      </c>
      <c r="U245" s="162">
        <v>-0.44119999999999998</v>
      </c>
      <c r="V245" s="162">
        <v>-0.40429999999999999</v>
      </c>
      <c r="W245" s="162">
        <v>-0.34079999999999999</v>
      </c>
      <c r="X245" s="162">
        <v>-0.25519999999999998</v>
      </c>
      <c r="Y245" s="162">
        <v>-0.15759999999999999</v>
      </c>
      <c r="Z245" s="162">
        <v>-5.67E-2</v>
      </c>
      <c r="AA245" s="162">
        <v>3.8300000000000001E-2</v>
      </c>
      <c r="AB245" s="162">
        <v>0.12665999999999999</v>
      </c>
      <c r="AC245" s="162">
        <v>0.2054</v>
      </c>
      <c r="AD245" s="162">
        <v>0.27545999999999998</v>
      </c>
      <c r="AE245" s="162">
        <v>0.33679999999999999</v>
      </c>
      <c r="AF245" s="162">
        <v>0.38690000000000002</v>
      </c>
      <c r="AG245" s="162">
        <v>0.41765999999999998</v>
      </c>
      <c r="AH245" s="162">
        <v>0.44841999999999999</v>
      </c>
      <c r="AI245" s="162">
        <v>0.47917999999999999</v>
      </c>
      <c r="AJ245" s="162">
        <v>0.50993999999999995</v>
      </c>
      <c r="AK245" s="162">
        <v>0.54069999999999996</v>
      </c>
      <c r="AL245" s="162">
        <v>0.55144000000000004</v>
      </c>
      <c r="AM245" s="162">
        <v>0.56218000000000001</v>
      </c>
      <c r="AN245" s="162">
        <v>0.57291999999999998</v>
      </c>
      <c r="AO245" s="162">
        <v>0.58365999999999996</v>
      </c>
      <c r="AP245" s="162">
        <v>0.59440000000000004</v>
      </c>
      <c r="AQ245" s="162">
        <v>0.59755999999999998</v>
      </c>
      <c r="AR245" s="162">
        <v>0.60072000000000003</v>
      </c>
      <c r="AS245" s="162">
        <v>0.60387999999999997</v>
      </c>
      <c r="AT245" s="162">
        <v>0.60704000000000002</v>
      </c>
      <c r="AU245" s="162">
        <v>0.61019999999999996</v>
      </c>
    </row>
    <row r="246" spans="1:47" ht="12.75" customHeight="1">
      <c r="A246" s="459">
        <v>42615</v>
      </c>
      <c r="B246" s="139">
        <v>35</v>
      </c>
      <c r="C246" s="162">
        <v>-0.34025</v>
      </c>
      <c r="D246" s="162">
        <v>-0.34025</v>
      </c>
      <c r="E246" s="162">
        <v>-0.3362</v>
      </c>
      <c r="F246" s="162">
        <v>-0.33860000000000001</v>
      </c>
      <c r="G246" s="162">
        <v>-0.34361999999999998</v>
      </c>
      <c r="H246" s="162">
        <v>-0.34876000000000001</v>
      </c>
      <c r="I246" s="162">
        <v>-0.35349999999999998</v>
      </c>
      <c r="J246" s="162">
        <v>-0.35639999999999999</v>
      </c>
      <c r="K246" s="162">
        <v>-0.3634</v>
      </c>
      <c r="L246" s="162">
        <v>-0.36780000000000002</v>
      </c>
      <c r="M246" s="162">
        <v>-0.37169999999999997</v>
      </c>
      <c r="N246" s="162">
        <v>-0.37712000000000001</v>
      </c>
      <c r="O246" s="162">
        <v>-0.38059999999999999</v>
      </c>
      <c r="P246" s="162">
        <v>-0.3851</v>
      </c>
      <c r="Q246" s="162">
        <v>-0.38769999999999999</v>
      </c>
      <c r="R246" s="162">
        <v>-0.3911</v>
      </c>
      <c r="S246" s="162">
        <v>-0.4234</v>
      </c>
      <c r="T246" s="162">
        <v>-0.43319999999999997</v>
      </c>
      <c r="U246" s="162">
        <v>-0.42759999999999998</v>
      </c>
      <c r="V246" s="162">
        <v>-0.3972</v>
      </c>
      <c r="W246" s="162">
        <v>-0.34110000000000001</v>
      </c>
      <c r="X246" s="162">
        <v>-0.2626</v>
      </c>
      <c r="Y246" s="162">
        <v>-0.1699</v>
      </c>
      <c r="Z246" s="162">
        <v>-7.6100000000000001E-2</v>
      </c>
      <c r="AA246" s="162">
        <v>1.5599999999999999E-2</v>
      </c>
      <c r="AB246" s="162">
        <v>0.10116</v>
      </c>
      <c r="AC246" s="162">
        <v>0.1782</v>
      </c>
      <c r="AD246" s="162">
        <v>0.24479999999999999</v>
      </c>
      <c r="AE246" s="162">
        <v>0.30409999999999998</v>
      </c>
      <c r="AF246" s="162">
        <v>0.35496</v>
      </c>
      <c r="AG246" s="162">
        <v>0.38584000000000002</v>
      </c>
      <c r="AH246" s="162">
        <v>0.41671999999999998</v>
      </c>
      <c r="AI246" s="162">
        <v>0.4476</v>
      </c>
      <c r="AJ246" s="162">
        <v>0.47848000000000002</v>
      </c>
      <c r="AK246" s="162">
        <v>0.50936000000000003</v>
      </c>
      <c r="AL246" s="162">
        <v>0.51983999999999997</v>
      </c>
      <c r="AM246" s="162">
        <v>0.53032000000000001</v>
      </c>
      <c r="AN246" s="162">
        <v>0.54079999999999995</v>
      </c>
      <c r="AO246" s="162">
        <v>0.55127999999999999</v>
      </c>
      <c r="AP246" s="162">
        <v>0.56176000000000004</v>
      </c>
      <c r="AQ246" s="162">
        <v>0.565168</v>
      </c>
      <c r="AR246" s="162">
        <v>0.56857599999999997</v>
      </c>
      <c r="AS246" s="162">
        <v>0.57198400000000005</v>
      </c>
      <c r="AT246" s="162">
        <v>0.57539200000000001</v>
      </c>
      <c r="AU246" s="162">
        <v>0.57879999999999998</v>
      </c>
    </row>
    <row r="247" spans="1:47" ht="12.75" customHeight="1">
      <c r="A247" s="459">
        <v>42622</v>
      </c>
      <c r="B247" s="139">
        <v>36</v>
      </c>
      <c r="C247" s="162">
        <v>-0.33825</v>
      </c>
      <c r="D247" s="162">
        <v>-0.33825</v>
      </c>
      <c r="E247" s="162">
        <v>-0.33950000000000002</v>
      </c>
      <c r="F247" s="162">
        <v>-0.34066000000000002</v>
      </c>
      <c r="G247" s="162">
        <v>-0.34258</v>
      </c>
      <c r="H247" s="162">
        <v>-0.35026000000000002</v>
      </c>
      <c r="I247" s="162">
        <v>-0.35120000000000001</v>
      </c>
      <c r="J247" s="162">
        <v>-0.35770000000000002</v>
      </c>
      <c r="K247" s="162">
        <v>-0.36080000000000001</v>
      </c>
      <c r="L247" s="162">
        <v>-0.36630000000000001</v>
      </c>
      <c r="M247" s="162">
        <v>-0.373</v>
      </c>
      <c r="N247" s="162">
        <v>-0.37680000000000002</v>
      </c>
      <c r="O247" s="162">
        <v>-0.38229999999999997</v>
      </c>
      <c r="P247" s="162">
        <v>-0.38540000000000002</v>
      </c>
      <c r="Q247" s="162">
        <v>-0.38869999999999999</v>
      </c>
      <c r="R247" s="162">
        <v>-0.39140000000000003</v>
      </c>
      <c r="S247" s="162">
        <v>-0.42420000000000002</v>
      </c>
      <c r="T247" s="162">
        <v>-0.43596000000000001</v>
      </c>
      <c r="U247" s="162">
        <v>-0.42780000000000001</v>
      </c>
      <c r="V247" s="162">
        <v>-0.39579999999999999</v>
      </c>
      <c r="W247" s="162">
        <v>-0.33816000000000002</v>
      </c>
      <c r="X247" s="162">
        <v>-0.26090000000000002</v>
      </c>
      <c r="Y247" s="162">
        <v>-0.16830000000000001</v>
      </c>
      <c r="Z247" s="162">
        <v>-7.4399999999999994E-2</v>
      </c>
      <c r="AA247" s="162">
        <v>1.72E-2</v>
      </c>
      <c r="AB247" s="162">
        <v>0.1033</v>
      </c>
      <c r="AC247" s="162">
        <v>0.17946000000000001</v>
      </c>
      <c r="AD247" s="162">
        <v>0.24706</v>
      </c>
      <c r="AE247" s="162">
        <v>0.3039</v>
      </c>
      <c r="AF247" s="162">
        <v>0.35886000000000001</v>
      </c>
      <c r="AG247" s="162">
        <v>0.38991999999999999</v>
      </c>
      <c r="AH247" s="162">
        <v>0.42098000000000002</v>
      </c>
      <c r="AI247" s="162">
        <v>0.45204</v>
      </c>
      <c r="AJ247" s="162">
        <v>0.48309999999999997</v>
      </c>
      <c r="AK247" s="162">
        <v>0.51415999999999995</v>
      </c>
      <c r="AL247" s="162">
        <v>0.52516799999999997</v>
      </c>
      <c r="AM247" s="162">
        <v>0.53617599999999999</v>
      </c>
      <c r="AN247" s="162">
        <v>0.547184</v>
      </c>
      <c r="AO247" s="162">
        <v>0.55819200000000002</v>
      </c>
      <c r="AP247" s="162">
        <v>0.56920000000000004</v>
      </c>
      <c r="AQ247" s="162">
        <v>0.57282</v>
      </c>
      <c r="AR247" s="162">
        <v>0.57643999999999995</v>
      </c>
      <c r="AS247" s="162">
        <v>0.58006000000000002</v>
      </c>
      <c r="AT247" s="162">
        <v>0.58367999999999998</v>
      </c>
      <c r="AU247" s="162">
        <v>0.58730000000000004</v>
      </c>
    </row>
    <row r="248" spans="1:47" ht="12.75" customHeight="1">
      <c r="A248" s="459">
        <v>42629</v>
      </c>
      <c r="B248" s="139">
        <v>37</v>
      </c>
      <c r="C248" s="162">
        <v>-0.34275</v>
      </c>
      <c r="D248" s="162">
        <v>-0.34275</v>
      </c>
      <c r="E248" s="162">
        <v>-0.34032000000000001</v>
      </c>
      <c r="F248" s="162">
        <v>-0.34160000000000001</v>
      </c>
      <c r="G248" s="162">
        <v>-0.33432000000000001</v>
      </c>
      <c r="H248" s="162">
        <v>-0.33600000000000002</v>
      </c>
      <c r="I248" s="162">
        <v>-0.34</v>
      </c>
      <c r="J248" s="162">
        <v>-0.35536000000000001</v>
      </c>
      <c r="K248" s="162">
        <v>-0.35976000000000002</v>
      </c>
      <c r="L248" s="162">
        <v>-0.36915999999999999</v>
      </c>
      <c r="M248" s="162">
        <v>-0.37525999999999998</v>
      </c>
      <c r="N248" s="162">
        <v>-0.37980000000000003</v>
      </c>
      <c r="O248" s="162">
        <v>-0.3841</v>
      </c>
      <c r="P248" s="162">
        <v>-0.38985999999999998</v>
      </c>
      <c r="Q248" s="162">
        <v>-0.39419999999999999</v>
      </c>
      <c r="R248" s="162">
        <v>-0.39906000000000003</v>
      </c>
      <c r="S248" s="162">
        <v>-0.44119999999999998</v>
      </c>
      <c r="T248" s="162">
        <v>-0.45216000000000001</v>
      </c>
      <c r="U248" s="162">
        <v>-0.44019999999999998</v>
      </c>
      <c r="V248" s="162">
        <v>-0.40560000000000002</v>
      </c>
      <c r="W248" s="162">
        <v>-0.34620000000000001</v>
      </c>
      <c r="X248" s="162">
        <v>-0.26225999999999999</v>
      </c>
      <c r="Y248" s="162">
        <v>-0.1673</v>
      </c>
      <c r="Z248" s="162">
        <v>-6.6159999999999997E-2</v>
      </c>
      <c r="AA248" s="162">
        <v>2.9000000000000001E-2</v>
      </c>
      <c r="AB248" s="162">
        <v>0.11692</v>
      </c>
      <c r="AC248" s="162">
        <v>0.19819999999999999</v>
      </c>
      <c r="AD248" s="162">
        <v>0.26939999999999997</v>
      </c>
      <c r="AE248" s="162">
        <v>0.33139999999999997</v>
      </c>
      <c r="AF248" s="162">
        <v>0.38350000000000001</v>
      </c>
      <c r="AG248" s="162">
        <v>0.41631200000000002</v>
      </c>
      <c r="AH248" s="162">
        <v>0.44912400000000002</v>
      </c>
      <c r="AI248" s="162">
        <v>0.48193599999999998</v>
      </c>
      <c r="AJ248" s="162">
        <v>0.51474799999999998</v>
      </c>
      <c r="AK248" s="162">
        <v>0.54756000000000005</v>
      </c>
      <c r="AL248" s="162">
        <v>0.559388</v>
      </c>
      <c r="AM248" s="162">
        <v>0.57121599999999995</v>
      </c>
      <c r="AN248" s="162">
        <v>0.58304400000000001</v>
      </c>
      <c r="AO248" s="162">
        <v>0.59487199999999996</v>
      </c>
      <c r="AP248" s="162">
        <v>0.60670000000000002</v>
      </c>
      <c r="AQ248" s="162">
        <v>0.61097999999999997</v>
      </c>
      <c r="AR248" s="162">
        <v>0.61526000000000003</v>
      </c>
      <c r="AS248" s="162">
        <v>0.61953999999999998</v>
      </c>
      <c r="AT248" s="162">
        <v>0.62382000000000004</v>
      </c>
      <c r="AU248" s="162">
        <v>0.62809999999999999</v>
      </c>
    </row>
    <row r="249" spans="1:47" ht="12.75" customHeight="1">
      <c r="A249" s="459">
        <v>42636</v>
      </c>
      <c r="B249" s="139">
        <v>38</v>
      </c>
      <c r="C249" s="162">
        <v>-0.34425</v>
      </c>
      <c r="D249" s="162">
        <v>-0.34425</v>
      </c>
      <c r="E249" s="162">
        <v>-0.3422</v>
      </c>
      <c r="F249" s="162">
        <v>-0.3382</v>
      </c>
      <c r="G249" s="162">
        <v>-0.33460000000000001</v>
      </c>
      <c r="H249" s="162">
        <v>-0.33150000000000002</v>
      </c>
      <c r="I249" s="162">
        <v>-0.34076000000000001</v>
      </c>
      <c r="J249" s="162">
        <v>-0.3478</v>
      </c>
      <c r="K249" s="162">
        <v>-0.34920000000000001</v>
      </c>
      <c r="L249" s="162">
        <v>-0.35726000000000002</v>
      </c>
      <c r="M249" s="162">
        <v>-0.3649</v>
      </c>
      <c r="N249" s="162">
        <v>-0.36859999999999998</v>
      </c>
      <c r="O249" s="162">
        <v>-0.37159999999999999</v>
      </c>
      <c r="P249" s="162">
        <v>-0.37680000000000002</v>
      </c>
      <c r="Q249" s="162">
        <v>-0.38100000000000001</v>
      </c>
      <c r="R249" s="162">
        <v>-0.38469999999999999</v>
      </c>
      <c r="S249" s="162">
        <v>-0.41599999999999998</v>
      </c>
      <c r="T249" s="162">
        <v>-0.41849999999999998</v>
      </c>
      <c r="U249" s="162">
        <v>-0.39345999999999998</v>
      </c>
      <c r="V249" s="162">
        <v>-0.34176000000000001</v>
      </c>
      <c r="W249" s="162">
        <v>-0.26735999999999999</v>
      </c>
      <c r="X249" s="162">
        <v>-0.17236000000000001</v>
      </c>
      <c r="Y249" s="162">
        <v>-6.7360000000000003E-2</v>
      </c>
      <c r="Z249" s="162">
        <v>3.8559999999999997E-2</v>
      </c>
      <c r="AA249" s="162">
        <v>0.14036000000000001</v>
      </c>
      <c r="AB249" s="162">
        <v>0.23139999999999999</v>
      </c>
      <c r="AC249" s="162">
        <v>0.31506000000000001</v>
      </c>
      <c r="AD249" s="162">
        <v>0.38940000000000002</v>
      </c>
      <c r="AE249" s="162">
        <v>0.45300000000000001</v>
      </c>
      <c r="AF249" s="162">
        <v>0.50770000000000004</v>
      </c>
      <c r="AG249" s="162">
        <v>0.54115199999999997</v>
      </c>
      <c r="AH249" s="162">
        <v>0.574604</v>
      </c>
      <c r="AI249" s="162">
        <v>0.60805600000000004</v>
      </c>
      <c r="AJ249" s="162">
        <v>0.64150799999999997</v>
      </c>
      <c r="AK249" s="162">
        <v>0.67496</v>
      </c>
      <c r="AL249" s="162">
        <v>0.68692799999999998</v>
      </c>
      <c r="AM249" s="162">
        <v>0.69889599999999996</v>
      </c>
      <c r="AN249" s="162">
        <v>0.71086400000000005</v>
      </c>
      <c r="AO249" s="162">
        <v>0.72283200000000003</v>
      </c>
      <c r="AP249" s="162">
        <v>0.73480000000000001</v>
      </c>
      <c r="AQ249" s="162">
        <v>0.73963999999999996</v>
      </c>
      <c r="AR249" s="162">
        <v>0.74448000000000003</v>
      </c>
      <c r="AS249" s="162">
        <v>0.74931999999999999</v>
      </c>
      <c r="AT249" s="162">
        <v>0.75416000000000005</v>
      </c>
      <c r="AU249" s="162">
        <v>0.75900000000000001</v>
      </c>
    </row>
    <row r="250" spans="1:47" ht="12.75" customHeight="1">
      <c r="A250" s="459">
        <v>42643</v>
      </c>
      <c r="B250" s="139">
        <v>39</v>
      </c>
      <c r="C250" s="162">
        <v>-0.34549999999999997</v>
      </c>
      <c r="D250" s="162">
        <v>-0.34549999999999997</v>
      </c>
      <c r="E250" s="162">
        <v>-0.33739999999999998</v>
      </c>
      <c r="F250" s="162">
        <v>-0.33160000000000001</v>
      </c>
      <c r="G250" s="162">
        <v>-0.33110000000000001</v>
      </c>
      <c r="H250" s="162">
        <v>-0.33905999999999997</v>
      </c>
      <c r="I250" s="162">
        <v>-0.34322000000000003</v>
      </c>
      <c r="J250" s="162">
        <v>-0.34449999999999997</v>
      </c>
      <c r="K250" s="162">
        <v>-0.35439999999999999</v>
      </c>
      <c r="L250" s="162">
        <v>-0.35755999999999999</v>
      </c>
      <c r="M250" s="162">
        <v>-0.36420000000000002</v>
      </c>
      <c r="N250" s="162">
        <v>-0.36859999999999998</v>
      </c>
      <c r="O250" s="162">
        <v>-0.37156</v>
      </c>
      <c r="P250" s="162">
        <v>-0.37625999999999998</v>
      </c>
      <c r="Q250" s="162">
        <v>-0.38159999999999999</v>
      </c>
      <c r="R250" s="162">
        <v>-0.38335999999999998</v>
      </c>
      <c r="S250" s="162">
        <v>-0.42580000000000001</v>
      </c>
      <c r="T250" s="162">
        <v>-0.43049999999999999</v>
      </c>
      <c r="U250" s="162">
        <v>-0.41420000000000001</v>
      </c>
      <c r="V250" s="162">
        <v>-0.36825999999999998</v>
      </c>
      <c r="W250" s="162">
        <v>-0.29865999999999998</v>
      </c>
      <c r="X250" s="162">
        <v>-0.2094</v>
      </c>
      <c r="Y250" s="162">
        <v>-0.1101</v>
      </c>
      <c r="Z250" s="162">
        <v>-8.9999999999999993E-3</v>
      </c>
      <c r="AA250" s="162">
        <v>8.7900000000000006E-2</v>
      </c>
      <c r="AB250" s="162">
        <v>0.17924000000000001</v>
      </c>
      <c r="AC250" s="162">
        <v>0.26</v>
      </c>
      <c r="AD250" s="162">
        <v>0.33</v>
      </c>
      <c r="AE250" s="162">
        <v>0.3931</v>
      </c>
      <c r="AF250" s="162">
        <v>0.44946000000000003</v>
      </c>
      <c r="AG250" s="162">
        <v>0.48209999999999997</v>
      </c>
      <c r="AH250" s="162">
        <v>0.51473999999999998</v>
      </c>
      <c r="AI250" s="162">
        <v>0.54737999999999998</v>
      </c>
      <c r="AJ250" s="162">
        <v>0.58001999999999998</v>
      </c>
      <c r="AK250" s="162">
        <v>0.61265999999999998</v>
      </c>
      <c r="AL250" s="162">
        <v>0.624108</v>
      </c>
      <c r="AM250" s="162">
        <v>0.63555600000000001</v>
      </c>
      <c r="AN250" s="162">
        <v>0.64700400000000002</v>
      </c>
      <c r="AO250" s="162">
        <v>0.65845200000000004</v>
      </c>
      <c r="AP250" s="162">
        <v>0.66990000000000005</v>
      </c>
      <c r="AQ250" s="162">
        <v>0.67453200000000002</v>
      </c>
      <c r="AR250" s="162">
        <v>0.67916399999999999</v>
      </c>
      <c r="AS250" s="162">
        <v>0.68379599999999996</v>
      </c>
      <c r="AT250" s="162">
        <v>0.68842800000000004</v>
      </c>
      <c r="AU250" s="162">
        <v>0.69306000000000001</v>
      </c>
    </row>
    <row r="251" spans="1:47" ht="12.75" customHeight="1">
      <c r="A251" s="459">
        <v>42650</v>
      </c>
      <c r="B251" s="139">
        <v>40</v>
      </c>
      <c r="C251" s="162">
        <v>-0.34425</v>
      </c>
      <c r="D251" s="162">
        <v>-0.34425</v>
      </c>
      <c r="E251" s="162">
        <v>-0.33450000000000002</v>
      </c>
      <c r="F251" s="162">
        <v>-0.33400000000000002</v>
      </c>
      <c r="G251" s="162">
        <v>-0.33645999999999998</v>
      </c>
      <c r="H251" s="162">
        <v>-0.34449999999999997</v>
      </c>
      <c r="I251" s="162">
        <v>-0.34250000000000003</v>
      </c>
      <c r="J251" s="162">
        <v>-0.3548</v>
      </c>
      <c r="K251" s="162">
        <v>-0.35170000000000001</v>
      </c>
      <c r="L251" s="162">
        <v>-0.36146</v>
      </c>
      <c r="M251" s="162">
        <v>-0.36896000000000001</v>
      </c>
      <c r="N251" s="162">
        <v>-0.36906</v>
      </c>
      <c r="O251" s="162">
        <v>-0.37690000000000001</v>
      </c>
      <c r="P251" s="162">
        <v>-0.37956000000000001</v>
      </c>
      <c r="Q251" s="162">
        <v>-0.38940000000000002</v>
      </c>
      <c r="R251" s="162">
        <v>-0.39300000000000002</v>
      </c>
      <c r="S251" s="162">
        <v>-0.436</v>
      </c>
      <c r="T251" s="162">
        <v>-0.45340000000000003</v>
      </c>
      <c r="U251" s="162">
        <v>-0.44735999999999998</v>
      </c>
      <c r="V251" s="162">
        <v>-0.41260000000000002</v>
      </c>
      <c r="W251" s="162">
        <v>-0.35289999999999999</v>
      </c>
      <c r="X251" s="162">
        <v>-0.27679999999999999</v>
      </c>
      <c r="Y251" s="162">
        <v>-0.18446000000000001</v>
      </c>
      <c r="Z251" s="162">
        <v>-8.4400000000000003E-2</v>
      </c>
      <c r="AA251" s="162">
        <v>5.5999999999999999E-3</v>
      </c>
      <c r="AB251" s="162">
        <v>9.6799999999999997E-2</v>
      </c>
      <c r="AC251" s="162">
        <v>0.17330000000000001</v>
      </c>
      <c r="AD251" s="162">
        <v>0.24615999999999999</v>
      </c>
      <c r="AE251" s="162">
        <v>0.30875999999999998</v>
      </c>
      <c r="AF251" s="162">
        <v>0.36026000000000002</v>
      </c>
      <c r="AG251" s="162">
        <v>0.39234799999999997</v>
      </c>
      <c r="AH251" s="162">
        <v>0.42443599999999998</v>
      </c>
      <c r="AI251" s="162">
        <v>0.45652399999999999</v>
      </c>
      <c r="AJ251" s="162">
        <v>0.48861199999999999</v>
      </c>
      <c r="AK251" s="162">
        <v>0.52070000000000005</v>
      </c>
      <c r="AL251" s="162">
        <v>0.53244000000000002</v>
      </c>
      <c r="AM251" s="162">
        <v>0.54418</v>
      </c>
      <c r="AN251" s="162">
        <v>0.55591999999999997</v>
      </c>
      <c r="AO251" s="162">
        <v>0.56766000000000005</v>
      </c>
      <c r="AP251" s="162">
        <v>0.57940000000000003</v>
      </c>
      <c r="AQ251" s="162">
        <v>0.58308000000000004</v>
      </c>
      <c r="AR251" s="162">
        <v>0.58675999999999995</v>
      </c>
      <c r="AS251" s="162">
        <v>0.59043999999999996</v>
      </c>
      <c r="AT251" s="162">
        <v>0.59411999999999998</v>
      </c>
      <c r="AU251" s="162">
        <v>0.5978</v>
      </c>
    </row>
    <row r="252" spans="1:47" ht="12.75" customHeight="1">
      <c r="A252" s="459">
        <v>42657</v>
      </c>
      <c r="B252" s="139">
        <v>41</v>
      </c>
      <c r="C252" s="162">
        <v>-0.33825</v>
      </c>
      <c r="D252" s="162">
        <v>-0.33825</v>
      </c>
      <c r="E252" s="162">
        <v>-0.34229999999999999</v>
      </c>
      <c r="F252" s="162">
        <v>-0.34026000000000001</v>
      </c>
      <c r="G252" s="162">
        <v>-0.3362</v>
      </c>
      <c r="H252" s="162">
        <v>-0.34179999999999999</v>
      </c>
      <c r="I252" s="162">
        <v>-0.34599999999999997</v>
      </c>
      <c r="J252" s="162">
        <v>-0.3538</v>
      </c>
      <c r="K252" s="162">
        <v>-0.35809999999999997</v>
      </c>
      <c r="L252" s="162">
        <v>-0.36142000000000002</v>
      </c>
      <c r="M252" s="162">
        <v>-0.36659999999999998</v>
      </c>
      <c r="N252" s="162">
        <v>-0.3715</v>
      </c>
      <c r="O252" s="162">
        <v>-0.37286000000000002</v>
      </c>
      <c r="P252" s="162">
        <v>-0.37830000000000003</v>
      </c>
      <c r="Q252" s="162">
        <v>-0.38219999999999998</v>
      </c>
      <c r="R252" s="162">
        <v>-0.38585999999999998</v>
      </c>
      <c r="S252" s="162">
        <v>-0.4158</v>
      </c>
      <c r="T252" s="162">
        <v>-0.42159999999999997</v>
      </c>
      <c r="U252" s="162">
        <v>-0.39960000000000001</v>
      </c>
      <c r="V252" s="162">
        <v>-0.35389999999999999</v>
      </c>
      <c r="W252" s="162">
        <v>-0.27879999999999999</v>
      </c>
      <c r="X252" s="162">
        <v>-0.19006000000000001</v>
      </c>
      <c r="Y252" s="162">
        <v>-9.1660000000000005E-2</v>
      </c>
      <c r="Z252" s="162">
        <v>1.18E-2</v>
      </c>
      <c r="AA252" s="162">
        <v>0.10929999999999999</v>
      </c>
      <c r="AB252" s="162">
        <v>0.20336000000000001</v>
      </c>
      <c r="AC252" s="162">
        <v>0.28670000000000001</v>
      </c>
      <c r="AD252" s="162">
        <v>0.35930000000000001</v>
      </c>
      <c r="AE252" s="162">
        <v>0.4224</v>
      </c>
      <c r="AF252" s="162">
        <v>0.47765999999999997</v>
      </c>
      <c r="AG252" s="162">
        <v>0.5101</v>
      </c>
      <c r="AH252" s="162">
        <v>0.54254000000000002</v>
      </c>
      <c r="AI252" s="162">
        <v>0.57498000000000005</v>
      </c>
      <c r="AJ252" s="162">
        <v>0.60741999999999996</v>
      </c>
      <c r="AK252" s="162">
        <v>0.63985999999999998</v>
      </c>
      <c r="AL252" s="162">
        <v>0.65129999999999999</v>
      </c>
      <c r="AM252" s="162">
        <v>0.66274</v>
      </c>
      <c r="AN252" s="162">
        <v>0.67418</v>
      </c>
      <c r="AO252" s="162">
        <v>0.68562000000000001</v>
      </c>
      <c r="AP252" s="162">
        <v>0.69706000000000001</v>
      </c>
      <c r="AQ252" s="162">
        <v>0.70168799999999998</v>
      </c>
      <c r="AR252" s="162">
        <v>0.70631600000000005</v>
      </c>
      <c r="AS252" s="162">
        <v>0.71094400000000002</v>
      </c>
      <c r="AT252" s="162">
        <v>0.71557199999999999</v>
      </c>
      <c r="AU252" s="162">
        <v>0.72019999999999995</v>
      </c>
    </row>
    <row r="253" spans="1:47" ht="12.75" customHeight="1">
      <c r="A253" s="459">
        <v>42664</v>
      </c>
      <c r="B253" s="139">
        <v>42</v>
      </c>
      <c r="C253" s="162">
        <v>-0.34699999999999998</v>
      </c>
      <c r="D253" s="162">
        <v>-0.34699999999999998</v>
      </c>
      <c r="E253" s="162">
        <v>-0.3448</v>
      </c>
      <c r="F253" s="162">
        <v>-0.34</v>
      </c>
      <c r="G253" s="162">
        <v>-0.34126000000000001</v>
      </c>
      <c r="H253" s="162">
        <v>-0.34449999999999997</v>
      </c>
      <c r="I253" s="162">
        <v>-0.34376000000000001</v>
      </c>
      <c r="J253" s="162">
        <v>-0.35039999999999999</v>
      </c>
      <c r="K253" s="162">
        <v>-0.35655999999999999</v>
      </c>
      <c r="L253" s="162">
        <v>-0.3599</v>
      </c>
      <c r="M253" s="162">
        <v>-0.36349999999999999</v>
      </c>
      <c r="N253" s="162">
        <v>-0.36646000000000001</v>
      </c>
      <c r="O253" s="162">
        <v>-0.37</v>
      </c>
      <c r="P253" s="162">
        <v>-0.37340000000000001</v>
      </c>
      <c r="Q253" s="162">
        <v>-0.37540000000000001</v>
      </c>
      <c r="R253" s="162">
        <v>-0.37740000000000001</v>
      </c>
      <c r="S253" s="162">
        <v>-0.39939999999999998</v>
      </c>
      <c r="T253" s="162">
        <v>-0.39700000000000002</v>
      </c>
      <c r="U253" s="162">
        <v>-0.36425999999999997</v>
      </c>
      <c r="V253" s="162">
        <v>-0.30740000000000001</v>
      </c>
      <c r="W253" s="162">
        <v>-0.23175999999999999</v>
      </c>
      <c r="X253" s="162">
        <v>-0.13550000000000001</v>
      </c>
      <c r="Y253" s="162">
        <v>-2.776E-2</v>
      </c>
      <c r="Z253" s="162">
        <v>8.0100000000000005E-2</v>
      </c>
      <c r="AA253" s="162">
        <v>0.1842</v>
      </c>
      <c r="AB253" s="162">
        <v>0.2787</v>
      </c>
      <c r="AC253" s="162">
        <v>0.36525999999999997</v>
      </c>
      <c r="AD253" s="162">
        <v>0.44025999999999998</v>
      </c>
      <c r="AE253" s="162">
        <v>0.50546000000000002</v>
      </c>
      <c r="AF253" s="162">
        <v>0.56310000000000004</v>
      </c>
      <c r="AG253" s="162">
        <v>0.59627200000000002</v>
      </c>
      <c r="AH253" s="162">
        <v>0.629444</v>
      </c>
      <c r="AI253" s="162">
        <v>0.66261599999999998</v>
      </c>
      <c r="AJ253" s="162">
        <v>0.69578799999999996</v>
      </c>
      <c r="AK253" s="162">
        <v>0.72896000000000005</v>
      </c>
      <c r="AL253" s="162">
        <v>0.74064799999999997</v>
      </c>
      <c r="AM253" s="162">
        <v>0.752336</v>
      </c>
      <c r="AN253" s="162">
        <v>0.76402400000000004</v>
      </c>
      <c r="AO253" s="162">
        <v>0.77571199999999996</v>
      </c>
      <c r="AP253" s="162">
        <v>0.78739999999999999</v>
      </c>
      <c r="AQ253" s="162">
        <v>0.79253200000000001</v>
      </c>
      <c r="AR253" s="162">
        <v>0.79766400000000004</v>
      </c>
      <c r="AS253" s="162">
        <v>0.80279599999999995</v>
      </c>
      <c r="AT253" s="162">
        <v>0.80792799999999998</v>
      </c>
      <c r="AU253" s="162">
        <v>0.81306</v>
      </c>
    </row>
    <row r="254" spans="1:47" ht="12.75" customHeight="1">
      <c r="A254" s="459">
        <v>42671</v>
      </c>
      <c r="B254" s="139">
        <v>43</v>
      </c>
      <c r="C254" s="162">
        <v>-0.35025000000000001</v>
      </c>
      <c r="D254" s="162">
        <v>-0.35025000000000001</v>
      </c>
      <c r="E254" s="162">
        <v>-0.34789999999999999</v>
      </c>
      <c r="F254" s="162">
        <v>-0.34501999999999999</v>
      </c>
      <c r="G254" s="162">
        <v>-0.34461999999999998</v>
      </c>
      <c r="H254" s="162">
        <v>-0.35039999999999999</v>
      </c>
      <c r="I254" s="162">
        <v>-0.35020000000000001</v>
      </c>
      <c r="J254" s="162">
        <v>-0.35699999999999998</v>
      </c>
      <c r="K254" s="162">
        <v>-0.35899999999999999</v>
      </c>
      <c r="L254" s="162">
        <v>-0.36556</v>
      </c>
      <c r="M254" s="162">
        <v>-0.36559999999999998</v>
      </c>
      <c r="N254" s="162">
        <v>-0.36880000000000002</v>
      </c>
      <c r="O254" s="162">
        <v>-0.36940000000000001</v>
      </c>
      <c r="P254" s="162">
        <v>-0.37490000000000001</v>
      </c>
      <c r="Q254" s="162">
        <v>-0.37559999999999999</v>
      </c>
      <c r="R254" s="162">
        <v>-0.37459999999999999</v>
      </c>
      <c r="S254" s="162">
        <v>-0.39560000000000001</v>
      </c>
      <c r="T254" s="162">
        <v>-0.3896</v>
      </c>
      <c r="U254" s="162">
        <v>-0.36180000000000001</v>
      </c>
      <c r="V254" s="162">
        <v>-0.30775999999999998</v>
      </c>
      <c r="W254" s="162">
        <v>-0.23469999999999999</v>
      </c>
      <c r="X254" s="162">
        <v>-0.1404</v>
      </c>
      <c r="Y254" s="162">
        <v>-4.07E-2</v>
      </c>
      <c r="Z254" s="162">
        <v>6.4600000000000005E-2</v>
      </c>
      <c r="AA254" s="162">
        <v>0.16569999999999999</v>
      </c>
      <c r="AB254" s="162">
        <v>0.25857999999999998</v>
      </c>
      <c r="AC254" s="162">
        <v>0.34136</v>
      </c>
      <c r="AD254" s="162">
        <v>0.41599999999999998</v>
      </c>
      <c r="AE254" s="162">
        <v>0.47986000000000001</v>
      </c>
      <c r="AF254" s="162">
        <v>0.53390000000000004</v>
      </c>
      <c r="AG254" s="162">
        <v>0.56635199999999997</v>
      </c>
      <c r="AH254" s="162">
        <v>0.598804</v>
      </c>
      <c r="AI254" s="162">
        <v>0.63125600000000004</v>
      </c>
      <c r="AJ254" s="162">
        <v>0.66370799999999996</v>
      </c>
      <c r="AK254" s="162">
        <v>0.69616</v>
      </c>
      <c r="AL254" s="162">
        <v>0.70718800000000004</v>
      </c>
      <c r="AM254" s="162">
        <v>0.71821599999999997</v>
      </c>
      <c r="AN254" s="162">
        <v>0.729244</v>
      </c>
      <c r="AO254" s="162">
        <v>0.74027200000000004</v>
      </c>
      <c r="AP254" s="162">
        <v>0.75129999999999997</v>
      </c>
      <c r="AQ254" s="162">
        <v>0.75571200000000005</v>
      </c>
      <c r="AR254" s="162">
        <v>0.76012400000000002</v>
      </c>
      <c r="AS254" s="162">
        <v>0.76453599999999999</v>
      </c>
      <c r="AT254" s="162">
        <v>0.76894799999999996</v>
      </c>
      <c r="AU254" s="162">
        <v>0.77336000000000005</v>
      </c>
    </row>
    <row r="255" spans="1:47" ht="12.75" customHeight="1">
      <c r="A255" s="459">
        <v>42678</v>
      </c>
      <c r="B255" s="139">
        <v>44</v>
      </c>
      <c r="C255" s="162">
        <v>-0.35175000000000001</v>
      </c>
      <c r="D255" s="162">
        <v>-0.35175000000000001</v>
      </c>
      <c r="E255" s="162">
        <v>-0.34760000000000002</v>
      </c>
      <c r="F255" s="162">
        <v>-0.34295999999999999</v>
      </c>
      <c r="G255" s="162">
        <v>-0.34549999999999997</v>
      </c>
      <c r="H255" s="162">
        <v>-0.35005999999999998</v>
      </c>
      <c r="I255" s="162">
        <v>-0.3508</v>
      </c>
      <c r="J255" s="162">
        <v>-0.35436000000000001</v>
      </c>
      <c r="K255" s="162">
        <v>-0.35599999999999998</v>
      </c>
      <c r="L255" s="162">
        <v>-0.35899999999999999</v>
      </c>
      <c r="M255" s="162">
        <v>-0.35949999999999999</v>
      </c>
      <c r="N255" s="162">
        <v>-0.36</v>
      </c>
      <c r="O255" s="162">
        <v>-0.36515999999999998</v>
      </c>
      <c r="P255" s="162">
        <v>-0.36480000000000001</v>
      </c>
      <c r="Q255" s="162">
        <v>-0.3644</v>
      </c>
      <c r="R255" s="162">
        <v>-0.36599999999999999</v>
      </c>
      <c r="S255" s="162">
        <v>-0.37059999999999998</v>
      </c>
      <c r="T255" s="162">
        <v>-0.3548</v>
      </c>
      <c r="U255" s="162">
        <v>-0.31775999999999999</v>
      </c>
      <c r="V255" s="162">
        <v>-0.25979999999999998</v>
      </c>
      <c r="W255" s="162">
        <v>-0.1792</v>
      </c>
      <c r="X255" s="162">
        <v>-8.516E-2</v>
      </c>
      <c r="Y255" s="162">
        <v>1.9060000000000001E-2</v>
      </c>
      <c r="Z255" s="162">
        <v>0.12665999999999999</v>
      </c>
      <c r="AA255" s="162">
        <v>0.22425999999999999</v>
      </c>
      <c r="AB255" s="162">
        <v>0.31924000000000002</v>
      </c>
      <c r="AC255" s="162">
        <v>0.40226000000000001</v>
      </c>
      <c r="AD255" s="162">
        <v>0.47486</v>
      </c>
      <c r="AE255" s="162">
        <v>0.54076000000000002</v>
      </c>
      <c r="AF255" s="162">
        <v>0.59899999999999998</v>
      </c>
      <c r="AG255" s="162">
        <v>0.63149200000000005</v>
      </c>
      <c r="AH255" s="162">
        <v>0.66398400000000002</v>
      </c>
      <c r="AI255" s="162">
        <v>0.69647599999999998</v>
      </c>
      <c r="AJ255" s="162">
        <v>0.72896799999999995</v>
      </c>
      <c r="AK255" s="162">
        <v>0.76146000000000003</v>
      </c>
      <c r="AL255" s="162">
        <v>0.77236000000000005</v>
      </c>
      <c r="AM255" s="162">
        <v>0.78325999999999996</v>
      </c>
      <c r="AN255" s="162">
        <v>0.79415999999999998</v>
      </c>
      <c r="AO255" s="162">
        <v>0.80506</v>
      </c>
      <c r="AP255" s="162">
        <v>0.81596000000000002</v>
      </c>
      <c r="AQ255" s="162">
        <v>0.82052000000000003</v>
      </c>
      <c r="AR255" s="162">
        <v>0.82508000000000004</v>
      </c>
      <c r="AS255" s="162">
        <v>0.82964000000000004</v>
      </c>
      <c r="AT255" s="162">
        <v>0.83420000000000005</v>
      </c>
      <c r="AU255" s="162">
        <v>0.83875999999999995</v>
      </c>
    </row>
    <row r="256" spans="1:47" ht="12.75" customHeight="1">
      <c r="A256" s="459">
        <v>42685</v>
      </c>
      <c r="B256" s="139">
        <v>45</v>
      </c>
      <c r="C256" s="162">
        <v>-0.34150000000000003</v>
      </c>
      <c r="D256" s="162">
        <v>-0.34150000000000003</v>
      </c>
      <c r="E256" s="162">
        <v>-0.34820000000000001</v>
      </c>
      <c r="F256" s="162">
        <v>-0.34720000000000001</v>
      </c>
      <c r="G256" s="162">
        <v>-0.34526000000000001</v>
      </c>
      <c r="H256" s="162">
        <v>-0.35005999999999998</v>
      </c>
      <c r="I256" s="162">
        <v>-0.35020000000000001</v>
      </c>
      <c r="J256" s="162">
        <v>-0.35170000000000001</v>
      </c>
      <c r="K256" s="162">
        <v>-0.35039999999999999</v>
      </c>
      <c r="L256" s="162">
        <v>-0.35360000000000003</v>
      </c>
      <c r="M256" s="162">
        <v>-0.35439999999999999</v>
      </c>
      <c r="N256" s="162">
        <v>-0.35520000000000002</v>
      </c>
      <c r="O256" s="162">
        <v>-0.35539999999999999</v>
      </c>
      <c r="P256" s="162">
        <v>-0.35510000000000003</v>
      </c>
      <c r="Q256" s="162">
        <v>-0.35580000000000001</v>
      </c>
      <c r="R256" s="162">
        <v>-0.35539999999999999</v>
      </c>
      <c r="S256" s="162">
        <v>-0.35360000000000003</v>
      </c>
      <c r="T256" s="162">
        <v>-0.33050000000000002</v>
      </c>
      <c r="U256" s="162">
        <v>-0.28666000000000003</v>
      </c>
      <c r="V256" s="162">
        <v>-0.22266</v>
      </c>
      <c r="W256" s="162">
        <v>-0.13655999999999999</v>
      </c>
      <c r="X256" s="162">
        <v>-3.5499999999999997E-2</v>
      </c>
      <c r="Y256" s="162">
        <v>7.3099999999999998E-2</v>
      </c>
      <c r="Z256" s="162">
        <v>0.18135999999999999</v>
      </c>
      <c r="AA256" s="162">
        <v>0.28205999999999998</v>
      </c>
      <c r="AB256" s="162">
        <v>0.37343999999999999</v>
      </c>
      <c r="AC256" s="162">
        <v>0.45635999999999999</v>
      </c>
      <c r="AD256" s="162">
        <v>0.52846000000000004</v>
      </c>
      <c r="AE256" s="162">
        <v>0.59165999999999996</v>
      </c>
      <c r="AF256" s="162">
        <v>0.64770000000000005</v>
      </c>
      <c r="AG256" s="162">
        <v>0.67900000000000005</v>
      </c>
      <c r="AH256" s="162">
        <v>0.71030000000000004</v>
      </c>
      <c r="AI256" s="162">
        <v>0.74160000000000004</v>
      </c>
      <c r="AJ256" s="162">
        <v>0.77290000000000003</v>
      </c>
      <c r="AK256" s="162">
        <v>0.80420000000000003</v>
      </c>
      <c r="AL256" s="162">
        <v>0.81535999999999997</v>
      </c>
      <c r="AM256" s="162">
        <v>0.82652000000000003</v>
      </c>
      <c r="AN256" s="162">
        <v>0.83767999999999998</v>
      </c>
      <c r="AO256" s="162">
        <v>0.84884000000000004</v>
      </c>
      <c r="AP256" s="162">
        <v>0.86</v>
      </c>
      <c r="AQ256" s="162">
        <v>0.86479200000000001</v>
      </c>
      <c r="AR256" s="162">
        <v>0.86958400000000002</v>
      </c>
      <c r="AS256" s="162">
        <v>0.87437600000000004</v>
      </c>
      <c r="AT256" s="162">
        <v>0.87916799999999995</v>
      </c>
      <c r="AU256" s="162">
        <v>0.88395999999999997</v>
      </c>
    </row>
    <row r="257" spans="1:47" ht="12.75" customHeight="1">
      <c r="A257" s="459">
        <v>42692</v>
      </c>
      <c r="B257" s="139">
        <v>46</v>
      </c>
      <c r="C257" s="162">
        <v>-0.34799999999999998</v>
      </c>
      <c r="D257" s="162">
        <v>-0.34799999999999998</v>
      </c>
      <c r="E257" s="162">
        <v>-0.34787499999999999</v>
      </c>
      <c r="F257" s="162">
        <v>-0.34194999999999998</v>
      </c>
      <c r="G257" s="162">
        <v>-0.34694999999999998</v>
      </c>
      <c r="H257" s="162">
        <v>-0.34644999999999998</v>
      </c>
      <c r="I257" s="162">
        <v>-0.34962500000000002</v>
      </c>
      <c r="J257" s="162">
        <v>-0.35112500000000002</v>
      </c>
      <c r="K257" s="162">
        <v>-0.35025000000000001</v>
      </c>
      <c r="L257" s="162">
        <v>-0.35087499999999999</v>
      </c>
      <c r="M257" s="162">
        <v>-0.35162500000000002</v>
      </c>
      <c r="N257" s="162">
        <v>-0.34920000000000001</v>
      </c>
      <c r="O257" s="162">
        <v>-0.35099999999999998</v>
      </c>
      <c r="P257" s="162">
        <v>-0.35307500000000003</v>
      </c>
      <c r="Q257" s="162">
        <v>-0.35087499999999999</v>
      </c>
      <c r="R257" s="162">
        <v>-0.35099999999999998</v>
      </c>
      <c r="S257" s="162">
        <v>-0.34075</v>
      </c>
      <c r="T257" s="162">
        <v>-0.316</v>
      </c>
      <c r="U257" s="162">
        <v>-0.26232499999999997</v>
      </c>
      <c r="V257" s="162">
        <v>-0.18845000000000001</v>
      </c>
      <c r="W257" s="162">
        <v>-9.6324999999999994E-2</v>
      </c>
      <c r="X257" s="162">
        <v>1.1325E-2</v>
      </c>
      <c r="Y257" s="162">
        <v>0.124325</v>
      </c>
      <c r="Z257" s="162">
        <v>0.23457500000000001</v>
      </c>
      <c r="AA257" s="162">
        <v>0.3387</v>
      </c>
      <c r="AB257" s="162">
        <v>0.43045</v>
      </c>
      <c r="AC257" s="162">
        <v>0.51532500000000003</v>
      </c>
      <c r="AD257" s="162">
        <v>0.58737499999999998</v>
      </c>
      <c r="AE257" s="162">
        <v>0.65044999999999997</v>
      </c>
      <c r="AF257" s="162">
        <v>0.70645000000000002</v>
      </c>
      <c r="AG257" s="162">
        <v>0.73860000000000003</v>
      </c>
      <c r="AH257" s="162">
        <v>0.77075000000000005</v>
      </c>
      <c r="AI257" s="162">
        <v>0.80289999999999995</v>
      </c>
      <c r="AJ257" s="162">
        <v>0.83504999999999996</v>
      </c>
      <c r="AK257" s="162">
        <v>0.86719999999999997</v>
      </c>
      <c r="AL257" s="162">
        <v>0.87860000000000005</v>
      </c>
      <c r="AM257" s="162">
        <v>0.89</v>
      </c>
      <c r="AN257" s="162">
        <v>0.90139999999999998</v>
      </c>
      <c r="AO257" s="162">
        <v>0.91279999999999994</v>
      </c>
      <c r="AP257" s="162">
        <v>0.92420000000000002</v>
      </c>
      <c r="AQ257" s="162">
        <v>0.92883499999999997</v>
      </c>
      <c r="AR257" s="162">
        <v>0.93347000000000002</v>
      </c>
      <c r="AS257" s="162">
        <v>0.93810499999999997</v>
      </c>
      <c r="AT257" s="162">
        <v>0.94274000000000002</v>
      </c>
      <c r="AU257" s="162">
        <v>0.94737499999999997</v>
      </c>
    </row>
    <row r="258" spans="1:47" ht="12.75" customHeight="1">
      <c r="A258" s="459">
        <v>42699</v>
      </c>
      <c r="B258" s="139">
        <v>47</v>
      </c>
      <c r="C258" s="162">
        <v>-0.3506667</v>
      </c>
      <c r="D258" s="162">
        <v>-0.3506667</v>
      </c>
      <c r="E258" s="162">
        <v>-0.34649999999999997</v>
      </c>
      <c r="F258" s="162">
        <v>-0.34499999999999997</v>
      </c>
      <c r="G258" s="162">
        <v>-0.34712500000000002</v>
      </c>
      <c r="H258" s="162">
        <v>-0.34732499999999999</v>
      </c>
      <c r="I258" s="162">
        <v>-0.34825</v>
      </c>
      <c r="J258" s="162">
        <v>-0.34849999999999998</v>
      </c>
      <c r="K258" s="162">
        <v>-0.34949999999999998</v>
      </c>
      <c r="L258" s="162">
        <v>-0.35212500000000002</v>
      </c>
      <c r="M258" s="162">
        <v>-0.35275000000000001</v>
      </c>
      <c r="N258" s="162">
        <v>-0.35244999999999999</v>
      </c>
      <c r="O258" s="162">
        <v>-0.352325</v>
      </c>
      <c r="P258" s="162">
        <v>-0.35237499999999999</v>
      </c>
      <c r="Q258" s="162">
        <v>-0.35175000000000001</v>
      </c>
      <c r="R258" s="162">
        <v>-0.35112500000000002</v>
      </c>
      <c r="S258" s="162">
        <v>-0.33224999999999999</v>
      </c>
      <c r="T258" s="162">
        <v>-0.27600000000000002</v>
      </c>
      <c r="U258" s="162">
        <v>-0.198325</v>
      </c>
      <c r="V258" s="162">
        <v>-0.103575</v>
      </c>
      <c r="W258" s="162">
        <v>5.875E-3</v>
      </c>
      <c r="X258" s="162">
        <v>0.121825</v>
      </c>
      <c r="Y258" s="162">
        <v>0.2382</v>
      </c>
      <c r="Z258" s="162">
        <v>0.351825</v>
      </c>
      <c r="AA258" s="162">
        <v>0.45737499999999998</v>
      </c>
      <c r="AB258" s="162">
        <v>0.55300000000000005</v>
      </c>
      <c r="AC258" s="162">
        <v>0.63532500000000003</v>
      </c>
      <c r="AD258" s="162">
        <v>0.70907500000000001</v>
      </c>
      <c r="AE258" s="162">
        <v>0.77212499999999995</v>
      </c>
      <c r="AF258" s="162">
        <v>0.826075</v>
      </c>
      <c r="AG258" s="162">
        <v>0.85862499999999997</v>
      </c>
      <c r="AH258" s="162">
        <v>0.89117500000000005</v>
      </c>
      <c r="AI258" s="162">
        <v>0.92372500000000002</v>
      </c>
      <c r="AJ258" s="162">
        <v>0.95627499999999999</v>
      </c>
      <c r="AK258" s="162">
        <v>0.98882499999999995</v>
      </c>
      <c r="AL258" s="162">
        <v>1.000375</v>
      </c>
      <c r="AM258" s="162">
        <v>1.011925</v>
      </c>
      <c r="AN258" s="162">
        <v>1.0234749999999999</v>
      </c>
      <c r="AO258" s="162">
        <v>1.0350250000000001</v>
      </c>
      <c r="AP258" s="162">
        <v>1.046575</v>
      </c>
      <c r="AQ258" s="162">
        <v>1.0513250000000001</v>
      </c>
      <c r="AR258" s="162">
        <v>1.0560750000000001</v>
      </c>
      <c r="AS258" s="162">
        <v>1.0608249999999999</v>
      </c>
      <c r="AT258" s="162">
        <v>1.0655749999999999</v>
      </c>
      <c r="AU258" s="162">
        <v>1.070325</v>
      </c>
    </row>
    <row r="259" spans="1:47" ht="12.75" customHeight="1">
      <c r="A259" s="459">
        <v>42706</v>
      </c>
      <c r="B259" s="139">
        <v>48</v>
      </c>
      <c r="C259" s="162">
        <v>-0.35</v>
      </c>
      <c r="D259" s="162">
        <v>-0.35</v>
      </c>
      <c r="E259" s="162">
        <v>-0.3473</v>
      </c>
      <c r="F259" s="162">
        <v>-0.3412</v>
      </c>
      <c r="G259" s="162">
        <v>-0.34871999999999997</v>
      </c>
      <c r="H259" s="162">
        <v>-0.34755999999999998</v>
      </c>
      <c r="I259" s="162">
        <v>-0.34842000000000001</v>
      </c>
      <c r="J259" s="162">
        <v>-0.34895999999999999</v>
      </c>
      <c r="K259" s="162">
        <v>-0.34949999999999998</v>
      </c>
      <c r="L259" s="162">
        <v>-0.35265999999999997</v>
      </c>
      <c r="M259" s="162">
        <v>-0.3518</v>
      </c>
      <c r="N259" s="162">
        <v>-0.3523</v>
      </c>
      <c r="O259" s="162">
        <v>-0.35249999999999998</v>
      </c>
      <c r="P259" s="162">
        <v>-0.35339999999999999</v>
      </c>
      <c r="Q259" s="162">
        <v>-0.35255999999999998</v>
      </c>
      <c r="R259" s="162">
        <v>-0.35360000000000003</v>
      </c>
      <c r="S259" s="162">
        <v>-0.34339999999999998</v>
      </c>
      <c r="T259" s="162">
        <v>-0.30570000000000003</v>
      </c>
      <c r="U259" s="162">
        <v>-0.23780000000000001</v>
      </c>
      <c r="V259" s="162">
        <v>-0.14829999999999999</v>
      </c>
      <c r="W259" s="162">
        <v>-4.5199999999999997E-2</v>
      </c>
      <c r="X259" s="162">
        <v>7.3499999999999996E-2</v>
      </c>
      <c r="Y259" s="162">
        <v>0.19420000000000001</v>
      </c>
      <c r="Z259" s="162">
        <v>0.31090000000000001</v>
      </c>
      <c r="AA259" s="162">
        <v>0.41860000000000003</v>
      </c>
      <c r="AB259" s="162">
        <v>0.51505999999999996</v>
      </c>
      <c r="AC259" s="162">
        <v>0.60016000000000003</v>
      </c>
      <c r="AD259" s="162">
        <v>0.67286000000000001</v>
      </c>
      <c r="AE259" s="162">
        <v>0.73550000000000004</v>
      </c>
      <c r="AF259" s="162">
        <v>0.7903</v>
      </c>
      <c r="AG259" s="162">
        <v>0.82355199999999995</v>
      </c>
      <c r="AH259" s="162">
        <v>0.85680400000000001</v>
      </c>
      <c r="AI259" s="162">
        <v>0.89005599999999996</v>
      </c>
      <c r="AJ259" s="162">
        <v>0.92330800000000002</v>
      </c>
      <c r="AK259" s="162">
        <v>0.95655999999999997</v>
      </c>
      <c r="AL259" s="162">
        <v>0.96916800000000003</v>
      </c>
      <c r="AM259" s="162">
        <v>0.98177599999999998</v>
      </c>
      <c r="AN259" s="162">
        <v>0.99438400000000005</v>
      </c>
      <c r="AO259" s="162">
        <v>1.0069920000000001</v>
      </c>
      <c r="AP259" s="162">
        <v>1.0196000000000001</v>
      </c>
      <c r="AQ259" s="162">
        <v>1.0245200000000001</v>
      </c>
      <c r="AR259" s="162">
        <v>1.0294399999999999</v>
      </c>
      <c r="AS259" s="162">
        <v>1.0343599999999999</v>
      </c>
      <c r="AT259" s="162">
        <v>1.03928</v>
      </c>
      <c r="AU259" s="162">
        <v>1.0442</v>
      </c>
    </row>
    <row r="260" spans="1:47" ht="12.75" customHeight="1">
      <c r="A260" s="459">
        <v>42713</v>
      </c>
      <c r="B260" s="139">
        <v>49</v>
      </c>
      <c r="C260" s="162">
        <v>-0.34</v>
      </c>
      <c r="D260" s="162">
        <v>-0.34</v>
      </c>
      <c r="E260" s="162">
        <v>-0.34599999999999997</v>
      </c>
      <c r="F260" s="162">
        <v>-0.34100000000000003</v>
      </c>
      <c r="G260" s="162">
        <v>-0.34799999999999998</v>
      </c>
      <c r="H260" s="162">
        <v>-0.34599999999999997</v>
      </c>
      <c r="I260" s="162">
        <v>-0.34699999999999998</v>
      </c>
      <c r="J260" s="162">
        <v>-0.34749999999999998</v>
      </c>
      <c r="K260" s="162">
        <v>-0.34949999999999998</v>
      </c>
      <c r="L260" s="162">
        <v>-0.34799999999999998</v>
      </c>
      <c r="M260" s="162">
        <v>-0.34699999999999998</v>
      </c>
      <c r="N260" s="162">
        <v>-0.34799999999999998</v>
      </c>
      <c r="O260" s="162">
        <v>-0.34899999999999998</v>
      </c>
      <c r="P260" s="162">
        <v>-0.34799999999999998</v>
      </c>
      <c r="Q260" s="162">
        <v>-0.34899999999999998</v>
      </c>
      <c r="R260" s="162">
        <v>-0.35</v>
      </c>
      <c r="S260" s="162">
        <v>-0.34300000000000003</v>
      </c>
      <c r="T260" s="162">
        <v>-0.3095</v>
      </c>
      <c r="U260" s="162">
        <v>-0.248</v>
      </c>
      <c r="V260" s="162">
        <v>-0.16200000000000001</v>
      </c>
      <c r="W260" s="162">
        <v>-5.6000000000000001E-2</v>
      </c>
      <c r="X260" s="162">
        <v>6.0999999999999999E-2</v>
      </c>
      <c r="Y260" s="162">
        <v>0.17829999999999999</v>
      </c>
      <c r="Z260" s="162">
        <v>0.29199999999999998</v>
      </c>
      <c r="AA260" s="162">
        <v>0.39950000000000002</v>
      </c>
      <c r="AB260" s="162">
        <v>0.496</v>
      </c>
      <c r="AC260" s="162">
        <v>0.57950000000000002</v>
      </c>
      <c r="AD260" s="162">
        <v>0.65329999999999999</v>
      </c>
      <c r="AE260" s="162">
        <v>0.71779999999999999</v>
      </c>
      <c r="AF260" s="162">
        <v>0.77300000000000002</v>
      </c>
      <c r="AG260" s="162">
        <v>0.80620000000000003</v>
      </c>
      <c r="AH260" s="162">
        <v>0.83940000000000003</v>
      </c>
      <c r="AI260" s="162">
        <v>0.87260000000000004</v>
      </c>
      <c r="AJ260" s="162">
        <v>0.90580000000000005</v>
      </c>
      <c r="AK260" s="162">
        <v>0.93899999999999995</v>
      </c>
      <c r="AL260" s="162">
        <v>0.95109999999999995</v>
      </c>
      <c r="AM260" s="162">
        <v>0.96319999999999995</v>
      </c>
      <c r="AN260" s="162">
        <v>0.97529999999999994</v>
      </c>
      <c r="AO260" s="162">
        <v>0.98740000000000006</v>
      </c>
      <c r="AP260" s="162">
        <v>0.99950000000000006</v>
      </c>
      <c r="AQ260" s="162">
        <v>1.0047999999999999</v>
      </c>
      <c r="AR260" s="162">
        <v>1.0101</v>
      </c>
      <c r="AS260" s="162">
        <v>1.0154000000000001</v>
      </c>
      <c r="AT260" s="162">
        <v>1.0206999999999999</v>
      </c>
      <c r="AU260" s="162">
        <v>1.026</v>
      </c>
    </row>
    <row r="261" spans="1:47" ht="12.75" customHeight="1">
      <c r="A261" s="459">
        <v>42720</v>
      </c>
      <c r="B261" s="139">
        <v>50</v>
      </c>
      <c r="C261" s="162">
        <v>-0.34825</v>
      </c>
      <c r="D261" s="162">
        <v>-0.34825</v>
      </c>
      <c r="E261" s="162">
        <v>-0.35086000000000001</v>
      </c>
      <c r="F261" s="162">
        <v>-0.35233999999999999</v>
      </c>
      <c r="G261" s="162">
        <v>-0.34698000000000001</v>
      </c>
      <c r="H261" s="162">
        <v>-0.34955999999999998</v>
      </c>
      <c r="I261" s="162">
        <v>-0.35052</v>
      </c>
      <c r="J261" s="162">
        <v>-0.34986</v>
      </c>
      <c r="K261" s="162">
        <v>-0.35049999999999998</v>
      </c>
      <c r="L261" s="162">
        <v>-0.35036</v>
      </c>
      <c r="M261" s="162">
        <v>-0.34949999999999998</v>
      </c>
      <c r="N261" s="162">
        <v>-0.34736</v>
      </c>
      <c r="O261" s="162">
        <v>-0.34926000000000001</v>
      </c>
      <c r="P261" s="162">
        <v>-0.34826000000000001</v>
      </c>
      <c r="Q261" s="162">
        <v>-0.34805999999999998</v>
      </c>
      <c r="R261" s="162">
        <v>-0.34770000000000001</v>
      </c>
      <c r="S261" s="162">
        <v>-0.33579999999999999</v>
      </c>
      <c r="T261" s="162">
        <v>-0.28520000000000001</v>
      </c>
      <c r="U261" s="162">
        <v>-0.20896000000000001</v>
      </c>
      <c r="V261" s="162">
        <v>-0.10256</v>
      </c>
      <c r="W261" s="162">
        <v>1.9859999999999999E-2</v>
      </c>
      <c r="X261" s="162">
        <v>0.15365999999999999</v>
      </c>
      <c r="Y261" s="162">
        <v>0.2873</v>
      </c>
      <c r="Z261" s="162">
        <v>0.41555999999999998</v>
      </c>
      <c r="AA261" s="162">
        <v>0.53069999999999995</v>
      </c>
      <c r="AB261" s="162">
        <v>0.63419999999999999</v>
      </c>
      <c r="AC261" s="162">
        <v>0.72345999999999999</v>
      </c>
      <c r="AD261" s="162">
        <v>0.8054</v>
      </c>
      <c r="AE261" s="162">
        <v>0.86990000000000001</v>
      </c>
      <c r="AF261" s="162">
        <v>0.92996000000000001</v>
      </c>
      <c r="AG261" s="162">
        <v>0.96440000000000003</v>
      </c>
      <c r="AH261" s="162">
        <v>0.99883999999999995</v>
      </c>
      <c r="AI261" s="162">
        <v>1.03328</v>
      </c>
      <c r="AJ261" s="162">
        <v>1.06772</v>
      </c>
      <c r="AK261" s="162">
        <v>1.10216</v>
      </c>
      <c r="AL261" s="162">
        <v>1.11598</v>
      </c>
      <c r="AM261" s="162">
        <v>1.1297999999999999</v>
      </c>
      <c r="AN261" s="162">
        <v>1.1436200000000001</v>
      </c>
      <c r="AO261" s="162">
        <v>1.15744</v>
      </c>
      <c r="AP261" s="162">
        <v>1.17126</v>
      </c>
      <c r="AQ261" s="162">
        <v>1.1765399999999999</v>
      </c>
      <c r="AR261" s="162">
        <v>1.1818200000000001</v>
      </c>
      <c r="AS261" s="162">
        <v>1.1871</v>
      </c>
      <c r="AT261" s="162">
        <v>1.19238</v>
      </c>
      <c r="AU261" s="162">
        <v>1.1976599999999999</v>
      </c>
    </row>
    <row r="262" spans="1:47" ht="12.75" customHeight="1">
      <c r="A262" s="459">
        <v>42727</v>
      </c>
      <c r="B262" s="139">
        <v>51</v>
      </c>
      <c r="C262" s="162">
        <v>-0.35225000000000001</v>
      </c>
      <c r="D262" s="162">
        <v>-0.35225000000000001</v>
      </c>
      <c r="E262" s="162">
        <v>-0.34705999999999998</v>
      </c>
      <c r="F262" s="162">
        <v>-0.33600000000000002</v>
      </c>
      <c r="G262" s="162">
        <v>-0.33500000000000002</v>
      </c>
      <c r="H262" s="162">
        <v>-0.34566000000000002</v>
      </c>
      <c r="I262" s="162">
        <v>-0.34692000000000001</v>
      </c>
      <c r="J262" s="162">
        <v>-0.34455999999999998</v>
      </c>
      <c r="K262" s="162">
        <v>-0.34660000000000002</v>
      </c>
      <c r="L262" s="162">
        <v>-0.34710000000000002</v>
      </c>
      <c r="M262" s="162">
        <v>-0.34670000000000001</v>
      </c>
      <c r="N262" s="162">
        <v>-0.34589999999999999</v>
      </c>
      <c r="O262" s="162">
        <v>-0.34566000000000002</v>
      </c>
      <c r="P262" s="162">
        <v>-0.34855999999999998</v>
      </c>
      <c r="Q262" s="162">
        <v>-0.34489999999999998</v>
      </c>
      <c r="R262" s="162">
        <v>-0.34486</v>
      </c>
      <c r="S262" s="162">
        <v>-0.3362</v>
      </c>
      <c r="T262" s="162">
        <v>-0.29211999999999999</v>
      </c>
      <c r="U262" s="162">
        <v>-0.21106</v>
      </c>
      <c r="V262" s="162">
        <v>-0.1008</v>
      </c>
      <c r="W262" s="162">
        <v>2.7199999999999998E-2</v>
      </c>
      <c r="X262" s="162">
        <v>0.16370000000000001</v>
      </c>
      <c r="Y262" s="162">
        <v>0.29949999999999999</v>
      </c>
      <c r="Z262" s="162">
        <v>0.43020000000000003</v>
      </c>
      <c r="AA262" s="162">
        <v>0.54800000000000004</v>
      </c>
      <c r="AB262" s="162">
        <v>0.65159999999999996</v>
      </c>
      <c r="AC262" s="162">
        <v>0.74595999999999996</v>
      </c>
      <c r="AD262" s="162">
        <v>0.82609999999999995</v>
      </c>
      <c r="AE262" s="162">
        <v>0.89795999999999998</v>
      </c>
      <c r="AF262" s="162">
        <v>0.9617</v>
      </c>
      <c r="AG262" s="162">
        <v>0.99875999999999998</v>
      </c>
      <c r="AH262" s="162">
        <v>1.03582</v>
      </c>
      <c r="AI262" s="162">
        <v>1.0728800000000001</v>
      </c>
      <c r="AJ262" s="162">
        <v>1.1099399999999999</v>
      </c>
      <c r="AK262" s="162">
        <v>1.147</v>
      </c>
      <c r="AL262" s="162">
        <v>1.16124</v>
      </c>
      <c r="AM262" s="162">
        <v>1.1754800000000001</v>
      </c>
      <c r="AN262" s="162">
        <v>1.1897200000000001</v>
      </c>
      <c r="AO262" s="162">
        <v>1.2039599999999999</v>
      </c>
      <c r="AP262" s="162">
        <v>1.2181999999999999</v>
      </c>
      <c r="AQ262" s="162">
        <v>1.2248920000000001</v>
      </c>
      <c r="AR262" s="162">
        <v>1.231584</v>
      </c>
      <c r="AS262" s="162">
        <v>1.2382759999999999</v>
      </c>
      <c r="AT262" s="162">
        <v>1.2449680000000001</v>
      </c>
      <c r="AU262" s="162">
        <v>1.25166</v>
      </c>
    </row>
    <row r="263" spans="1:47" ht="12.75" customHeight="1">
      <c r="A263" s="459">
        <v>42734</v>
      </c>
      <c r="B263" s="139">
        <v>52</v>
      </c>
      <c r="C263" s="162">
        <v>-0.34891230000000001</v>
      </c>
      <c r="D263" s="162">
        <v>-0.34891230000000001</v>
      </c>
      <c r="E263" s="162">
        <v>-0.34612890000000002</v>
      </c>
      <c r="F263" s="162">
        <v>-0.34104050000000002</v>
      </c>
      <c r="G263" s="162">
        <v>-0.34432420000000002</v>
      </c>
      <c r="H263" s="162">
        <v>-0.34689370000000003</v>
      </c>
      <c r="I263" s="162">
        <v>-0.34794160000000002</v>
      </c>
      <c r="J263" s="162">
        <v>-0.34745160000000003</v>
      </c>
      <c r="K263" s="162">
        <v>-0.34847109999999998</v>
      </c>
      <c r="L263" s="162">
        <v>-0.34856680000000001</v>
      </c>
      <c r="M263" s="162">
        <v>-0.34816839999999999</v>
      </c>
      <c r="N263" s="162">
        <v>-0.34776109999999999</v>
      </c>
      <c r="O263" s="162">
        <v>-0.3481011</v>
      </c>
      <c r="P263" s="162">
        <v>-0.3484063</v>
      </c>
      <c r="Q263" s="162">
        <v>-0.3473116</v>
      </c>
      <c r="R263" s="162">
        <v>-0.34737420000000002</v>
      </c>
      <c r="S263" s="162">
        <v>-0.33629999999999999</v>
      </c>
      <c r="T263" s="162">
        <v>-0.29401159999999998</v>
      </c>
      <c r="U263" s="162">
        <v>-0.22278419999999999</v>
      </c>
      <c r="V263" s="162">
        <v>-0.12522320000000001</v>
      </c>
      <c r="W263" s="162">
        <v>-1.0792E-2</v>
      </c>
      <c r="X263" s="162">
        <v>0.1148758</v>
      </c>
      <c r="Y263" s="162">
        <v>0.24141209999999999</v>
      </c>
      <c r="Z263" s="162">
        <v>0.3634347</v>
      </c>
      <c r="AA263" s="162">
        <v>0.47479739999999998</v>
      </c>
      <c r="AB263" s="162">
        <v>0.5743163</v>
      </c>
      <c r="AC263" s="162">
        <v>0.66199629999999998</v>
      </c>
      <c r="AD263" s="162">
        <v>0.73882420000000004</v>
      </c>
      <c r="AE263" s="162">
        <v>0.80473110000000003</v>
      </c>
      <c r="AF263" s="162">
        <v>0.86265840000000005</v>
      </c>
      <c r="AG263" s="162">
        <v>0.89693800000000001</v>
      </c>
      <c r="AH263" s="162">
        <v>0.93121759999999998</v>
      </c>
      <c r="AI263" s="162">
        <v>0.96549720000000006</v>
      </c>
      <c r="AJ263" s="162">
        <v>0.99977669999999996</v>
      </c>
      <c r="AK263" s="162">
        <v>1.0340563</v>
      </c>
      <c r="AL263" s="162">
        <v>1.0469048999999999</v>
      </c>
      <c r="AM263" s="162">
        <v>1.0597536000000001</v>
      </c>
      <c r="AN263" s="162">
        <v>1.0726022</v>
      </c>
      <c r="AO263" s="162">
        <v>1.0854508</v>
      </c>
      <c r="AP263" s="162">
        <v>1.0982995</v>
      </c>
      <c r="AQ263" s="162">
        <v>1.1037053999999999</v>
      </c>
      <c r="AR263" s="162">
        <v>1.1091112999999999</v>
      </c>
      <c r="AS263" s="162">
        <v>1.1145172000000001</v>
      </c>
      <c r="AT263" s="162">
        <v>1.1199231000000001</v>
      </c>
      <c r="AU263" s="162">
        <v>1.1253289</v>
      </c>
    </row>
    <row r="264" spans="1:47" ht="12.75" customHeight="1">
      <c r="A264" s="459">
        <v>42741</v>
      </c>
      <c r="B264" s="139">
        <v>1</v>
      </c>
      <c r="C264" s="162">
        <v>-0.34980559999999999</v>
      </c>
      <c r="D264" s="162">
        <v>-0.34980559999999999</v>
      </c>
      <c r="E264" s="162">
        <v>-0.34304259999999998</v>
      </c>
      <c r="F264" s="162">
        <v>-0.33896720000000002</v>
      </c>
      <c r="G264" s="162">
        <v>-0.34244869999999999</v>
      </c>
      <c r="H264" s="162">
        <v>-0.34687440000000003</v>
      </c>
      <c r="I264" s="162">
        <v>-0.34771279999999999</v>
      </c>
      <c r="J264" s="162">
        <v>-0.34600209999999998</v>
      </c>
      <c r="K264" s="162">
        <v>-0.34808210000000001</v>
      </c>
      <c r="L264" s="162">
        <v>-0.34759129999999999</v>
      </c>
      <c r="M264" s="162">
        <v>-0.34672049999999999</v>
      </c>
      <c r="N264" s="162">
        <v>-0.34571639999999998</v>
      </c>
      <c r="O264" s="162">
        <v>-0.3461497</v>
      </c>
      <c r="P264" s="162">
        <v>-0.34620620000000002</v>
      </c>
      <c r="Q264" s="162">
        <v>-0.34497850000000002</v>
      </c>
      <c r="R264" s="162">
        <v>-0.34488770000000002</v>
      </c>
      <c r="S264" s="162">
        <v>-0.33377950000000001</v>
      </c>
      <c r="T264" s="162">
        <v>-0.2948267</v>
      </c>
      <c r="U264" s="162">
        <v>-0.2270559</v>
      </c>
      <c r="V264" s="162">
        <v>-0.13033690000000001</v>
      </c>
      <c r="W264" s="162">
        <v>-1.5214999999999999E-2</v>
      </c>
      <c r="X264" s="162">
        <v>0.1119318</v>
      </c>
      <c r="Y264" s="162">
        <v>0.2406441</v>
      </c>
      <c r="Z264" s="162">
        <v>0.36448770000000003</v>
      </c>
      <c r="AA264" s="162">
        <v>0.47670000000000001</v>
      </c>
      <c r="AB264" s="162">
        <v>0.57733489999999998</v>
      </c>
      <c r="AC264" s="162">
        <v>0.66558669999999998</v>
      </c>
      <c r="AD264" s="162">
        <v>0.7431759</v>
      </c>
      <c r="AE264" s="162">
        <v>0.80995490000000003</v>
      </c>
      <c r="AF264" s="162">
        <v>0.86775950000000002</v>
      </c>
      <c r="AG264" s="162">
        <v>0.90247109999999997</v>
      </c>
      <c r="AH264" s="162">
        <v>0.93718270000000004</v>
      </c>
      <c r="AI264" s="162">
        <v>0.97189429999999999</v>
      </c>
      <c r="AJ264" s="162">
        <v>1.0066058</v>
      </c>
      <c r="AK264" s="162">
        <v>1.0413174000000001</v>
      </c>
      <c r="AL264" s="162">
        <v>1.0541681000000001</v>
      </c>
      <c r="AM264" s="162">
        <v>1.0670188</v>
      </c>
      <c r="AN264" s="162">
        <v>1.0798694</v>
      </c>
      <c r="AO264" s="162">
        <v>1.0927201</v>
      </c>
      <c r="AP264" s="162">
        <v>1.1055708</v>
      </c>
      <c r="AQ264" s="162">
        <v>1.1109022</v>
      </c>
      <c r="AR264" s="162">
        <v>1.1162335000000001</v>
      </c>
      <c r="AS264" s="162">
        <v>1.1215649000000001</v>
      </c>
      <c r="AT264" s="162">
        <v>1.1268963000000001</v>
      </c>
      <c r="AU264" s="162">
        <v>1.1322277000000001</v>
      </c>
    </row>
    <row r="265" spans="1:47" ht="12.75" customHeight="1">
      <c r="A265" s="459">
        <v>42748</v>
      </c>
      <c r="B265" s="139">
        <v>2</v>
      </c>
      <c r="C265" s="162">
        <v>-0.35075000000000001</v>
      </c>
      <c r="D265" s="162">
        <v>-0.35075000000000001</v>
      </c>
      <c r="E265" s="162">
        <v>-0.34749999999999998</v>
      </c>
      <c r="F265" s="162">
        <v>-0.34399999999999997</v>
      </c>
      <c r="G265" s="162">
        <v>-0.34636</v>
      </c>
      <c r="H265" s="162">
        <v>-0.34816000000000003</v>
      </c>
      <c r="I265" s="162">
        <v>-0.34770000000000001</v>
      </c>
      <c r="J265" s="162">
        <v>-0.34620000000000001</v>
      </c>
      <c r="K265" s="162">
        <v>-0.34849999999999998</v>
      </c>
      <c r="L265" s="162">
        <v>-0.34799999999999998</v>
      </c>
      <c r="M265" s="162">
        <v>-0.34799999999999998</v>
      </c>
      <c r="N265" s="162">
        <v>-0.34810000000000002</v>
      </c>
      <c r="O265" s="162">
        <v>-0.34599999999999997</v>
      </c>
      <c r="P265" s="162">
        <v>-0.34839999999999999</v>
      </c>
      <c r="Q265" s="162">
        <v>-0.3468</v>
      </c>
      <c r="R265" s="162">
        <v>-0.3448</v>
      </c>
      <c r="S265" s="162">
        <v>-0.3362</v>
      </c>
      <c r="T265" s="162">
        <v>-0.29520000000000002</v>
      </c>
      <c r="U265" s="162">
        <v>-0.23472000000000001</v>
      </c>
      <c r="V265" s="162">
        <v>-0.14566000000000001</v>
      </c>
      <c r="W265" s="162">
        <v>-3.1260000000000003E-2</v>
      </c>
      <c r="X265" s="162">
        <v>9.4E-2</v>
      </c>
      <c r="Y265" s="162">
        <v>0.22209999999999999</v>
      </c>
      <c r="Z265" s="162">
        <v>0.34955999999999998</v>
      </c>
      <c r="AA265" s="162">
        <v>0.46400000000000002</v>
      </c>
      <c r="AB265" s="162">
        <v>0.56635999999999997</v>
      </c>
      <c r="AC265" s="162">
        <v>0.65986</v>
      </c>
      <c r="AD265" s="162">
        <v>0.73760000000000003</v>
      </c>
      <c r="AE265" s="162">
        <v>0.80696000000000001</v>
      </c>
      <c r="AF265" s="162">
        <v>0.86395999999999995</v>
      </c>
      <c r="AG265" s="162">
        <v>0.89976</v>
      </c>
      <c r="AH265" s="162">
        <v>0.93555999999999995</v>
      </c>
      <c r="AI265" s="162">
        <v>0.97136</v>
      </c>
      <c r="AJ265" s="162">
        <v>1.0071600000000001</v>
      </c>
      <c r="AK265" s="162">
        <v>1.0429600000000001</v>
      </c>
      <c r="AL265" s="162">
        <v>1.0559080000000001</v>
      </c>
      <c r="AM265" s="162">
        <v>1.068856</v>
      </c>
      <c r="AN265" s="162">
        <v>1.081804</v>
      </c>
      <c r="AO265" s="162">
        <v>1.0947519999999999</v>
      </c>
      <c r="AP265" s="162">
        <v>1.1076999999999999</v>
      </c>
      <c r="AQ265" s="162">
        <v>1.11388</v>
      </c>
      <c r="AR265" s="162">
        <v>1.1200600000000001</v>
      </c>
      <c r="AS265" s="162">
        <v>1.1262399999999999</v>
      </c>
      <c r="AT265" s="162">
        <v>1.13242</v>
      </c>
      <c r="AU265" s="162">
        <v>1.1386000000000001</v>
      </c>
    </row>
    <row r="266" spans="1:47" ht="12.75" customHeight="1">
      <c r="A266" s="459">
        <v>42755</v>
      </c>
      <c r="B266" s="139">
        <v>3</v>
      </c>
      <c r="C266" s="162">
        <v>-0.35149999999999998</v>
      </c>
      <c r="D266" s="162">
        <v>-0.35149999999999998</v>
      </c>
      <c r="E266" s="162">
        <v>-0.35039999999999999</v>
      </c>
      <c r="F266" s="162">
        <v>-0.35055999999999998</v>
      </c>
      <c r="G266" s="162">
        <v>-0.3483</v>
      </c>
      <c r="H266" s="162">
        <v>-0.34955999999999998</v>
      </c>
      <c r="I266" s="162">
        <v>-0.35149999999999998</v>
      </c>
      <c r="J266" s="162">
        <v>-0.35332000000000002</v>
      </c>
      <c r="K266" s="162">
        <v>-0.35066000000000003</v>
      </c>
      <c r="L266" s="162">
        <v>-0.35339999999999999</v>
      </c>
      <c r="M266" s="162">
        <v>-0.35460000000000003</v>
      </c>
      <c r="N266" s="162">
        <v>-0.35446</v>
      </c>
      <c r="O266" s="162">
        <v>-0.35420000000000001</v>
      </c>
      <c r="P266" s="162">
        <v>-0.35376000000000002</v>
      </c>
      <c r="Q266" s="162">
        <v>-0.35449999999999998</v>
      </c>
      <c r="R266" s="162">
        <v>-0.35305999999999998</v>
      </c>
      <c r="S266" s="162">
        <v>-0.33539999999999998</v>
      </c>
      <c r="T266" s="162">
        <v>-0.28845999999999999</v>
      </c>
      <c r="U266" s="162">
        <v>-0.22516</v>
      </c>
      <c r="V266" s="162">
        <v>-0.13406000000000001</v>
      </c>
      <c r="W266" s="162">
        <v>-2.3259999999999999E-2</v>
      </c>
      <c r="X266" s="162">
        <v>0.10006</v>
      </c>
      <c r="Y266" s="162">
        <v>0.22636000000000001</v>
      </c>
      <c r="Z266" s="162">
        <v>0.35361999999999999</v>
      </c>
      <c r="AA266" s="162">
        <v>0.46845999999999999</v>
      </c>
      <c r="AB266" s="162">
        <v>0.57250000000000001</v>
      </c>
      <c r="AC266" s="162">
        <v>0.66622000000000003</v>
      </c>
      <c r="AD266" s="162">
        <v>0.74619999999999997</v>
      </c>
      <c r="AE266" s="162">
        <v>0.81535999999999997</v>
      </c>
      <c r="AF266" s="162">
        <v>0.87456</v>
      </c>
      <c r="AG266" s="162">
        <v>0.91169999999999995</v>
      </c>
      <c r="AH266" s="162">
        <v>0.94884000000000002</v>
      </c>
      <c r="AI266" s="162">
        <v>0.98597999999999997</v>
      </c>
      <c r="AJ266" s="162">
        <v>1.02312</v>
      </c>
      <c r="AK266" s="162">
        <v>1.06026</v>
      </c>
      <c r="AL266" s="162">
        <v>1.074052</v>
      </c>
      <c r="AM266" s="162">
        <v>1.087844</v>
      </c>
      <c r="AN266" s="162">
        <v>1.1016360000000001</v>
      </c>
      <c r="AO266" s="162">
        <v>1.1154280000000001</v>
      </c>
      <c r="AP266" s="162">
        <v>1.1292199999999999</v>
      </c>
      <c r="AQ266" s="162">
        <v>1.136288</v>
      </c>
      <c r="AR266" s="162">
        <v>1.143356</v>
      </c>
      <c r="AS266" s="162">
        <v>1.1504239999999999</v>
      </c>
      <c r="AT266" s="162">
        <v>1.157492</v>
      </c>
      <c r="AU266" s="162">
        <v>1.16456</v>
      </c>
    </row>
    <row r="267" spans="1:47" ht="12.75" customHeight="1">
      <c r="A267" s="459">
        <v>42762</v>
      </c>
      <c r="B267" s="139">
        <v>4</v>
      </c>
      <c r="C267" s="162">
        <v>-0.35199999999999998</v>
      </c>
      <c r="D267" s="162">
        <v>-0.35199999999999998</v>
      </c>
      <c r="E267" s="162">
        <v>-0.35177999999999998</v>
      </c>
      <c r="F267" s="162">
        <v>-0.35136000000000001</v>
      </c>
      <c r="G267" s="162">
        <v>-0.34792000000000001</v>
      </c>
      <c r="H267" s="162">
        <v>-0.3518</v>
      </c>
      <c r="I267" s="162">
        <v>-0.35099999999999998</v>
      </c>
      <c r="J267" s="162">
        <v>-0.35510000000000003</v>
      </c>
      <c r="K267" s="162">
        <v>-0.35360000000000003</v>
      </c>
      <c r="L267" s="162">
        <v>-0.35520000000000002</v>
      </c>
      <c r="M267" s="162">
        <v>-0.35520000000000002</v>
      </c>
      <c r="N267" s="162">
        <v>-0.35539999999999999</v>
      </c>
      <c r="O267" s="162">
        <v>-0.35239999999999999</v>
      </c>
      <c r="P267" s="162">
        <v>-0.35339999999999999</v>
      </c>
      <c r="Q267" s="162">
        <v>-0.3538</v>
      </c>
      <c r="R267" s="162">
        <v>-0.35310000000000002</v>
      </c>
      <c r="S267" s="162">
        <v>-0.3276</v>
      </c>
      <c r="T267" s="162">
        <v>-0.27550000000000002</v>
      </c>
      <c r="U267" s="162">
        <v>-0.19919999999999999</v>
      </c>
      <c r="V267" s="162">
        <v>-0.10306</v>
      </c>
      <c r="W267" s="162">
        <v>1.04E-2</v>
      </c>
      <c r="X267" s="162">
        <v>0.13705999999999999</v>
      </c>
      <c r="Y267" s="162">
        <v>0.26850000000000002</v>
      </c>
      <c r="Z267" s="162">
        <v>0.39635999999999999</v>
      </c>
      <c r="AA267" s="162">
        <v>0.51549999999999996</v>
      </c>
      <c r="AB267" s="162">
        <v>0.62139999999999995</v>
      </c>
      <c r="AC267" s="162">
        <v>0.71609999999999996</v>
      </c>
      <c r="AD267" s="162">
        <v>0.79869999999999997</v>
      </c>
      <c r="AE267" s="162">
        <v>0.86970000000000003</v>
      </c>
      <c r="AF267" s="162">
        <v>0.92930000000000001</v>
      </c>
      <c r="AG267" s="162">
        <v>0.967472</v>
      </c>
      <c r="AH267" s="162">
        <v>1.005644</v>
      </c>
      <c r="AI267" s="162">
        <v>1.0438160000000001</v>
      </c>
      <c r="AJ267" s="162">
        <v>1.0819879999999999</v>
      </c>
      <c r="AK267" s="162">
        <v>1.12016</v>
      </c>
      <c r="AL267" s="162">
        <v>1.1359680000000001</v>
      </c>
      <c r="AM267" s="162">
        <v>1.1517759999999999</v>
      </c>
      <c r="AN267" s="162">
        <v>1.167584</v>
      </c>
      <c r="AO267" s="162">
        <v>1.183392</v>
      </c>
      <c r="AP267" s="162">
        <v>1.1992</v>
      </c>
      <c r="AQ267" s="162">
        <v>1.2072400000000001</v>
      </c>
      <c r="AR267" s="162">
        <v>1.2152799999999999</v>
      </c>
      <c r="AS267" s="162">
        <v>1.22332</v>
      </c>
      <c r="AT267" s="162">
        <v>1.23136</v>
      </c>
      <c r="AU267" s="162">
        <v>1.2394000000000001</v>
      </c>
    </row>
    <row r="268" spans="1:47" ht="12.75" customHeight="1">
      <c r="A268" s="459">
        <v>42769</v>
      </c>
      <c r="B268" s="139">
        <v>5</v>
      </c>
      <c r="C268" s="162">
        <v>-0.35299999999999998</v>
      </c>
      <c r="D268" s="162">
        <v>-0.35299999999999998</v>
      </c>
      <c r="E268" s="162">
        <v>-0.35071999999999998</v>
      </c>
      <c r="F268" s="162">
        <v>-0.35</v>
      </c>
      <c r="G268" s="162">
        <v>-0.35142000000000001</v>
      </c>
      <c r="H268" s="162">
        <v>-0.35089999999999999</v>
      </c>
      <c r="I268" s="162">
        <v>-0.3528</v>
      </c>
      <c r="J268" s="162">
        <v>-0.3528</v>
      </c>
      <c r="K268" s="162">
        <v>-0.3528</v>
      </c>
      <c r="L268" s="162">
        <v>-0.35239999999999999</v>
      </c>
      <c r="M268" s="162">
        <v>-0.35220000000000001</v>
      </c>
      <c r="N268" s="162">
        <v>-0.35220000000000001</v>
      </c>
      <c r="O268" s="162">
        <v>-0.35020000000000001</v>
      </c>
      <c r="P268" s="162">
        <v>-0.3483</v>
      </c>
      <c r="Q268" s="162">
        <v>-0.34660000000000002</v>
      </c>
      <c r="R268" s="162">
        <v>-0.34405999999999998</v>
      </c>
      <c r="S268" s="162">
        <v>-0.30659999999999998</v>
      </c>
      <c r="T268" s="162">
        <v>-0.24060000000000001</v>
      </c>
      <c r="U268" s="162">
        <v>-0.152</v>
      </c>
      <c r="V268" s="162">
        <v>-4.3099999999999999E-2</v>
      </c>
      <c r="W268" s="162">
        <v>7.7299999999999994E-2</v>
      </c>
      <c r="X268" s="162">
        <v>0.21096000000000001</v>
      </c>
      <c r="Y268" s="162">
        <v>0.34676000000000001</v>
      </c>
      <c r="Z268" s="162">
        <v>0.47749999999999998</v>
      </c>
      <c r="AA268" s="162">
        <v>0.59950000000000003</v>
      </c>
      <c r="AB268" s="162">
        <v>0.70416000000000001</v>
      </c>
      <c r="AC268" s="162">
        <v>0.80110000000000003</v>
      </c>
      <c r="AD268" s="162">
        <v>0.88349999999999995</v>
      </c>
      <c r="AE268" s="162">
        <v>0.95320000000000005</v>
      </c>
      <c r="AF268" s="162">
        <v>1.0154000000000001</v>
      </c>
      <c r="AG268" s="162">
        <v>1.0538000000000001</v>
      </c>
      <c r="AH268" s="162">
        <v>1.0922000000000001</v>
      </c>
      <c r="AI268" s="162">
        <v>1.1306</v>
      </c>
      <c r="AJ268" s="162">
        <v>1.169</v>
      </c>
      <c r="AK268" s="162">
        <v>1.2074</v>
      </c>
      <c r="AL268" s="162">
        <v>1.22292</v>
      </c>
      <c r="AM268" s="162">
        <v>1.23844</v>
      </c>
      <c r="AN268" s="162">
        <v>1.25396</v>
      </c>
      <c r="AO268" s="162">
        <v>1.2694799999999999</v>
      </c>
      <c r="AP268" s="162">
        <v>1.2849999999999999</v>
      </c>
      <c r="AQ268" s="162">
        <v>1.2927</v>
      </c>
      <c r="AR268" s="162">
        <v>1.3004</v>
      </c>
      <c r="AS268" s="162">
        <v>1.3081</v>
      </c>
      <c r="AT268" s="162">
        <v>1.3158000000000001</v>
      </c>
      <c r="AU268" s="162">
        <v>1.3234999999999999</v>
      </c>
    </row>
    <row r="269" spans="1:47" ht="12.75" customHeight="1">
      <c r="A269" s="459">
        <v>42776</v>
      </c>
      <c r="B269" s="139">
        <v>6</v>
      </c>
      <c r="C269" s="162">
        <v>-0.34825</v>
      </c>
      <c r="D269" s="162">
        <v>-0.34825</v>
      </c>
      <c r="E269" s="162">
        <v>-0.35039999999999999</v>
      </c>
      <c r="F269" s="162">
        <v>-0.35070000000000001</v>
      </c>
      <c r="G269" s="162">
        <v>-0.35</v>
      </c>
      <c r="H269" s="162">
        <v>-0.35060000000000002</v>
      </c>
      <c r="I269" s="162">
        <v>-0.35039999999999999</v>
      </c>
      <c r="J269" s="162">
        <v>-0.35039999999999999</v>
      </c>
      <c r="K269" s="162">
        <v>-0.35060000000000002</v>
      </c>
      <c r="L269" s="162">
        <v>-0.3498</v>
      </c>
      <c r="M269" s="162">
        <v>-0.3498</v>
      </c>
      <c r="N269" s="162">
        <v>-0.34860000000000002</v>
      </c>
      <c r="O269" s="162">
        <v>-0.3478</v>
      </c>
      <c r="P269" s="162">
        <v>-0.34520000000000001</v>
      </c>
      <c r="Q269" s="162">
        <v>-0.34360000000000002</v>
      </c>
      <c r="R269" s="162">
        <v>-0.3417</v>
      </c>
      <c r="S269" s="162">
        <v>-0.30740000000000001</v>
      </c>
      <c r="T269" s="162">
        <v>-0.23699999999999999</v>
      </c>
      <c r="U269" s="162">
        <v>-0.14446000000000001</v>
      </c>
      <c r="V269" s="162">
        <v>-3.1199999999999999E-2</v>
      </c>
      <c r="W269" s="162">
        <v>9.1999999999999998E-2</v>
      </c>
      <c r="X269" s="162">
        <v>0.2283</v>
      </c>
      <c r="Y269" s="162">
        <v>0.36346000000000001</v>
      </c>
      <c r="Z269" s="162">
        <v>0.49249999999999999</v>
      </c>
      <c r="AA269" s="162">
        <v>0.61019999999999996</v>
      </c>
      <c r="AB269" s="162">
        <v>0.71699999999999997</v>
      </c>
      <c r="AC269" s="162">
        <v>0.81020000000000003</v>
      </c>
      <c r="AD269" s="162">
        <v>0.89200000000000002</v>
      </c>
      <c r="AE269" s="162">
        <v>0.96296000000000004</v>
      </c>
      <c r="AF269" s="162">
        <v>1.0243</v>
      </c>
      <c r="AG269" s="162">
        <v>1.062352</v>
      </c>
      <c r="AH269" s="162">
        <v>1.1004039999999999</v>
      </c>
      <c r="AI269" s="162">
        <v>1.1384559999999999</v>
      </c>
      <c r="AJ269" s="162">
        <v>1.1765080000000001</v>
      </c>
      <c r="AK269" s="162">
        <v>1.2145600000000001</v>
      </c>
      <c r="AL269" s="162">
        <v>1.2295879999999999</v>
      </c>
      <c r="AM269" s="162">
        <v>1.2446159999999999</v>
      </c>
      <c r="AN269" s="162">
        <v>1.259644</v>
      </c>
      <c r="AO269" s="162">
        <v>1.274672</v>
      </c>
      <c r="AP269" s="162">
        <v>1.2897000000000001</v>
      </c>
      <c r="AQ269" s="162">
        <v>1.29714</v>
      </c>
      <c r="AR269" s="162">
        <v>1.3045800000000001</v>
      </c>
      <c r="AS269" s="162">
        <v>1.31202</v>
      </c>
      <c r="AT269" s="162">
        <v>1.3194600000000001</v>
      </c>
      <c r="AU269" s="162">
        <v>1.3269</v>
      </c>
    </row>
    <row r="270" spans="1:47" ht="12.75" customHeight="1">
      <c r="A270" s="459">
        <v>42783</v>
      </c>
      <c r="B270" s="139">
        <v>7</v>
      </c>
      <c r="C270" s="162">
        <v>-0.35075000000000001</v>
      </c>
      <c r="D270" s="162">
        <v>-0.35075000000000001</v>
      </c>
      <c r="E270" s="162">
        <v>-0.34639999999999999</v>
      </c>
      <c r="F270" s="162">
        <v>-0.34516000000000002</v>
      </c>
      <c r="G270" s="162">
        <v>-0.34639999999999999</v>
      </c>
      <c r="H270" s="162">
        <v>-0.34866000000000003</v>
      </c>
      <c r="I270" s="162">
        <v>-0.34826000000000001</v>
      </c>
      <c r="J270" s="162">
        <v>-0.34845999999999999</v>
      </c>
      <c r="K270" s="162">
        <v>-0.34760000000000002</v>
      </c>
      <c r="L270" s="162">
        <v>-0.34676000000000001</v>
      </c>
      <c r="M270" s="162">
        <v>-0.34666000000000002</v>
      </c>
      <c r="N270" s="162">
        <v>-0.34492</v>
      </c>
      <c r="O270" s="162">
        <v>-0.34345999999999999</v>
      </c>
      <c r="P270" s="162">
        <v>-0.34245999999999999</v>
      </c>
      <c r="Q270" s="162">
        <v>-0.34100000000000003</v>
      </c>
      <c r="R270" s="162">
        <v>-0.34005999999999997</v>
      </c>
      <c r="S270" s="162">
        <v>-0.31659999999999999</v>
      </c>
      <c r="T270" s="162">
        <v>-0.25996000000000002</v>
      </c>
      <c r="U270" s="162">
        <v>-0.1835</v>
      </c>
      <c r="V270" s="162">
        <v>-8.5999999999999993E-2</v>
      </c>
      <c r="W270" s="162">
        <v>3.1099999999999999E-2</v>
      </c>
      <c r="X270" s="162">
        <v>0.157</v>
      </c>
      <c r="Y270" s="162">
        <v>0.28905999999999998</v>
      </c>
      <c r="Z270" s="162">
        <v>0.41549999999999998</v>
      </c>
      <c r="AA270" s="162">
        <v>0.53239999999999998</v>
      </c>
      <c r="AB270" s="162">
        <v>0.6391</v>
      </c>
      <c r="AC270" s="162">
        <v>0.73350000000000004</v>
      </c>
      <c r="AD270" s="162">
        <v>0.81786000000000003</v>
      </c>
      <c r="AE270" s="162">
        <v>0.88915999999999995</v>
      </c>
      <c r="AF270" s="162">
        <v>0.94979999999999998</v>
      </c>
      <c r="AG270" s="162">
        <v>0.98868</v>
      </c>
      <c r="AH270" s="162">
        <v>1.02756</v>
      </c>
      <c r="AI270" s="162">
        <v>1.0664400000000001</v>
      </c>
      <c r="AJ270" s="162">
        <v>1.1053200000000001</v>
      </c>
      <c r="AK270" s="162">
        <v>1.1442000000000001</v>
      </c>
      <c r="AL270" s="162">
        <v>1.160012</v>
      </c>
      <c r="AM270" s="162">
        <v>1.175824</v>
      </c>
      <c r="AN270" s="162">
        <v>1.1916359999999999</v>
      </c>
      <c r="AO270" s="162">
        <v>1.2074480000000001</v>
      </c>
      <c r="AP270" s="162">
        <v>1.22326</v>
      </c>
      <c r="AQ270" s="162">
        <v>1.230248</v>
      </c>
      <c r="AR270" s="162">
        <v>1.237236</v>
      </c>
      <c r="AS270" s="162">
        <v>1.244224</v>
      </c>
      <c r="AT270" s="162">
        <v>1.251212</v>
      </c>
      <c r="AU270" s="162">
        <v>1.2582</v>
      </c>
    </row>
    <row r="271" spans="1:47" ht="12.75" customHeight="1">
      <c r="A271" s="459">
        <v>42790</v>
      </c>
      <c r="B271" s="139">
        <v>8</v>
      </c>
      <c r="C271" s="162">
        <v>-0.35349999999999998</v>
      </c>
      <c r="D271" s="162">
        <v>-0.35349999999999998</v>
      </c>
      <c r="E271" s="162">
        <v>-0.35020000000000001</v>
      </c>
      <c r="F271" s="162">
        <v>-0.34939999999999999</v>
      </c>
      <c r="G271" s="162">
        <v>-0.34622000000000003</v>
      </c>
      <c r="H271" s="162">
        <v>-0.35049999999999998</v>
      </c>
      <c r="I271" s="162">
        <v>-0.34899999999999998</v>
      </c>
      <c r="J271" s="162">
        <v>-0.34905999999999998</v>
      </c>
      <c r="K271" s="162">
        <v>-0.34799999999999998</v>
      </c>
      <c r="L271" s="162">
        <v>-0.34749999999999998</v>
      </c>
      <c r="M271" s="162">
        <v>-0.34655999999999998</v>
      </c>
      <c r="N271" s="162">
        <v>-0.34499999999999997</v>
      </c>
      <c r="O271" s="162">
        <v>-0.34429999999999999</v>
      </c>
      <c r="P271" s="162">
        <v>-0.34289999999999998</v>
      </c>
      <c r="Q271" s="162">
        <v>-0.34089999999999998</v>
      </c>
      <c r="R271" s="162">
        <v>-0.33779999999999999</v>
      </c>
      <c r="S271" s="162">
        <v>-0.30759999999999998</v>
      </c>
      <c r="T271" s="162">
        <v>-0.25119999999999998</v>
      </c>
      <c r="U271" s="162">
        <v>-0.1744</v>
      </c>
      <c r="V271" s="162">
        <v>-7.6759999999999995E-2</v>
      </c>
      <c r="W271" s="162">
        <v>4.1799999999999997E-2</v>
      </c>
      <c r="X271" s="162">
        <v>0.17100000000000001</v>
      </c>
      <c r="Y271" s="162">
        <v>0.30530000000000002</v>
      </c>
      <c r="Z271" s="162">
        <v>0.43719999999999998</v>
      </c>
      <c r="AA271" s="162">
        <v>0.5554</v>
      </c>
      <c r="AB271" s="162">
        <v>0.66620000000000001</v>
      </c>
      <c r="AC271" s="162">
        <v>0.76280000000000003</v>
      </c>
      <c r="AD271" s="162">
        <v>0.84606000000000003</v>
      </c>
      <c r="AE271" s="162">
        <v>0.91920000000000002</v>
      </c>
      <c r="AF271" s="162">
        <v>0.98246</v>
      </c>
      <c r="AG271" s="162">
        <v>1.0227599999999999</v>
      </c>
      <c r="AH271" s="162">
        <v>1.0630599999999999</v>
      </c>
      <c r="AI271" s="162">
        <v>1.1033599999999999</v>
      </c>
      <c r="AJ271" s="162">
        <v>1.1436599999999999</v>
      </c>
      <c r="AK271" s="162">
        <v>1.1839599999999999</v>
      </c>
      <c r="AL271" s="162">
        <v>1.2006079999999999</v>
      </c>
      <c r="AM271" s="162">
        <v>1.2172559999999999</v>
      </c>
      <c r="AN271" s="162">
        <v>1.2339039999999999</v>
      </c>
      <c r="AO271" s="162">
        <v>1.2505520000000001</v>
      </c>
      <c r="AP271" s="162">
        <v>1.2672000000000001</v>
      </c>
      <c r="AQ271" s="162">
        <v>1.2746599999999999</v>
      </c>
      <c r="AR271" s="162">
        <v>1.2821199999999999</v>
      </c>
      <c r="AS271" s="162">
        <v>1.2895799999999999</v>
      </c>
      <c r="AT271" s="162">
        <v>1.29704</v>
      </c>
      <c r="AU271" s="162">
        <v>1.3045</v>
      </c>
    </row>
    <row r="272" spans="1:47" ht="12.75" customHeight="1">
      <c r="A272" s="459">
        <v>42797</v>
      </c>
      <c r="B272" s="139">
        <v>9</v>
      </c>
      <c r="C272" s="162">
        <v>-0.35649999999999998</v>
      </c>
      <c r="D272" s="162">
        <v>-0.35649999999999998</v>
      </c>
      <c r="E272" s="162">
        <v>-0.35204000000000002</v>
      </c>
      <c r="F272" s="162">
        <v>-0.35060000000000002</v>
      </c>
      <c r="G272" s="162">
        <v>-0.35</v>
      </c>
      <c r="H272" s="162">
        <v>-0.35160000000000002</v>
      </c>
      <c r="I272" s="162">
        <v>-0.35215999999999997</v>
      </c>
      <c r="J272" s="162">
        <v>-0.35239999999999999</v>
      </c>
      <c r="K272" s="162">
        <v>-0.35220000000000001</v>
      </c>
      <c r="L272" s="162">
        <v>-0.3518</v>
      </c>
      <c r="M272" s="162">
        <v>-0.35243999999999998</v>
      </c>
      <c r="N272" s="162">
        <v>-0.35199999999999998</v>
      </c>
      <c r="O272" s="162">
        <v>-0.35189999999999999</v>
      </c>
      <c r="P272" s="162">
        <v>-0.35199999999999998</v>
      </c>
      <c r="Q272" s="162">
        <v>-0.35098000000000001</v>
      </c>
      <c r="R272" s="162">
        <v>-0.35070000000000001</v>
      </c>
      <c r="S272" s="162">
        <v>-0.33160000000000001</v>
      </c>
      <c r="T272" s="162">
        <v>-0.28539999999999999</v>
      </c>
      <c r="U272" s="162">
        <v>-0.2145</v>
      </c>
      <c r="V272" s="162">
        <v>-0.1179</v>
      </c>
      <c r="W272" s="162">
        <v>-1.206E-2</v>
      </c>
      <c r="X272" s="162">
        <v>0.1164</v>
      </c>
      <c r="Y272" s="162">
        <v>0.24590000000000001</v>
      </c>
      <c r="Z272" s="162">
        <v>0.37769999999999998</v>
      </c>
      <c r="AA272" s="162">
        <v>0.49619999999999997</v>
      </c>
      <c r="AB272" s="162">
        <v>0.60446</v>
      </c>
      <c r="AC272" s="162">
        <v>0.70189999999999997</v>
      </c>
      <c r="AD272" s="162">
        <v>0.78666000000000003</v>
      </c>
      <c r="AE272" s="162">
        <v>0.85770000000000002</v>
      </c>
      <c r="AF272" s="162">
        <v>0.91720000000000002</v>
      </c>
      <c r="AG272" s="162">
        <v>0.95730000000000004</v>
      </c>
      <c r="AH272" s="162">
        <v>0.99739999999999995</v>
      </c>
      <c r="AI272" s="162">
        <v>1.0375000000000001</v>
      </c>
      <c r="AJ272" s="162">
        <v>1.0775999999999999</v>
      </c>
      <c r="AK272" s="162">
        <v>1.1176999999999999</v>
      </c>
      <c r="AL272" s="162">
        <v>1.13584</v>
      </c>
      <c r="AM272" s="162">
        <v>1.15398</v>
      </c>
      <c r="AN272" s="162">
        <v>1.1721200000000001</v>
      </c>
      <c r="AO272" s="162">
        <v>1.1902600000000001</v>
      </c>
      <c r="AP272" s="162">
        <v>1.2083999999999999</v>
      </c>
      <c r="AQ272" s="162">
        <v>1.2142919999999999</v>
      </c>
      <c r="AR272" s="162">
        <v>1.2201839999999999</v>
      </c>
      <c r="AS272" s="162">
        <v>1.2260759999999999</v>
      </c>
      <c r="AT272" s="162">
        <v>1.231968</v>
      </c>
      <c r="AU272" s="162">
        <v>1.23786</v>
      </c>
    </row>
    <row r="273" spans="1:47" ht="12.75" customHeight="1">
      <c r="A273" s="459">
        <v>42804</v>
      </c>
      <c r="B273" s="139">
        <v>10</v>
      </c>
      <c r="C273" s="162">
        <v>-0.35075000000000001</v>
      </c>
      <c r="D273" s="162">
        <v>-0.35075000000000001</v>
      </c>
      <c r="E273" s="162">
        <v>-0.35220000000000001</v>
      </c>
      <c r="F273" s="162">
        <v>-0.35376000000000002</v>
      </c>
      <c r="G273" s="162">
        <v>-0.34882000000000002</v>
      </c>
      <c r="H273" s="162">
        <v>-0.35210000000000002</v>
      </c>
      <c r="I273" s="162">
        <v>-0.35199999999999998</v>
      </c>
      <c r="J273" s="162">
        <v>-0.3503</v>
      </c>
      <c r="K273" s="162">
        <v>-0.35205999999999998</v>
      </c>
      <c r="L273" s="162">
        <v>-0.35349999999999998</v>
      </c>
      <c r="M273" s="162">
        <v>-0.35205999999999998</v>
      </c>
      <c r="N273" s="162">
        <v>-0.3523</v>
      </c>
      <c r="O273" s="162">
        <v>-0.35049999999999998</v>
      </c>
      <c r="P273" s="162">
        <v>-0.35</v>
      </c>
      <c r="Q273" s="162">
        <v>-0.34939999999999999</v>
      </c>
      <c r="R273" s="162">
        <v>-0.34921999999999997</v>
      </c>
      <c r="S273" s="162">
        <v>-0.32479999999999998</v>
      </c>
      <c r="T273" s="162">
        <v>-0.27466000000000002</v>
      </c>
      <c r="U273" s="162">
        <v>-0.20346</v>
      </c>
      <c r="V273" s="162">
        <v>-0.1207</v>
      </c>
      <c r="W273" s="162">
        <v>-1.04E-2</v>
      </c>
      <c r="X273" s="162">
        <v>0.11376</v>
      </c>
      <c r="Y273" s="162">
        <v>0.24284</v>
      </c>
      <c r="Z273" s="162">
        <v>0.36849999999999999</v>
      </c>
      <c r="AA273" s="162">
        <v>0.48720000000000002</v>
      </c>
      <c r="AB273" s="162">
        <v>0.59626000000000001</v>
      </c>
      <c r="AC273" s="162">
        <v>0.6925</v>
      </c>
      <c r="AD273" s="162">
        <v>0.77359999999999995</v>
      </c>
      <c r="AE273" s="162">
        <v>0.84550000000000003</v>
      </c>
      <c r="AF273" s="162">
        <v>0.90739999999999998</v>
      </c>
      <c r="AG273" s="162">
        <v>0.94672000000000001</v>
      </c>
      <c r="AH273" s="162">
        <v>0.98604000000000003</v>
      </c>
      <c r="AI273" s="162">
        <v>1.02536</v>
      </c>
      <c r="AJ273" s="162">
        <v>1.0646800000000001</v>
      </c>
      <c r="AK273" s="162">
        <v>1.1040000000000001</v>
      </c>
      <c r="AL273" s="162">
        <v>1.1200000000000001</v>
      </c>
      <c r="AM273" s="162">
        <v>1.1359999999999999</v>
      </c>
      <c r="AN273" s="162">
        <v>1.1519999999999999</v>
      </c>
      <c r="AO273" s="162">
        <v>1.1679999999999999</v>
      </c>
      <c r="AP273" s="162">
        <v>1.1839999999999999</v>
      </c>
      <c r="AQ273" s="162">
        <v>1.1915720000000001</v>
      </c>
      <c r="AR273" s="162">
        <v>1.199144</v>
      </c>
      <c r="AS273" s="162">
        <v>1.2067159999999999</v>
      </c>
      <c r="AT273" s="162">
        <v>1.214288</v>
      </c>
      <c r="AU273" s="162">
        <v>1.2218599999999999</v>
      </c>
    </row>
    <row r="274" spans="1:47" ht="12.75" customHeight="1">
      <c r="A274" s="459">
        <v>42811</v>
      </c>
      <c r="B274" s="139">
        <v>11</v>
      </c>
      <c r="C274" s="162">
        <v>-0.35275000000000001</v>
      </c>
      <c r="D274" s="162">
        <v>-0.35275000000000001</v>
      </c>
      <c r="E274" s="162">
        <v>-0.35236000000000001</v>
      </c>
      <c r="F274" s="162">
        <v>-0.35310000000000002</v>
      </c>
      <c r="G274" s="162">
        <v>-0.35024</v>
      </c>
      <c r="H274" s="162">
        <v>-0.35360000000000003</v>
      </c>
      <c r="I274" s="162">
        <v>-0.35092000000000001</v>
      </c>
      <c r="J274" s="162">
        <v>-0.34770000000000001</v>
      </c>
      <c r="K274" s="162">
        <v>-0.34660000000000002</v>
      </c>
      <c r="L274" s="162">
        <v>-0.34620000000000001</v>
      </c>
      <c r="M274" s="162">
        <v>-0.34492</v>
      </c>
      <c r="N274" s="162">
        <v>-0.34167999999999998</v>
      </c>
      <c r="O274" s="162">
        <v>-0.33689999999999998</v>
      </c>
      <c r="P274" s="162">
        <v>-0.33526</v>
      </c>
      <c r="Q274" s="162">
        <v>-0.33162000000000003</v>
      </c>
      <c r="R274" s="162">
        <v>-0.32834000000000002</v>
      </c>
      <c r="S274" s="162">
        <v>-0.27239999999999998</v>
      </c>
      <c r="T274" s="162">
        <v>-0.1946</v>
      </c>
      <c r="U274" s="162">
        <v>-0.10506</v>
      </c>
      <c r="V274" s="162">
        <v>-2.14E-3</v>
      </c>
      <c r="W274" s="162">
        <v>0.1164</v>
      </c>
      <c r="X274" s="162">
        <v>0.23630000000000001</v>
      </c>
      <c r="Y274" s="162">
        <v>0.36215999999999998</v>
      </c>
      <c r="Z274" s="162">
        <v>0.48820000000000002</v>
      </c>
      <c r="AA274" s="162">
        <v>0.60640000000000005</v>
      </c>
      <c r="AB274" s="162">
        <v>0.71419999999999995</v>
      </c>
      <c r="AC274" s="162">
        <v>0.80969999999999998</v>
      </c>
      <c r="AD274" s="162">
        <v>0.89715999999999996</v>
      </c>
      <c r="AE274" s="162">
        <v>0.96706000000000003</v>
      </c>
      <c r="AF274" s="162">
        <v>1.0311999999999999</v>
      </c>
      <c r="AG274" s="162">
        <v>1.0700719999999999</v>
      </c>
      <c r="AH274" s="162">
        <v>1.1089439999999999</v>
      </c>
      <c r="AI274" s="162">
        <v>1.1478159999999999</v>
      </c>
      <c r="AJ274" s="162">
        <v>1.186688</v>
      </c>
      <c r="AK274" s="162">
        <v>1.22556</v>
      </c>
      <c r="AL274" s="162">
        <v>1.2417800000000001</v>
      </c>
      <c r="AM274" s="162">
        <v>1.258</v>
      </c>
      <c r="AN274" s="162">
        <v>1.2742199999999999</v>
      </c>
      <c r="AO274" s="162">
        <v>1.29044</v>
      </c>
      <c r="AP274" s="162">
        <v>1.3066599999999999</v>
      </c>
      <c r="AQ274" s="162">
        <v>1.3140719999999999</v>
      </c>
      <c r="AR274" s="162">
        <v>1.3214840000000001</v>
      </c>
      <c r="AS274" s="162">
        <v>1.3288960000000001</v>
      </c>
      <c r="AT274" s="162">
        <v>1.3363080000000001</v>
      </c>
      <c r="AU274" s="162">
        <v>1.34372</v>
      </c>
    </row>
    <row r="275" spans="1:47" ht="12.75" customHeight="1">
      <c r="A275" s="459">
        <v>42818</v>
      </c>
      <c r="B275" s="139">
        <v>12</v>
      </c>
      <c r="C275" s="162">
        <v>-0.35375000000000001</v>
      </c>
      <c r="D275" s="162">
        <v>-0.35375000000000001</v>
      </c>
      <c r="E275" s="162">
        <v>-0.35286000000000001</v>
      </c>
      <c r="F275" s="162">
        <v>-0.35093999999999997</v>
      </c>
      <c r="G275" s="162">
        <v>-0.34739999999999999</v>
      </c>
      <c r="H275" s="162">
        <v>-0.35021999999999998</v>
      </c>
      <c r="I275" s="162">
        <v>-0.34992000000000001</v>
      </c>
      <c r="J275" s="162">
        <v>-0.34860000000000002</v>
      </c>
      <c r="K275" s="162">
        <v>-0.34732000000000002</v>
      </c>
      <c r="L275" s="162">
        <v>-0.34444000000000002</v>
      </c>
      <c r="M275" s="162">
        <v>-0.34322000000000003</v>
      </c>
      <c r="N275" s="162">
        <v>-0.33822000000000002</v>
      </c>
      <c r="O275" s="162">
        <v>-0.33723999999999998</v>
      </c>
      <c r="P275" s="162">
        <v>-0.33267999999999998</v>
      </c>
      <c r="Q275" s="162">
        <v>-0.32990000000000003</v>
      </c>
      <c r="R275" s="162">
        <v>-0.32584000000000002</v>
      </c>
      <c r="S275" s="162">
        <v>-0.25800000000000001</v>
      </c>
      <c r="T275" s="162">
        <v>-0.16753999999999999</v>
      </c>
      <c r="U275" s="162">
        <v>-6.8860000000000005E-2</v>
      </c>
      <c r="V275" s="162">
        <v>4.7800000000000002E-2</v>
      </c>
      <c r="W275" s="162">
        <v>0.16769999999999999</v>
      </c>
      <c r="X275" s="162">
        <v>0.29620000000000002</v>
      </c>
      <c r="Y275" s="162">
        <v>0.4178</v>
      </c>
      <c r="Z275" s="162">
        <v>0.53690000000000004</v>
      </c>
      <c r="AA275" s="162">
        <v>0.65146000000000004</v>
      </c>
      <c r="AB275" s="162">
        <v>0.75529999999999997</v>
      </c>
      <c r="AC275" s="162">
        <v>0.84106000000000003</v>
      </c>
      <c r="AD275" s="162">
        <v>0.92456000000000005</v>
      </c>
      <c r="AE275" s="162">
        <v>0.99146000000000001</v>
      </c>
      <c r="AF275" s="162">
        <v>1.0530999999999999</v>
      </c>
      <c r="AG275" s="162">
        <v>1.090212</v>
      </c>
      <c r="AH275" s="162">
        <v>1.127324</v>
      </c>
      <c r="AI275" s="162">
        <v>1.164436</v>
      </c>
      <c r="AJ275" s="162">
        <v>1.2015480000000001</v>
      </c>
      <c r="AK275" s="162">
        <v>1.2386600000000001</v>
      </c>
      <c r="AL275" s="162">
        <v>1.253728</v>
      </c>
      <c r="AM275" s="162">
        <v>1.268796</v>
      </c>
      <c r="AN275" s="162">
        <v>1.2838639999999999</v>
      </c>
      <c r="AO275" s="162">
        <v>1.298932</v>
      </c>
      <c r="AP275" s="162">
        <v>1.3140000000000001</v>
      </c>
      <c r="AQ275" s="162">
        <v>1.32118</v>
      </c>
      <c r="AR275" s="162">
        <v>1.32836</v>
      </c>
      <c r="AS275" s="162">
        <v>1.3355399999999999</v>
      </c>
      <c r="AT275" s="162">
        <v>1.3427199999999999</v>
      </c>
      <c r="AU275" s="162">
        <v>1.3499000000000001</v>
      </c>
    </row>
    <row r="276" spans="1:47" ht="12.75" customHeight="1">
      <c r="A276" s="459">
        <v>42825</v>
      </c>
      <c r="B276" s="139">
        <v>13</v>
      </c>
      <c r="C276" s="162">
        <v>-0.35275000000000001</v>
      </c>
      <c r="D276" s="162">
        <v>-0.35275000000000001</v>
      </c>
      <c r="E276" s="162">
        <v>-0.34689999999999999</v>
      </c>
      <c r="F276" s="162">
        <v>-0.34355999999999998</v>
      </c>
      <c r="G276" s="162">
        <v>-0.34344000000000002</v>
      </c>
      <c r="H276" s="162">
        <v>-0.34882000000000002</v>
      </c>
      <c r="I276" s="162">
        <v>-0.34522000000000003</v>
      </c>
      <c r="J276" s="162">
        <v>-0.34692000000000001</v>
      </c>
      <c r="K276" s="162">
        <v>-0.34517999999999999</v>
      </c>
      <c r="L276" s="162">
        <v>-0.34166000000000002</v>
      </c>
      <c r="M276" s="162">
        <v>-0.3372</v>
      </c>
      <c r="N276" s="162">
        <v>-0.33307999999999999</v>
      </c>
      <c r="O276" s="162">
        <v>-0.32801999999999998</v>
      </c>
      <c r="P276" s="162">
        <v>-0.32403999999999999</v>
      </c>
      <c r="Q276" s="162">
        <v>-0.31918000000000002</v>
      </c>
      <c r="R276" s="162">
        <v>-0.31374000000000002</v>
      </c>
      <c r="S276" s="162">
        <v>-0.2382</v>
      </c>
      <c r="T276" s="162">
        <v>-0.14802000000000001</v>
      </c>
      <c r="U276" s="162">
        <v>-4.8000000000000001E-2</v>
      </c>
      <c r="V276" s="162">
        <v>5.9200000000000003E-2</v>
      </c>
      <c r="W276" s="162">
        <v>0.17730000000000001</v>
      </c>
      <c r="X276" s="162">
        <v>0.29330000000000001</v>
      </c>
      <c r="Y276" s="162">
        <v>0.41520000000000001</v>
      </c>
      <c r="Z276" s="162">
        <v>0.53110000000000002</v>
      </c>
      <c r="AA276" s="162">
        <v>0.63285999999999998</v>
      </c>
      <c r="AB276" s="162">
        <v>0.73509999999999998</v>
      </c>
      <c r="AC276" s="162">
        <v>0.82230000000000003</v>
      </c>
      <c r="AD276" s="162">
        <v>0.89476</v>
      </c>
      <c r="AE276" s="162">
        <v>0.96486000000000005</v>
      </c>
      <c r="AF276" s="162">
        <v>1.0214000000000001</v>
      </c>
      <c r="AG276" s="162">
        <v>1.057172</v>
      </c>
      <c r="AH276" s="162">
        <v>1.0929439999999999</v>
      </c>
      <c r="AI276" s="162">
        <v>1.1287160000000001</v>
      </c>
      <c r="AJ276" s="162">
        <v>1.164488</v>
      </c>
      <c r="AK276" s="162">
        <v>1.2002600000000001</v>
      </c>
      <c r="AL276" s="162">
        <v>1.2154400000000001</v>
      </c>
      <c r="AM276" s="162">
        <v>1.23062</v>
      </c>
      <c r="AN276" s="162">
        <v>1.2458</v>
      </c>
      <c r="AO276" s="162">
        <v>1.26098</v>
      </c>
      <c r="AP276" s="162">
        <v>1.27616</v>
      </c>
      <c r="AQ276" s="162">
        <v>1.28268</v>
      </c>
      <c r="AR276" s="162">
        <v>1.2891999999999999</v>
      </c>
      <c r="AS276" s="162">
        <v>1.29572</v>
      </c>
      <c r="AT276" s="162">
        <v>1.3022400000000001</v>
      </c>
      <c r="AU276" s="162">
        <v>1.3087599999999999</v>
      </c>
    </row>
    <row r="277" spans="1:47" ht="12.75" customHeight="1">
      <c r="A277" s="459">
        <v>42832</v>
      </c>
      <c r="B277" s="139">
        <v>14</v>
      </c>
      <c r="C277" s="162">
        <v>-0.35675000000000001</v>
      </c>
      <c r="D277" s="162">
        <v>-0.35675000000000001</v>
      </c>
      <c r="E277" s="162">
        <v>-0.34883999999999998</v>
      </c>
      <c r="F277" s="162">
        <v>-0.34838000000000002</v>
      </c>
      <c r="G277" s="162">
        <v>-0.34310000000000002</v>
      </c>
      <c r="H277" s="162">
        <v>-0.35020000000000001</v>
      </c>
      <c r="I277" s="162">
        <v>-0.34920000000000001</v>
      </c>
      <c r="J277" s="162">
        <v>-0.34614</v>
      </c>
      <c r="K277" s="162">
        <v>-0.34732000000000002</v>
      </c>
      <c r="L277" s="162">
        <v>-0.34360000000000002</v>
      </c>
      <c r="M277" s="162">
        <v>-0.34214</v>
      </c>
      <c r="N277" s="162">
        <v>-0.33939999999999998</v>
      </c>
      <c r="O277" s="162">
        <v>-0.33600000000000002</v>
      </c>
      <c r="P277" s="162">
        <v>-0.33282</v>
      </c>
      <c r="Q277" s="162">
        <v>-0.32966000000000001</v>
      </c>
      <c r="R277" s="162">
        <v>-0.32612000000000002</v>
      </c>
      <c r="S277" s="162">
        <v>-0.26619999999999999</v>
      </c>
      <c r="T277" s="162">
        <v>-0.19031999999999999</v>
      </c>
      <c r="U277" s="162">
        <v>-0.1014</v>
      </c>
      <c r="V277" s="162">
        <v>-9.6000000000000002E-4</v>
      </c>
      <c r="W277" s="162">
        <v>0.11310000000000001</v>
      </c>
      <c r="X277" s="162">
        <v>0.2316</v>
      </c>
      <c r="Y277" s="162">
        <v>0.34649999999999997</v>
      </c>
      <c r="Z277" s="162">
        <v>0.46639999999999998</v>
      </c>
      <c r="AA277" s="162">
        <v>0.57335999999999998</v>
      </c>
      <c r="AB277" s="162">
        <v>0.67530000000000001</v>
      </c>
      <c r="AC277" s="162">
        <v>0.76056000000000001</v>
      </c>
      <c r="AD277" s="162">
        <v>0.84109999999999996</v>
      </c>
      <c r="AE277" s="162">
        <v>0.90886</v>
      </c>
      <c r="AF277" s="162">
        <v>0.96896000000000004</v>
      </c>
      <c r="AG277" s="162">
        <v>1.0052680000000001</v>
      </c>
      <c r="AH277" s="162">
        <v>1.0415760000000001</v>
      </c>
      <c r="AI277" s="162">
        <v>1.0778840000000001</v>
      </c>
      <c r="AJ277" s="162">
        <v>1.1141920000000001</v>
      </c>
      <c r="AK277" s="162">
        <v>1.1505000000000001</v>
      </c>
      <c r="AL277" s="162">
        <v>1.1661600000000001</v>
      </c>
      <c r="AM277" s="162">
        <v>1.1818200000000001</v>
      </c>
      <c r="AN277" s="162">
        <v>1.1974800000000001</v>
      </c>
      <c r="AO277" s="162">
        <v>1.2131400000000001</v>
      </c>
      <c r="AP277" s="162">
        <v>1.2287999999999999</v>
      </c>
      <c r="AQ277" s="162">
        <v>1.2355719999999999</v>
      </c>
      <c r="AR277" s="162">
        <v>1.2423439999999999</v>
      </c>
      <c r="AS277" s="162">
        <v>1.2491159999999999</v>
      </c>
      <c r="AT277" s="162">
        <v>1.2558879999999999</v>
      </c>
      <c r="AU277" s="162">
        <v>1.2626599999999999</v>
      </c>
    </row>
    <row r="278" spans="1:47" ht="12.75" customHeight="1">
      <c r="A278" s="459">
        <v>42839</v>
      </c>
      <c r="B278" s="139">
        <v>15</v>
      </c>
      <c r="C278" s="162">
        <v>-0.35225000000000001</v>
      </c>
      <c r="D278" s="162">
        <v>-0.35225000000000001</v>
      </c>
      <c r="E278" s="162">
        <v>-0.35324</v>
      </c>
      <c r="F278" s="162">
        <v>-0.35220000000000001</v>
      </c>
      <c r="G278" s="162">
        <v>-0.34864000000000001</v>
      </c>
      <c r="H278" s="162">
        <v>-0.35232000000000002</v>
      </c>
      <c r="I278" s="162">
        <v>-0.35238000000000003</v>
      </c>
      <c r="J278" s="162">
        <v>-0.35308</v>
      </c>
      <c r="K278" s="162">
        <v>-0.35324</v>
      </c>
      <c r="L278" s="162">
        <v>-0.35171999999999998</v>
      </c>
      <c r="M278" s="162">
        <v>-0.35326000000000002</v>
      </c>
      <c r="N278" s="162">
        <v>-0.35026000000000002</v>
      </c>
      <c r="O278" s="162">
        <v>-0.34848000000000001</v>
      </c>
      <c r="P278" s="162">
        <v>-0.34686</v>
      </c>
      <c r="Q278" s="162">
        <v>-0.34576000000000001</v>
      </c>
      <c r="R278" s="162">
        <v>-0.34582000000000002</v>
      </c>
      <c r="S278" s="162">
        <v>-0.30080000000000001</v>
      </c>
      <c r="T278" s="162">
        <v>-0.24054</v>
      </c>
      <c r="U278" s="162">
        <v>-0.15939999999999999</v>
      </c>
      <c r="V278" s="162">
        <v>-6.5799999999999997E-2</v>
      </c>
      <c r="W278" s="162">
        <v>4.3200000000000002E-2</v>
      </c>
      <c r="X278" s="162">
        <v>0.16600000000000001</v>
      </c>
      <c r="Y278" s="162">
        <v>0.28766000000000003</v>
      </c>
      <c r="Z278" s="162">
        <v>0.40839999999999999</v>
      </c>
      <c r="AA278" s="162">
        <v>0.52149999999999996</v>
      </c>
      <c r="AB278" s="162">
        <v>0.62280000000000002</v>
      </c>
      <c r="AC278" s="162">
        <v>0.71335999999999999</v>
      </c>
      <c r="AD278" s="162">
        <v>0.79246000000000005</v>
      </c>
      <c r="AE278" s="162">
        <v>0.86219999999999997</v>
      </c>
      <c r="AF278" s="162">
        <v>0.92059999999999997</v>
      </c>
      <c r="AG278" s="162">
        <v>0.95843199999999995</v>
      </c>
      <c r="AH278" s="162">
        <v>0.99626400000000004</v>
      </c>
      <c r="AI278" s="162">
        <v>1.0340959999999999</v>
      </c>
      <c r="AJ278" s="162">
        <v>1.071928</v>
      </c>
      <c r="AK278" s="162">
        <v>1.1097600000000001</v>
      </c>
      <c r="AL278" s="162">
        <v>1.1257280000000001</v>
      </c>
      <c r="AM278" s="162">
        <v>1.141696</v>
      </c>
      <c r="AN278" s="162">
        <v>1.157664</v>
      </c>
      <c r="AO278" s="162">
        <v>1.173632</v>
      </c>
      <c r="AP278" s="162">
        <v>1.1896</v>
      </c>
      <c r="AQ278" s="162">
        <v>1.19716</v>
      </c>
      <c r="AR278" s="162">
        <v>1.20472</v>
      </c>
      <c r="AS278" s="162">
        <v>1.21228</v>
      </c>
      <c r="AT278" s="162">
        <v>1.21984</v>
      </c>
      <c r="AU278" s="162">
        <v>1.2274</v>
      </c>
    </row>
    <row r="279" spans="1:47" ht="12.75" customHeight="1">
      <c r="A279" s="459">
        <v>42846</v>
      </c>
      <c r="B279" s="139">
        <v>16</v>
      </c>
      <c r="C279" s="162">
        <v>-0.35799999999999998</v>
      </c>
      <c r="D279" s="162">
        <v>-0.35799999999999998</v>
      </c>
      <c r="E279" s="162">
        <v>-0.35354999999999998</v>
      </c>
      <c r="F279" s="162">
        <v>-0.35194999999999999</v>
      </c>
      <c r="G279" s="162">
        <v>-0.35404999999999998</v>
      </c>
      <c r="H279" s="162">
        <v>-0.35557499999999997</v>
      </c>
      <c r="I279" s="162">
        <v>-0.35420000000000001</v>
      </c>
      <c r="J279" s="162">
        <v>-0.35770000000000002</v>
      </c>
      <c r="K279" s="162">
        <v>-0.35594999999999999</v>
      </c>
      <c r="L279" s="162">
        <v>-0.35499999999999998</v>
      </c>
      <c r="M279" s="162">
        <v>-0.35477500000000001</v>
      </c>
      <c r="N279" s="162">
        <v>-0.355375</v>
      </c>
      <c r="O279" s="162">
        <v>-0.35075000000000001</v>
      </c>
      <c r="P279" s="162">
        <v>-0.35325000000000001</v>
      </c>
      <c r="Q279" s="162">
        <v>-0.35344999999999999</v>
      </c>
      <c r="R279" s="162">
        <v>-0.35125000000000001</v>
      </c>
      <c r="S279" s="162">
        <v>-0.31900000000000001</v>
      </c>
      <c r="T279" s="162">
        <v>-0.26784999999999998</v>
      </c>
      <c r="U279" s="162">
        <v>-0.19462499999999999</v>
      </c>
      <c r="V279" s="162">
        <v>-0.105125</v>
      </c>
      <c r="W279" s="162">
        <v>5.3749999999999996E-3</v>
      </c>
      <c r="X279" s="162">
        <v>0.122875</v>
      </c>
      <c r="Y279" s="162">
        <v>0.2445</v>
      </c>
      <c r="Z279" s="162">
        <v>0.36282500000000001</v>
      </c>
      <c r="AA279" s="162">
        <v>0.47299999999999998</v>
      </c>
      <c r="AB279" s="162">
        <v>0.57432499999999997</v>
      </c>
      <c r="AC279" s="162">
        <v>0.66137500000000005</v>
      </c>
      <c r="AD279" s="162">
        <v>0.73875000000000002</v>
      </c>
      <c r="AE279" s="162">
        <v>0.80625000000000002</v>
      </c>
      <c r="AF279" s="162">
        <v>0.86445000000000005</v>
      </c>
      <c r="AG279" s="162">
        <v>0.90015999999999996</v>
      </c>
      <c r="AH279" s="162">
        <v>0.93586999999999998</v>
      </c>
      <c r="AI279" s="162">
        <v>0.97158</v>
      </c>
      <c r="AJ279" s="162">
        <v>1.00729</v>
      </c>
      <c r="AK279" s="162">
        <v>1.0429999999999999</v>
      </c>
      <c r="AL279" s="162">
        <v>1.058125</v>
      </c>
      <c r="AM279" s="162">
        <v>1.07325</v>
      </c>
      <c r="AN279" s="162">
        <v>1.0883750000000001</v>
      </c>
      <c r="AO279" s="162">
        <v>1.1034999999999999</v>
      </c>
      <c r="AP279" s="162">
        <v>1.118625</v>
      </c>
      <c r="AQ279" s="162">
        <v>1.1257900000000001</v>
      </c>
      <c r="AR279" s="162">
        <v>1.1329549999999999</v>
      </c>
      <c r="AS279" s="162">
        <v>1.14012</v>
      </c>
      <c r="AT279" s="162">
        <v>1.1472850000000001</v>
      </c>
      <c r="AU279" s="162">
        <v>1.15445</v>
      </c>
    </row>
    <row r="280" spans="1:47" ht="12.75" customHeight="1">
      <c r="A280" s="459">
        <v>42853</v>
      </c>
      <c r="B280" s="139">
        <v>17</v>
      </c>
      <c r="C280" s="162">
        <v>-0.3586667</v>
      </c>
      <c r="D280" s="162">
        <v>-0.3586667</v>
      </c>
      <c r="E280" s="162">
        <v>-0.35565999999999998</v>
      </c>
      <c r="F280" s="162">
        <v>-0.35342000000000001</v>
      </c>
      <c r="G280" s="162">
        <v>-0.35576000000000002</v>
      </c>
      <c r="H280" s="162">
        <v>-0.36036000000000001</v>
      </c>
      <c r="I280" s="162">
        <v>-0.36080000000000001</v>
      </c>
      <c r="J280" s="162">
        <v>-0.36109999999999998</v>
      </c>
      <c r="K280" s="162">
        <v>-0.36309999999999998</v>
      </c>
      <c r="L280" s="162">
        <v>-0.36265999999999998</v>
      </c>
      <c r="M280" s="162">
        <v>-0.35955999999999999</v>
      </c>
      <c r="N280" s="162">
        <v>-0.36059999999999998</v>
      </c>
      <c r="O280" s="162">
        <v>-0.36009999999999998</v>
      </c>
      <c r="P280" s="162">
        <v>-0.35898000000000002</v>
      </c>
      <c r="Q280" s="162">
        <v>-0.35759999999999997</v>
      </c>
      <c r="R280" s="162">
        <v>-0.35568</v>
      </c>
      <c r="S280" s="162">
        <v>-0.31840000000000002</v>
      </c>
      <c r="T280" s="162">
        <v>-0.26407999999999998</v>
      </c>
      <c r="U280" s="162">
        <v>-0.18845999999999999</v>
      </c>
      <c r="V280" s="162">
        <v>-0.10045999999999999</v>
      </c>
      <c r="W280" s="162">
        <v>9.7999999999999997E-3</v>
      </c>
      <c r="X280" s="162">
        <v>0.1258</v>
      </c>
      <c r="Y280" s="162">
        <v>0.24415999999999999</v>
      </c>
      <c r="Z280" s="162">
        <v>0.36165999999999998</v>
      </c>
      <c r="AA280" s="162">
        <v>0.4662</v>
      </c>
      <c r="AB280" s="162">
        <v>0.56535999999999997</v>
      </c>
      <c r="AC280" s="162">
        <v>0.65269999999999995</v>
      </c>
      <c r="AD280" s="162">
        <v>0.72965999999999998</v>
      </c>
      <c r="AE280" s="162">
        <v>0.79300000000000004</v>
      </c>
      <c r="AF280" s="162">
        <v>0.85409999999999997</v>
      </c>
      <c r="AG280" s="162">
        <v>0.88824000000000003</v>
      </c>
      <c r="AH280" s="162">
        <v>0.92237999999999998</v>
      </c>
      <c r="AI280" s="162">
        <v>0.95652000000000004</v>
      </c>
      <c r="AJ280" s="162">
        <v>0.99065999999999999</v>
      </c>
      <c r="AK280" s="162">
        <v>1.0247999999999999</v>
      </c>
      <c r="AL280" s="162">
        <v>1.0387999999999999</v>
      </c>
      <c r="AM280" s="162">
        <v>1.0528</v>
      </c>
      <c r="AN280" s="162">
        <v>1.0668</v>
      </c>
      <c r="AO280" s="162">
        <v>1.0808</v>
      </c>
      <c r="AP280" s="162">
        <v>1.0948</v>
      </c>
      <c r="AQ280" s="162">
        <v>1.101972</v>
      </c>
      <c r="AR280" s="162">
        <v>1.1091439999999999</v>
      </c>
      <c r="AS280" s="162">
        <v>1.1163160000000001</v>
      </c>
      <c r="AT280" s="162">
        <v>1.123488</v>
      </c>
      <c r="AU280" s="162">
        <v>1.13066</v>
      </c>
    </row>
    <row r="281" spans="1:47" ht="12.75" customHeight="1">
      <c r="A281" s="459">
        <v>42860</v>
      </c>
      <c r="B281" s="139">
        <v>18</v>
      </c>
      <c r="C281" s="162">
        <v>-0.36199999999999999</v>
      </c>
      <c r="D281" s="162">
        <v>-0.36199999999999999</v>
      </c>
      <c r="E281" s="162">
        <v>-0.35849999999999999</v>
      </c>
      <c r="F281" s="162">
        <v>-0.35849999999999999</v>
      </c>
      <c r="G281" s="162">
        <v>-0.35830000000000001</v>
      </c>
      <c r="H281" s="162">
        <v>-0.35799999999999998</v>
      </c>
      <c r="I281" s="162">
        <v>-0.35849999999999999</v>
      </c>
      <c r="J281" s="162">
        <v>-0.35870000000000002</v>
      </c>
      <c r="K281" s="162">
        <v>-0.35730000000000001</v>
      </c>
      <c r="L281" s="162">
        <v>-0.3543</v>
      </c>
      <c r="M281" s="162">
        <v>-0.35599999999999998</v>
      </c>
      <c r="N281" s="162">
        <v>-0.35049999999999998</v>
      </c>
      <c r="O281" s="162">
        <v>-0.35199999999999998</v>
      </c>
      <c r="P281" s="162">
        <v>-0.34599999999999997</v>
      </c>
      <c r="Q281" s="162">
        <v>-0.3427</v>
      </c>
      <c r="R281" s="162">
        <v>-0.33800000000000002</v>
      </c>
      <c r="S281" s="162">
        <v>-0.28199999999999997</v>
      </c>
      <c r="T281" s="162">
        <v>-0.20649999999999999</v>
      </c>
      <c r="U281" s="162">
        <v>-0.113</v>
      </c>
      <c r="V281" s="162">
        <v>-6.4999999999999997E-3</v>
      </c>
      <c r="W281" s="162">
        <v>0.109</v>
      </c>
      <c r="X281" s="162">
        <v>0.22900000000000001</v>
      </c>
      <c r="Y281" s="162">
        <v>0.35199999999999998</v>
      </c>
      <c r="Z281" s="162">
        <v>0.46899999999999997</v>
      </c>
      <c r="AA281" s="162">
        <v>0.58179999999999998</v>
      </c>
      <c r="AB281" s="162">
        <v>0.68200000000000005</v>
      </c>
      <c r="AC281" s="162">
        <v>0.77500000000000002</v>
      </c>
      <c r="AD281" s="162">
        <v>0.85499999999999998</v>
      </c>
      <c r="AE281" s="162">
        <v>0.92449999999999999</v>
      </c>
      <c r="AF281" s="162">
        <v>0.98380000000000001</v>
      </c>
      <c r="AG281" s="162">
        <v>1.0212399999999999</v>
      </c>
      <c r="AH281" s="162">
        <v>1.0586800000000001</v>
      </c>
      <c r="AI281" s="162">
        <v>1.09612</v>
      </c>
      <c r="AJ281" s="162">
        <v>1.1335599999999999</v>
      </c>
      <c r="AK281" s="162">
        <v>1.171</v>
      </c>
      <c r="AL281" s="162">
        <v>1.18666</v>
      </c>
      <c r="AM281" s="162">
        <v>1.2023200000000001</v>
      </c>
      <c r="AN281" s="162">
        <v>1.2179800000000001</v>
      </c>
      <c r="AO281" s="162">
        <v>1.2336400000000001</v>
      </c>
      <c r="AP281" s="162">
        <v>1.2493000000000001</v>
      </c>
      <c r="AQ281" s="162">
        <v>1.2567999999999999</v>
      </c>
      <c r="AR281" s="162">
        <v>1.2643</v>
      </c>
      <c r="AS281" s="162">
        <v>1.2718</v>
      </c>
      <c r="AT281" s="162">
        <v>1.2793000000000001</v>
      </c>
      <c r="AU281" s="162">
        <v>1.2867999999999999</v>
      </c>
    </row>
    <row r="282" spans="1:47" ht="12.75" customHeight="1">
      <c r="A282" s="459">
        <v>42867</v>
      </c>
      <c r="B282" s="139">
        <v>19</v>
      </c>
      <c r="C282" s="162">
        <v>-0.3566667</v>
      </c>
      <c r="D282" s="162">
        <v>-0.3566667</v>
      </c>
      <c r="E282" s="162">
        <v>-0.35899999999999999</v>
      </c>
      <c r="F282" s="162">
        <v>-0.35749999999999998</v>
      </c>
      <c r="G282" s="162">
        <v>-0.354375</v>
      </c>
      <c r="H282" s="162">
        <v>-0.36</v>
      </c>
      <c r="I282" s="162">
        <v>-0.35967500000000002</v>
      </c>
      <c r="J282" s="162">
        <v>-0.36147499999999999</v>
      </c>
      <c r="K282" s="162">
        <v>-0.35752499999999998</v>
      </c>
      <c r="L282" s="162">
        <v>-0.35799999999999998</v>
      </c>
      <c r="M282" s="162">
        <v>-0.35694999999999999</v>
      </c>
      <c r="N282" s="162">
        <v>-0.35412500000000002</v>
      </c>
      <c r="O282" s="162">
        <v>-0.35372500000000001</v>
      </c>
      <c r="P282" s="162">
        <v>-0.35075000000000001</v>
      </c>
      <c r="Q282" s="162">
        <v>-0.34444999999999998</v>
      </c>
      <c r="R282" s="162">
        <v>-0.344775</v>
      </c>
      <c r="S282" s="162">
        <v>-0.28162500000000001</v>
      </c>
      <c r="T282" s="162">
        <v>-0.19434999999999999</v>
      </c>
      <c r="U282" s="162">
        <v>-0.106</v>
      </c>
      <c r="V282" s="162">
        <v>3.6250000000000002E-3</v>
      </c>
      <c r="W282" s="162">
        <v>0.12525</v>
      </c>
      <c r="X282" s="162">
        <v>0.2437</v>
      </c>
      <c r="Y282" s="162">
        <v>0.37187500000000001</v>
      </c>
      <c r="Z282" s="162">
        <v>0.49662499999999998</v>
      </c>
      <c r="AA282" s="162">
        <v>0.60894999999999999</v>
      </c>
      <c r="AB282" s="162">
        <v>0.70857499999999995</v>
      </c>
      <c r="AC282" s="162">
        <v>0.80149999999999999</v>
      </c>
      <c r="AD282" s="162">
        <v>0.86199999999999999</v>
      </c>
      <c r="AE282" s="162">
        <v>0.95174999999999998</v>
      </c>
      <c r="AF282" s="162">
        <v>1.0164500000000001</v>
      </c>
      <c r="AG282" s="162">
        <v>1.0543750000000001</v>
      </c>
      <c r="AH282" s="162">
        <v>1.0923</v>
      </c>
      <c r="AI282" s="162">
        <v>1.130225</v>
      </c>
      <c r="AJ282" s="162">
        <v>1.16815</v>
      </c>
      <c r="AK282" s="162">
        <v>1.206075</v>
      </c>
      <c r="AL282" s="162">
        <v>1.222235</v>
      </c>
      <c r="AM282" s="162">
        <v>1.2383949999999999</v>
      </c>
      <c r="AN282" s="162">
        <v>1.2545550000000001</v>
      </c>
      <c r="AO282" s="162">
        <v>1.270715</v>
      </c>
      <c r="AP282" s="162">
        <v>1.286875</v>
      </c>
      <c r="AQ282" s="162">
        <v>1.294465</v>
      </c>
      <c r="AR282" s="162">
        <v>1.302055</v>
      </c>
      <c r="AS282" s="162">
        <v>1.3096449999999999</v>
      </c>
      <c r="AT282" s="162">
        <v>1.3172349999999999</v>
      </c>
      <c r="AU282" s="162">
        <v>1.3248249999999999</v>
      </c>
    </row>
    <row r="283" spans="1:47" ht="12.75" customHeight="1">
      <c r="A283" s="459">
        <v>42874</v>
      </c>
      <c r="B283" s="139">
        <v>20</v>
      </c>
      <c r="C283" s="162">
        <v>-0.35799999999999998</v>
      </c>
      <c r="D283" s="162">
        <v>-0.35799999999999998</v>
      </c>
      <c r="E283" s="162">
        <v>-0.35746</v>
      </c>
      <c r="F283" s="162">
        <v>-0.35508000000000001</v>
      </c>
      <c r="G283" s="162">
        <v>-0.35267999999999999</v>
      </c>
      <c r="H283" s="162">
        <v>-0.35830000000000001</v>
      </c>
      <c r="I283" s="162">
        <v>-0.3574</v>
      </c>
      <c r="J283" s="162">
        <v>-0.35830000000000001</v>
      </c>
      <c r="K283" s="162">
        <v>-0.35680000000000001</v>
      </c>
      <c r="L283" s="162">
        <v>-0.3548</v>
      </c>
      <c r="M283" s="162">
        <v>-0.35455999999999999</v>
      </c>
      <c r="N283" s="162">
        <v>-0.35199999999999998</v>
      </c>
      <c r="O283" s="162">
        <v>-0.34976000000000002</v>
      </c>
      <c r="P283" s="162">
        <v>-0.34620000000000001</v>
      </c>
      <c r="Q283" s="162">
        <v>-0.34144000000000002</v>
      </c>
      <c r="R283" s="162">
        <v>-0.33607999999999999</v>
      </c>
      <c r="S283" s="162">
        <v>-0.26572000000000001</v>
      </c>
      <c r="T283" s="162">
        <v>-0.18242</v>
      </c>
      <c r="U283" s="162">
        <v>-7.9200000000000007E-2</v>
      </c>
      <c r="V283" s="162">
        <v>2.98E-2</v>
      </c>
      <c r="W283" s="162">
        <v>0.15459999999999999</v>
      </c>
      <c r="X283" s="162">
        <v>0.27976000000000001</v>
      </c>
      <c r="Y283" s="162">
        <v>0.40339999999999998</v>
      </c>
      <c r="Z283" s="162">
        <v>0.5282</v>
      </c>
      <c r="AA283" s="162">
        <v>0.64315999999999995</v>
      </c>
      <c r="AB283" s="162">
        <v>0.74626000000000003</v>
      </c>
      <c r="AC283" s="162">
        <v>0.83945999999999998</v>
      </c>
      <c r="AD283" s="162">
        <v>0.92030000000000001</v>
      </c>
      <c r="AE283" s="162">
        <v>0.99009999999999998</v>
      </c>
      <c r="AF283" s="162">
        <v>1.05166</v>
      </c>
      <c r="AG283" s="162">
        <v>1.0899000000000001</v>
      </c>
      <c r="AH283" s="162">
        <v>1.1281399999999999</v>
      </c>
      <c r="AI283" s="162">
        <v>1.16638</v>
      </c>
      <c r="AJ283" s="162">
        <v>1.20462</v>
      </c>
      <c r="AK283" s="162">
        <v>1.2428600000000001</v>
      </c>
      <c r="AL283" s="162">
        <v>1.2587280000000001</v>
      </c>
      <c r="AM283" s="162">
        <v>1.2745960000000001</v>
      </c>
      <c r="AN283" s="162">
        <v>1.2904640000000001</v>
      </c>
      <c r="AO283" s="162">
        <v>1.306332</v>
      </c>
      <c r="AP283" s="162">
        <v>1.3222</v>
      </c>
      <c r="AQ283" s="162">
        <v>1.3298000000000001</v>
      </c>
      <c r="AR283" s="162">
        <v>1.3373999999999999</v>
      </c>
      <c r="AS283" s="162">
        <v>1.345</v>
      </c>
      <c r="AT283" s="162">
        <v>1.3526</v>
      </c>
      <c r="AU283" s="162">
        <v>1.3602000000000001</v>
      </c>
    </row>
    <row r="284" spans="1:47" ht="12.75" customHeight="1">
      <c r="A284" s="459">
        <v>42881</v>
      </c>
      <c r="B284" s="139">
        <v>21</v>
      </c>
      <c r="C284" s="162">
        <v>-0.36149999999999999</v>
      </c>
      <c r="D284" s="162">
        <v>-0.36149999999999999</v>
      </c>
      <c r="E284" s="162">
        <v>-0.3589</v>
      </c>
      <c r="F284" s="162">
        <v>-0.3589</v>
      </c>
      <c r="G284" s="162">
        <v>-0.35949999999999999</v>
      </c>
      <c r="H284" s="162">
        <v>-0.35899999999999999</v>
      </c>
      <c r="I284" s="162">
        <v>-0.35909999999999997</v>
      </c>
      <c r="J284" s="162">
        <v>-0.35899999999999999</v>
      </c>
      <c r="K284" s="162">
        <v>-0.3574</v>
      </c>
      <c r="L284" s="162">
        <v>-0.35649999999999998</v>
      </c>
      <c r="M284" s="162">
        <v>-0.35560000000000003</v>
      </c>
      <c r="N284" s="162">
        <v>-0.35849999999999999</v>
      </c>
      <c r="O284" s="162">
        <v>-0.3498</v>
      </c>
      <c r="P284" s="162">
        <v>-0.34699999999999998</v>
      </c>
      <c r="Q284" s="162">
        <v>-0.34300000000000003</v>
      </c>
      <c r="R284" s="162">
        <v>-0.33939999999999998</v>
      </c>
      <c r="S284" s="162">
        <v>-0.27779999999999999</v>
      </c>
      <c r="T284" s="162">
        <v>-0.19089999999999999</v>
      </c>
      <c r="U284" s="162">
        <v>-9.0499999999999997E-2</v>
      </c>
      <c r="V284" s="162">
        <v>0.02</v>
      </c>
      <c r="W284" s="162">
        <v>0.13850000000000001</v>
      </c>
      <c r="X284" s="162">
        <v>0.26200000000000001</v>
      </c>
      <c r="Y284" s="162">
        <v>0.38800000000000001</v>
      </c>
      <c r="Z284" s="162">
        <v>0.51149999999999995</v>
      </c>
      <c r="AA284" s="162">
        <v>0.625</v>
      </c>
      <c r="AB284" s="162">
        <v>0.73099999999999998</v>
      </c>
      <c r="AC284" s="162">
        <v>0.82499999999999996</v>
      </c>
      <c r="AD284" s="162">
        <v>0.90600000000000003</v>
      </c>
      <c r="AE284" s="162">
        <v>0.97950000000000004</v>
      </c>
      <c r="AF284" s="162">
        <v>1.0389999999999999</v>
      </c>
      <c r="AG284" s="162">
        <v>1.0781000000000001</v>
      </c>
      <c r="AH284" s="162">
        <v>1.1172</v>
      </c>
      <c r="AI284" s="162">
        <v>1.1563000000000001</v>
      </c>
      <c r="AJ284" s="162">
        <v>1.1954</v>
      </c>
      <c r="AK284" s="162">
        <v>1.2344999999999999</v>
      </c>
      <c r="AL284" s="162">
        <v>1.2505999999999999</v>
      </c>
      <c r="AM284" s="162">
        <v>1.2666999999999999</v>
      </c>
      <c r="AN284" s="162">
        <v>1.2827999999999999</v>
      </c>
      <c r="AO284" s="162">
        <v>1.2988999999999999</v>
      </c>
      <c r="AP284" s="162">
        <v>1.3149999999999999</v>
      </c>
      <c r="AQ284" s="162">
        <v>1.3227</v>
      </c>
      <c r="AR284" s="162">
        <v>1.3304</v>
      </c>
      <c r="AS284" s="162">
        <v>1.3381000000000001</v>
      </c>
      <c r="AT284" s="162">
        <v>1.3458000000000001</v>
      </c>
      <c r="AU284" s="162">
        <v>1.3534999999999999</v>
      </c>
    </row>
    <row r="285" spans="1:47" ht="12.75" customHeight="1">
      <c r="A285" s="459">
        <v>42888</v>
      </c>
      <c r="B285" s="139">
        <v>22</v>
      </c>
      <c r="C285" s="162">
        <v>-0.35949999999999999</v>
      </c>
      <c r="D285" s="162">
        <v>-0.35949999999999999</v>
      </c>
      <c r="E285" s="162">
        <v>-0.35980000000000001</v>
      </c>
      <c r="F285" s="162">
        <v>-0.36020000000000002</v>
      </c>
      <c r="G285" s="162">
        <v>-0.36146669999999997</v>
      </c>
      <c r="H285" s="162">
        <v>-0.36149999999999999</v>
      </c>
      <c r="I285" s="162">
        <v>-0.36123329999999998</v>
      </c>
      <c r="J285" s="162">
        <v>-0.36066670000000001</v>
      </c>
      <c r="K285" s="162">
        <v>-0.35776669999999999</v>
      </c>
      <c r="L285" s="162">
        <v>-0.3538</v>
      </c>
      <c r="M285" s="162">
        <v>-0.35336669999999998</v>
      </c>
      <c r="N285" s="162">
        <v>-0.35046670000000002</v>
      </c>
      <c r="O285" s="162">
        <v>-0.3488</v>
      </c>
      <c r="P285" s="162">
        <v>-0.34413329999999998</v>
      </c>
      <c r="Q285" s="162">
        <v>-0.34013330000000003</v>
      </c>
      <c r="R285" s="162">
        <v>-0.33946670000000001</v>
      </c>
      <c r="S285" s="162">
        <v>-0.26993329999999999</v>
      </c>
      <c r="T285" s="162">
        <v>-0.18336669999999999</v>
      </c>
      <c r="U285" s="162">
        <v>-7.8833299999999995E-2</v>
      </c>
      <c r="V285" s="162">
        <v>2.8166699999999999E-2</v>
      </c>
      <c r="W285" s="162">
        <v>0.1463333</v>
      </c>
      <c r="X285" s="162">
        <v>0.27216669999999998</v>
      </c>
      <c r="Y285" s="162">
        <v>0.39900000000000002</v>
      </c>
      <c r="Z285" s="162">
        <v>0.52326669999999997</v>
      </c>
      <c r="AA285" s="162">
        <v>0.63916669999999998</v>
      </c>
      <c r="AB285" s="162">
        <v>0.74443329999999996</v>
      </c>
      <c r="AC285" s="162">
        <v>0.8388333</v>
      </c>
      <c r="AD285" s="162">
        <v>0.92183329999999997</v>
      </c>
      <c r="AE285" s="162">
        <v>0.99399999999999999</v>
      </c>
      <c r="AF285" s="162">
        <v>1.0568333000000001</v>
      </c>
      <c r="AG285" s="162">
        <v>1.0962000000000001</v>
      </c>
      <c r="AH285" s="162">
        <v>1.1355667</v>
      </c>
      <c r="AI285" s="162">
        <v>1.1749333</v>
      </c>
      <c r="AJ285" s="162">
        <v>1.2142999999999999</v>
      </c>
      <c r="AK285" s="162">
        <v>1.2536666999999999</v>
      </c>
      <c r="AL285" s="162">
        <v>1.2699199999999999</v>
      </c>
      <c r="AM285" s="162">
        <v>1.2861733</v>
      </c>
      <c r="AN285" s="162">
        <v>1.3024267</v>
      </c>
      <c r="AO285" s="162">
        <v>1.3186800000000001</v>
      </c>
      <c r="AP285" s="162">
        <v>1.3349333000000001</v>
      </c>
      <c r="AQ285" s="162">
        <v>1.34358</v>
      </c>
      <c r="AR285" s="162">
        <v>1.3522266999999999</v>
      </c>
      <c r="AS285" s="162">
        <v>1.3608733</v>
      </c>
      <c r="AT285" s="162">
        <v>1.3695200000000001</v>
      </c>
      <c r="AU285" s="162">
        <v>1.3781667</v>
      </c>
    </row>
    <row r="286" spans="1:47" ht="12.75" customHeight="1">
      <c r="A286" s="459">
        <v>42895</v>
      </c>
      <c r="B286" s="139">
        <v>23</v>
      </c>
      <c r="C286" s="162">
        <v>-0.35625000000000001</v>
      </c>
      <c r="D286" s="162">
        <v>-0.35625000000000001</v>
      </c>
      <c r="E286" s="162">
        <v>-0.36</v>
      </c>
      <c r="F286" s="162">
        <v>-0.36062</v>
      </c>
      <c r="G286" s="162">
        <v>-0.35483999999999999</v>
      </c>
      <c r="H286" s="162">
        <v>-0.36127999999999999</v>
      </c>
      <c r="I286" s="162">
        <v>-0.35592000000000001</v>
      </c>
      <c r="J286" s="162">
        <v>-0.36</v>
      </c>
      <c r="K286" s="162">
        <v>-0.35914000000000001</v>
      </c>
      <c r="L286" s="162">
        <v>-0.35832000000000003</v>
      </c>
      <c r="M286" s="162">
        <v>-0.35783999999999999</v>
      </c>
      <c r="N286" s="162">
        <v>-0.35637999999999997</v>
      </c>
      <c r="O286" s="162">
        <v>-0.35587999999999997</v>
      </c>
      <c r="P286" s="162">
        <v>-0.35288000000000003</v>
      </c>
      <c r="Q286" s="162">
        <v>-0.35032000000000002</v>
      </c>
      <c r="R286" s="162">
        <v>-0.34795999999999999</v>
      </c>
      <c r="S286" s="162">
        <v>-0.30136000000000002</v>
      </c>
      <c r="T286" s="162">
        <v>-0.22661999999999999</v>
      </c>
      <c r="U286" s="162">
        <v>-0.13189999999999999</v>
      </c>
      <c r="V286" s="162">
        <v>-2.7799999999999998E-2</v>
      </c>
      <c r="W286" s="162">
        <v>8.3599999999999994E-2</v>
      </c>
      <c r="X286" s="162">
        <v>0.21579999999999999</v>
      </c>
      <c r="Y286" s="162">
        <v>0.34229999999999999</v>
      </c>
      <c r="Z286" s="162">
        <v>0.4672</v>
      </c>
      <c r="AA286" s="162">
        <v>0.58330000000000004</v>
      </c>
      <c r="AB286" s="162">
        <v>0.68430000000000002</v>
      </c>
      <c r="AC286" s="162">
        <v>0.78380000000000005</v>
      </c>
      <c r="AD286" s="162">
        <v>0.86506000000000005</v>
      </c>
      <c r="AE286" s="162">
        <v>0.93920000000000003</v>
      </c>
      <c r="AF286" s="162">
        <v>0.99960000000000004</v>
      </c>
      <c r="AG286" s="162">
        <v>1.0398000000000001</v>
      </c>
      <c r="AH286" s="162">
        <v>1.08</v>
      </c>
      <c r="AI286" s="162">
        <v>1.1202000000000001</v>
      </c>
      <c r="AJ286" s="162">
        <v>1.1604000000000001</v>
      </c>
      <c r="AK286" s="162">
        <v>1.2005999999999999</v>
      </c>
      <c r="AL286" s="162">
        <v>1.21794</v>
      </c>
      <c r="AM286" s="162">
        <v>1.2352799999999999</v>
      </c>
      <c r="AN286" s="162">
        <v>1.2526200000000001</v>
      </c>
      <c r="AO286" s="162">
        <v>1.26996</v>
      </c>
      <c r="AP286" s="162">
        <v>1.2873000000000001</v>
      </c>
      <c r="AQ286" s="162">
        <v>1.2953600000000001</v>
      </c>
      <c r="AR286" s="162">
        <v>1.30342</v>
      </c>
      <c r="AS286" s="162">
        <v>1.31148</v>
      </c>
      <c r="AT286" s="162">
        <v>1.3195399999999999</v>
      </c>
      <c r="AU286" s="162">
        <v>1.3275999999999999</v>
      </c>
    </row>
    <row r="287" spans="1:47" ht="12.75" customHeight="1">
      <c r="A287" s="459">
        <v>42902</v>
      </c>
      <c r="B287" s="139">
        <v>24</v>
      </c>
      <c r="C287" s="162">
        <v>-0.373</v>
      </c>
      <c r="D287" s="162">
        <v>-0.373</v>
      </c>
      <c r="E287" s="162">
        <v>-0.3609</v>
      </c>
      <c r="F287" s="162">
        <v>-0.36209999999999998</v>
      </c>
      <c r="G287" s="162">
        <v>-0.36170000000000002</v>
      </c>
      <c r="H287" s="162">
        <v>-0.35749999999999998</v>
      </c>
      <c r="I287" s="162">
        <v>-0.36049999999999999</v>
      </c>
      <c r="J287" s="162">
        <v>-0.36099999999999999</v>
      </c>
      <c r="K287" s="162">
        <v>-0.3634</v>
      </c>
      <c r="L287" s="162">
        <v>-0.35599999999999998</v>
      </c>
      <c r="M287" s="162">
        <v>-0.35765000000000002</v>
      </c>
      <c r="N287" s="162">
        <v>-0.35554999999999998</v>
      </c>
      <c r="O287" s="162">
        <v>-0.35439999999999999</v>
      </c>
      <c r="P287" s="162">
        <v>-0.35170000000000001</v>
      </c>
      <c r="Q287" s="162">
        <v>-0.34970000000000001</v>
      </c>
      <c r="R287" s="162">
        <v>-0.34699999999999998</v>
      </c>
      <c r="S287" s="162">
        <v>-0.30130000000000001</v>
      </c>
      <c r="T287" s="162">
        <v>-0.2364</v>
      </c>
      <c r="U287" s="162">
        <v>-0.13950000000000001</v>
      </c>
      <c r="V287" s="162">
        <v>-3.6749999999999998E-2</v>
      </c>
      <c r="W287" s="162">
        <v>0.08</v>
      </c>
      <c r="X287" s="162">
        <v>0.20499999999999999</v>
      </c>
      <c r="Y287" s="162">
        <v>0.33374999999999999</v>
      </c>
      <c r="Z287" s="162">
        <v>0.45850000000000002</v>
      </c>
      <c r="AA287" s="162">
        <v>0.57574999999999998</v>
      </c>
      <c r="AB287" s="162">
        <v>0.68400000000000005</v>
      </c>
      <c r="AC287" s="162">
        <v>0.78149999999999997</v>
      </c>
      <c r="AD287" s="162">
        <v>0.86499999999999999</v>
      </c>
      <c r="AE287" s="162">
        <v>0.94099999999999995</v>
      </c>
      <c r="AF287" s="162">
        <v>1.004</v>
      </c>
      <c r="AG287" s="162">
        <v>1.0447500000000001</v>
      </c>
      <c r="AH287" s="162">
        <v>1.0854999999999999</v>
      </c>
      <c r="AI287" s="162">
        <v>1.12625</v>
      </c>
      <c r="AJ287" s="162">
        <v>1.167</v>
      </c>
      <c r="AK287" s="162">
        <v>1.2077500000000001</v>
      </c>
      <c r="AL287" s="162">
        <v>1.2254</v>
      </c>
      <c r="AM287" s="162">
        <v>1.24305</v>
      </c>
      <c r="AN287" s="162">
        <v>1.2606999999999999</v>
      </c>
      <c r="AO287" s="162">
        <v>1.2783500000000001</v>
      </c>
      <c r="AP287" s="162">
        <v>1.296</v>
      </c>
      <c r="AQ287" s="162">
        <v>1.3046</v>
      </c>
      <c r="AR287" s="162">
        <v>1.3131999999999999</v>
      </c>
      <c r="AS287" s="162">
        <v>1.3218000000000001</v>
      </c>
      <c r="AT287" s="162">
        <v>1.3304</v>
      </c>
      <c r="AU287" s="162">
        <v>1.339</v>
      </c>
    </row>
    <row r="288" spans="1:47" ht="12.75" customHeight="1">
      <c r="A288" s="459">
        <v>42909</v>
      </c>
      <c r="B288" s="139">
        <v>25</v>
      </c>
      <c r="C288" s="162">
        <v>-0.35875000000000001</v>
      </c>
      <c r="D288" s="162">
        <v>-0.35875000000000001</v>
      </c>
      <c r="E288" s="162">
        <v>-0.36059999999999998</v>
      </c>
      <c r="F288" s="162">
        <v>-0.35759999999999997</v>
      </c>
      <c r="G288" s="162">
        <v>-0.35630000000000001</v>
      </c>
      <c r="H288" s="162">
        <v>-0.35809999999999997</v>
      </c>
      <c r="I288" s="162">
        <v>-0.35842000000000002</v>
      </c>
      <c r="J288" s="162">
        <v>-0.35786000000000001</v>
      </c>
      <c r="K288" s="162">
        <v>-0.35987999999999998</v>
      </c>
      <c r="L288" s="162">
        <v>-0.35805999999999999</v>
      </c>
      <c r="M288" s="162">
        <v>-0.35787999999999998</v>
      </c>
      <c r="N288" s="162">
        <v>-0.35677999999999999</v>
      </c>
      <c r="O288" s="162">
        <v>-0.35610000000000003</v>
      </c>
      <c r="P288" s="162">
        <v>-0.35443999999999998</v>
      </c>
      <c r="Q288" s="162">
        <v>-0.35274</v>
      </c>
      <c r="R288" s="162">
        <v>-0.35110000000000002</v>
      </c>
      <c r="S288" s="162">
        <v>-0.31456000000000001</v>
      </c>
      <c r="T288" s="162">
        <v>-0.25346000000000002</v>
      </c>
      <c r="U288" s="162">
        <v>-0.15959999999999999</v>
      </c>
      <c r="V288" s="162">
        <v>-5.4559999999999997E-2</v>
      </c>
      <c r="W288" s="162">
        <v>6.3600000000000004E-2</v>
      </c>
      <c r="X288" s="162">
        <v>0.18565999999999999</v>
      </c>
      <c r="Y288" s="162">
        <v>0.31256</v>
      </c>
      <c r="Z288" s="162">
        <v>0.43719999999999998</v>
      </c>
      <c r="AA288" s="162">
        <v>0.55500000000000005</v>
      </c>
      <c r="AB288" s="162">
        <v>0.6633</v>
      </c>
      <c r="AC288" s="162">
        <v>0.75960000000000005</v>
      </c>
      <c r="AD288" s="162">
        <v>0.84460000000000002</v>
      </c>
      <c r="AE288" s="162">
        <v>0.91739999999999999</v>
      </c>
      <c r="AF288" s="162">
        <v>0.98250000000000004</v>
      </c>
      <c r="AG288" s="162">
        <v>1.0226999999999999</v>
      </c>
      <c r="AH288" s="162">
        <v>1.0629</v>
      </c>
      <c r="AI288" s="162">
        <v>1.1031</v>
      </c>
      <c r="AJ288" s="162">
        <v>1.1433</v>
      </c>
      <c r="AK288" s="162">
        <v>1.1835</v>
      </c>
      <c r="AL288" s="162">
        <v>1.2008000000000001</v>
      </c>
      <c r="AM288" s="162">
        <v>1.2181</v>
      </c>
      <c r="AN288" s="162">
        <v>1.2354000000000001</v>
      </c>
      <c r="AO288" s="162">
        <v>1.2526999999999999</v>
      </c>
      <c r="AP288" s="162">
        <v>1.27</v>
      </c>
      <c r="AQ288" s="162">
        <v>1.2786919999999999</v>
      </c>
      <c r="AR288" s="162">
        <v>1.2873840000000001</v>
      </c>
      <c r="AS288" s="162">
        <v>1.296076</v>
      </c>
      <c r="AT288" s="162">
        <v>1.3047679999999999</v>
      </c>
      <c r="AU288" s="162">
        <v>1.3134600000000001</v>
      </c>
    </row>
    <row r="289" spans="1:47" ht="12.75" customHeight="1">
      <c r="A289" s="459">
        <v>42916</v>
      </c>
      <c r="B289" s="139">
        <v>26</v>
      </c>
      <c r="C289" s="162">
        <v>-0.36149999999999999</v>
      </c>
      <c r="D289" s="162">
        <v>-0.36149999999999999</v>
      </c>
      <c r="E289" s="162">
        <v>-0.35883999999999999</v>
      </c>
      <c r="F289" s="162">
        <v>-0.35815999999999998</v>
      </c>
      <c r="G289" s="162">
        <v>-0.3569</v>
      </c>
      <c r="H289" s="162">
        <v>-0.35682000000000003</v>
      </c>
      <c r="I289" s="162">
        <v>-0.35920000000000002</v>
      </c>
      <c r="J289" s="162">
        <v>-0.35886000000000001</v>
      </c>
      <c r="K289" s="162">
        <v>-0.35799999999999998</v>
      </c>
      <c r="L289" s="162">
        <v>-0.35783999999999999</v>
      </c>
      <c r="M289" s="162">
        <v>-0.35670000000000002</v>
      </c>
      <c r="N289" s="162">
        <v>-0.35521999999999998</v>
      </c>
      <c r="O289" s="162">
        <v>-0.35346</v>
      </c>
      <c r="P289" s="162">
        <v>-0.35242000000000001</v>
      </c>
      <c r="Q289" s="162">
        <v>-0.35014000000000001</v>
      </c>
      <c r="R289" s="162">
        <v>-0.34910000000000002</v>
      </c>
      <c r="S289" s="162">
        <v>-0.31187999999999999</v>
      </c>
      <c r="T289" s="162">
        <v>-0.24346000000000001</v>
      </c>
      <c r="U289" s="162">
        <v>-0.15440000000000001</v>
      </c>
      <c r="V289" s="162">
        <v>-5.2200000000000003E-2</v>
      </c>
      <c r="W289" s="162">
        <v>6.1699999999999998E-2</v>
      </c>
      <c r="X289" s="162">
        <v>0.1812</v>
      </c>
      <c r="Y289" s="162">
        <v>0.30525999999999998</v>
      </c>
      <c r="Z289" s="162">
        <v>0.42630000000000001</v>
      </c>
      <c r="AA289" s="162">
        <v>0.54120000000000001</v>
      </c>
      <c r="AB289" s="162">
        <v>0.64505999999999997</v>
      </c>
      <c r="AC289" s="162">
        <v>0.73740000000000006</v>
      </c>
      <c r="AD289" s="162">
        <v>0.81869999999999998</v>
      </c>
      <c r="AE289" s="162">
        <v>0.88900000000000001</v>
      </c>
      <c r="AF289" s="162">
        <v>0.95145999999999997</v>
      </c>
      <c r="AG289" s="162">
        <v>0.99028799999999995</v>
      </c>
      <c r="AH289" s="162">
        <v>1.0291159999999999</v>
      </c>
      <c r="AI289" s="162">
        <v>1.067944</v>
      </c>
      <c r="AJ289" s="162">
        <v>1.1067720000000001</v>
      </c>
      <c r="AK289" s="162">
        <v>1.1456</v>
      </c>
      <c r="AL289" s="162">
        <v>1.1614199999999999</v>
      </c>
      <c r="AM289" s="162">
        <v>1.1772400000000001</v>
      </c>
      <c r="AN289" s="162">
        <v>1.19306</v>
      </c>
      <c r="AO289" s="162">
        <v>1.20888</v>
      </c>
      <c r="AP289" s="162">
        <v>1.2246999999999999</v>
      </c>
      <c r="AQ289" s="162">
        <v>1.2324600000000001</v>
      </c>
      <c r="AR289" s="162">
        <v>1.2402200000000001</v>
      </c>
      <c r="AS289" s="162">
        <v>1.2479800000000001</v>
      </c>
      <c r="AT289" s="162">
        <v>1.2557400000000001</v>
      </c>
      <c r="AU289" s="162">
        <v>1.2635000000000001</v>
      </c>
    </row>
    <row r="290" spans="1:47" ht="12.75" customHeight="1">
      <c r="A290" s="459">
        <v>42923</v>
      </c>
      <c r="B290" s="139">
        <v>27</v>
      </c>
      <c r="C290" s="162">
        <v>-0.36149999999999999</v>
      </c>
      <c r="D290" s="162">
        <v>-0.36149999999999999</v>
      </c>
      <c r="E290" s="162">
        <v>-0.35758000000000001</v>
      </c>
      <c r="F290" s="162">
        <v>-0.36</v>
      </c>
      <c r="G290" s="162">
        <v>-0.35610000000000003</v>
      </c>
      <c r="H290" s="162">
        <v>-0.35965999999999998</v>
      </c>
      <c r="I290" s="162">
        <v>-0.35971999999999998</v>
      </c>
      <c r="J290" s="162">
        <v>-0.35859999999999997</v>
      </c>
      <c r="K290" s="162">
        <v>-0.35718</v>
      </c>
      <c r="L290" s="162">
        <v>-0.35546</v>
      </c>
      <c r="M290" s="162">
        <v>-0.35333999999999999</v>
      </c>
      <c r="N290" s="162">
        <v>-0.35005999999999998</v>
      </c>
      <c r="O290" s="162">
        <v>-0.3483</v>
      </c>
      <c r="P290" s="162">
        <v>-0.34636</v>
      </c>
      <c r="Q290" s="162">
        <v>-0.3402</v>
      </c>
      <c r="R290" s="162">
        <v>-0.33789999999999998</v>
      </c>
      <c r="S290" s="162">
        <v>-0.27600000000000002</v>
      </c>
      <c r="T290" s="162">
        <v>-0.19078000000000001</v>
      </c>
      <c r="U290" s="162">
        <v>-8.0600000000000005E-2</v>
      </c>
      <c r="V290" s="162">
        <v>3.1859999999999999E-2</v>
      </c>
      <c r="W290" s="162">
        <v>0.14879999999999999</v>
      </c>
      <c r="X290" s="162">
        <v>0.27056000000000002</v>
      </c>
      <c r="Y290" s="162">
        <v>0.39366000000000001</v>
      </c>
      <c r="Z290" s="162">
        <v>0.51466000000000001</v>
      </c>
      <c r="AA290" s="162">
        <v>0.62760000000000005</v>
      </c>
      <c r="AB290" s="162">
        <v>0.72955999999999999</v>
      </c>
      <c r="AC290" s="162">
        <v>0.8206</v>
      </c>
      <c r="AD290" s="162">
        <v>0.90185999999999999</v>
      </c>
      <c r="AE290" s="162">
        <v>0.97216000000000002</v>
      </c>
      <c r="AF290" s="162">
        <v>1.0313000000000001</v>
      </c>
      <c r="AG290" s="162">
        <v>1.07016</v>
      </c>
      <c r="AH290" s="162">
        <v>1.1090199999999999</v>
      </c>
      <c r="AI290" s="162">
        <v>1.14788</v>
      </c>
      <c r="AJ290" s="162">
        <v>1.1867399999999999</v>
      </c>
      <c r="AK290" s="162">
        <v>1.2256</v>
      </c>
      <c r="AL290" s="162">
        <v>1.2415400000000001</v>
      </c>
      <c r="AM290" s="162">
        <v>1.2574799999999999</v>
      </c>
      <c r="AN290" s="162">
        <v>1.27342</v>
      </c>
      <c r="AO290" s="162">
        <v>1.2893600000000001</v>
      </c>
      <c r="AP290" s="162">
        <v>1.3052999999999999</v>
      </c>
      <c r="AQ290" s="162">
        <v>1.31334</v>
      </c>
      <c r="AR290" s="162">
        <v>1.32138</v>
      </c>
      <c r="AS290" s="162">
        <v>1.32942</v>
      </c>
      <c r="AT290" s="162">
        <v>1.3374600000000001</v>
      </c>
      <c r="AU290" s="162">
        <v>1.3454999999999999</v>
      </c>
    </row>
    <row r="291" spans="1:47" ht="12.75" customHeight="1">
      <c r="A291" s="459">
        <v>42930</v>
      </c>
      <c r="B291" s="139">
        <v>28</v>
      </c>
      <c r="C291" s="162">
        <v>-0.35725000000000001</v>
      </c>
      <c r="D291" s="162">
        <v>-0.35725000000000001</v>
      </c>
      <c r="E291" s="162">
        <v>-0.35909999999999997</v>
      </c>
      <c r="F291" s="162">
        <v>-0.35596</v>
      </c>
      <c r="G291" s="162">
        <v>-0.35676000000000002</v>
      </c>
      <c r="H291" s="162">
        <v>-0.35893999999999998</v>
      </c>
      <c r="I291" s="162">
        <v>-0.35793999999999998</v>
      </c>
      <c r="J291" s="162">
        <v>-0.35787999999999998</v>
      </c>
      <c r="K291" s="162">
        <v>-0.35704000000000002</v>
      </c>
      <c r="L291" s="162">
        <v>-0.35446</v>
      </c>
      <c r="M291" s="162">
        <v>-0.35224</v>
      </c>
      <c r="N291" s="162">
        <v>-0.35082000000000002</v>
      </c>
      <c r="O291" s="162">
        <v>-0.34532000000000002</v>
      </c>
      <c r="P291" s="162">
        <v>-0.34144000000000002</v>
      </c>
      <c r="Q291" s="162">
        <v>-0.33742</v>
      </c>
      <c r="R291" s="162">
        <v>-0.33282</v>
      </c>
      <c r="S291" s="162">
        <v>-0.25534000000000001</v>
      </c>
      <c r="T291" s="162">
        <v>-0.14904000000000001</v>
      </c>
      <c r="U291" s="162">
        <v>-2.7859999999999999E-2</v>
      </c>
      <c r="V291" s="162">
        <v>9.9860000000000004E-2</v>
      </c>
      <c r="W291" s="162">
        <v>0.23405999999999999</v>
      </c>
      <c r="X291" s="162">
        <v>0.3654</v>
      </c>
      <c r="Y291" s="162">
        <v>0.49815999999999999</v>
      </c>
      <c r="Z291" s="162">
        <v>0.62470000000000003</v>
      </c>
      <c r="AA291" s="162">
        <v>0.74209999999999998</v>
      </c>
      <c r="AB291" s="162">
        <v>0.84379999999999999</v>
      </c>
      <c r="AC291" s="162">
        <v>0.93840000000000001</v>
      </c>
      <c r="AD291" s="162">
        <v>1.0213000000000001</v>
      </c>
      <c r="AE291" s="162">
        <v>1.0927</v>
      </c>
      <c r="AF291" s="162">
        <v>1.1531</v>
      </c>
      <c r="AG291" s="162">
        <v>1.19208</v>
      </c>
      <c r="AH291" s="162">
        <v>1.23106</v>
      </c>
      <c r="AI291" s="162">
        <v>1.2700400000000001</v>
      </c>
      <c r="AJ291" s="162">
        <v>1.3090200000000001</v>
      </c>
      <c r="AK291" s="162">
        <v>1.3480000000000001</v>
      </c>
      <c r="AL291" s="162">
        <v>1.3645320000000001</v>
      </c>
      <c r="AM291" s="162">
        <v>1.3810640000000001</v>
      </c>
      <c r="AN291" s="162">
        <v>1.3975960000000001</v>
      </c>
      <c r="AO291" s="162">
        <v>1.4141280000000001</v>
      </c>
      <c r="AP291" s="162">
        <v>1.43066</v>
      </c>
      <c r="AQ291" s="162">
        <v>1.4379679999999999</v>
      </c>
      <c r="AR291" s="162">
        <v>1.445276</v>
      </c>
      <c r="AS291" s="162">
        <v>1.4525840000000001</v>
      </c>
      <c r="AT291" s="162">
        <v>1.459892</v>
      </c>
      <c r="AU291" s="162">
        <v>1.4672000000000001</v>
      </c>
    </row>
    <row r="292" spans="1:47" ht="12.75" customHeight="1">
      <c r="A292" s="459">
        <v>42937</v>
      </c>
      <c r="B292" s="139">
        <v>29</v>
      </c>
      <c r="C292" s="162">
        <v>-0.35975000000000001</v>
      </c>
      <c r="D292" s="162">
        <v>-0.35975000000000001</v>
      </c>
      <c r="E292" s="162">
        <v>-0.35809999999999997</v>
      </c>
      <c r="F292" s="162">
        <v>-0.35770000000000002</v>
      </c>
      <c r="G292" s="162">
        <v>-0.35852000000000001</v>
      </c>
      <c r="H292" s="162">
        <v>-0.35968</v>
      </c>
      <c r="I292" s="162">
        <v>-0.35820000000000002</v>
      </c>
      <c r="J292" s="162">
        <v>-0.35654000000000002</v>
      </c>
      <c r="K292" s="162">
        <v>-0.35843999999999998</v>
      </c>
      <c r="L292" s="162">
        <v>-0.35492000000000001</v>
      </c>
      <c r="M292" s="162">
        <v>-0.35211999999999999</v>
      </c>
      <c r="N292" s="162">
        <v>-0.34977999999999998</v>
      </c>
      <c r="O292" s="162">
        <v>-0.34379999999999999</v>
      </c>
      <c r="P292" s="162">
        <v>-0.34222000000000002</v>
      </c>
      <c r="Q292" s="162">
        <v>-0.33872000000000002</v>
      </c>
      <c r="R292" s="162">
        <v>-0.33110000000000001</v>
      </c>
      <c r="S292" s="162">
        <v>-0.25230000000000002</v>
      </c>
      <c r="T292" s="162">
        <v>-0.14438000000000001</v>
      </c>
      <c r="U292" s="162">
        <v>-2.1499999999999998E-2</v>
      </c>
      <c r="V292" s="162">
        <v>0.10879999999999999</v>
      </c>
      <c r="W292" s="162">
        <v>0.24379999999999999</v>
      </c>
      <c r="X292" s="162">
        <v>0.37380000000000002</v>
      </c>
      <c r="Y292" s="162">
        <v>0.50470000000000004</v>
      </c>
      <c r="Z292" s="162">
        <v>0.63180000000000003</v>
      </c>
      <c r="AA292" s="162">
        <v>0.74590000000000001</v>
      </c>
      <c r="AB292" s="162">
        <v>0.85099999999999998</v>
      </c>
      <c r="AC292" s="162">
        <v>0.94396000000000002</v>
      </c>
      <c r="AD292" s="162">
        <v>1.0250600000000001</v>
      </c>
      <c r="AE292" s="162">
        <v>1.097</v>
      </c>
      <c r="AF292" s="162">
        <v>1.1579999999999999</v>
      </c>
      <c r="AG292" s="162">
        <v>1.1961120000000001</v>
      </c>
      <c r="AH292" s="162">
        <v>1.234224</v>
      </c>
      <c r="AI292" s="162">
        <v>1.2723359999999999</v>
      </c>
      <c r="AJ292" s="162">
        <v>1.3104480000000001</v>
      </c>
      <c r="AK292" s="162">
        <v>1.34856</v>
      </c>
      <c r="AL292" s="162">
        <v>1.3646480000000001</v>
      </c>
      <c r="AM292" s="162">
        <v>1.380736</v>
      </c>
      <c r="AN292" s="162">
        <v>1.3968240000000001</v>
      </c>
      <c r="AO292" s="162">
        <v>1.4129119999999999</v>
      </c>
      <c r="AP292" s="162">
        <v>1.429</v>
      </c>
      <c r="AQ292" s="162">
        <v>1.4368000000000001</v>
      </c>
      <c r="AR292" s="162">
        <v>1.4446000000000001</v>
      </c>
      <c r="AS292" s="162">
        <v>1.4523999999999999</v>
      </c>
      <c r="AT292" s="162">
        <v>1.4601999999999999</v>
      </c>
      <c r="AU292" s="162">
        <v>1.468</v>
      </c>
    </row>
    <row r="293" spans="1:47" ht="12.75" customHeight="1">
      <c r="A293" s="459">
        <v>42944</v>
      </c>
      <c r="B293" s="139">
        <v>30</v>
      </c>
      <c r="C293" s="162">
        <v>-0.36199999999999999</v>
      </c>
      <c r="D293" s="162">
        <v>-0.36199999999999999</v>
      </c>
      <c r="E293" s="162">
        <v>-0.358375</v>
      </c>
      <c r="F293" s="162">
        <v>-0.35757499999999998</v>
      </c>
      <c r="G293" s="162">
        <v>-0.35872500000000002</v>
      </c>
      <c r="H293" s="162">
        <v>-0.35912500000000003</v>
      </c>
      <c r="I293" s="162">
        <v>-0.35820000000000002</v>
      </c>
      <c r="J293" s="162">
        <v>-0.35499999999999998</v>
      </c>
      <c r="K293" s="162">
        <v>-0.355825</v>
      </c>
      <c r="L293" s="162">
        <v>-0.35615000000000002</v>
      </c>
      <c r="M293" s="162">
        <v>-0.353875</v>
      </c>
      <c r="N293" s="162">
        <v>-0.35312500000000002</v>
      </c>
      <c r="O293" s="162">
        <v>-0.35049999999999998</v>
      </c>
      <c r="P293" s="162">
        <v>-0.34807500000000002</v>
      </c>
      <c r="Q293" s="162">
        <v>-0.34512500000000002</v>
      </c>
      <c r="R293" s="162">
        <v>-0.34032499999999999</v>
      </c>
      <c r="S293" s="162">
        <v>-0.26805000000000001</v>
      </c>
      <c r="T293" s="162">
        <v>-0.15915000000000001</v>
      </c>
      <c r="U293" s="162">
        <v>-3.4500000000000003E-2</v>
      </c>
      <c r="V293" s="162">
        <v>9.6074999999999994E-2</v>
      </c>
      <c r="W293" s="162">
        <v>0.22800000000000001</v>
      </c>
      <c r="X293" s="162">
        <v>0.35894999999999999</v>
      </c>
      <c r="Y293" s="162">
        <v>0.48662499999999997</v>
      </c>
      <c r="Z293" s="162">
        <v>0.611375</v>
      </c>
      <c r="AA293" s="162">
        <v>0.72612500000000002</v>
      </c>
      <c r="AB293" s="162">
        <v>0.83032499999999998</v>
      </c>
      <c r="AC293" s="162">
        <v>0.92325000000000002</v>
      </c>
      <c r="AD293" s="162">
        <v>1.0037</v>
      </c>
      <c r="AE293" s="162">
        <v>1.075825</v>
      </c>
      <c r="AF293" s="162">
        <v>1.1383749999999999</v>
      </c>
      <c r="AG293" s="162">
        <v>1.17689</v>
      </c>
      <c r="AH293" s="162">
        <v>1.2154050000000001</v>
      </c>
      <c r="AI293" s="162">
        <v>1.2539199999999999</v>
      </c>
      <c r="AJ293" s="162">
        <v>1.292435</v>
      </c>
      <c r="AK293" s="162">
        <v>1.3309500000000001</v>
      </c>
      <c r="AL293" s="162">
        <v>1.3472599999999999</v>
      </c>
      <c r="AM293" s="162">
        <v>1.3635699999999999</v>
      </c>
      <c r="AN293" s="162">
        <v>1.37988</v>
      </c>
      <c r="AO293" s="162">
        <v>1.39619</v>
      </c>
      <c r="AP293" s="162">
        <v>1.4125000000000001</v>
      </c>
      <c r="AQ293" s="162">
        <v>1.42025</v>
      </c>
      <c r="AR293" s="162">
        <v>1.4279999999999999</v>
      </c>
      <c r="AS293" s="162">
        <v>1.4357500000000001</v>
      </c>
      <c r="AT293" s="162">
        <v>1.4435</v>
      </c>
      <c r="AU293" s="162">
        <v>1.4512499999999999</v>
      </c>
    </row>
    <row r="294" spans="1:47" ht="12.75" customHeight="1">
      <c r="A294" s="459">
        <v>42951</v>
      </c>
      <c r="B294" s="139">
        <v>31</v>
      </c>
      <c r="C294" s="162">
        <v>-0.36125000000000002</v>
      </c>
      <c r="D294" s="162">
        <v>-0.36125000000000002</v>
      </c>
      <c r="E294" s="162">
        <v>-0.35536000000000001</v>
      </c>
      <c r="F294" s="162">
        <v>-0.35355999999999999</v>
      </c>
      <c r="G294" s="162">
        <v>-0.35170000000000001</v>
      </c>
      <c r="H294" s="162">
        <v>-0.35871999999999998</v>
      </c>
      <c r="I294" s="162">
        <v>-0.35814000000000001</v>
      </c>
      <c r="J294" s="162">
        <v>-0.35798000000000002</v>
      </c>
      <c r="K294" s="162">
        <v>-0.35782000000000003</v>
      </c>
      <c r="L294" s="162">
        <v>-0.35646</v>
      </c>
      <c r="M294" s="162">
        <v>-0.35421999999999998</v>
      </c>
      <c r="N294" s="162">
        <v>-0.35261999999999999</v>
      </c>
      <c r="O294" s="162">
        <v>-0.3518</v>
      </c>
      <c r="P294" s="162">
        <v>-0.35011999999999999</v>
      </c>
      <c r="Q294" s="162">
        <v>-0.34805999999999998</v>
      </c>
      <c r="R294" s="162">
        <v>-0.34526000000000001</v>
      </c>
      <c r="S294" s="162">
        <v>-0.2843</v>
      </c>
      <c r="T294" s="162">
        <v>-0.18279999999999999</v>
      </c>
      <c r="U294" s="162">
        <v>-6.0900000000000003E-2</v>
      </c>
      <c r="V294" s="162">
        <v>7.1599999999999997E-2</v>
      </c>
      <c r="W294" s="162">
        <v>0.20399999999999999</v>
      </c>
      <c r="X294" s="162">
        <v>0.34250000000000003</v>
      </c>
      <c r="Y294" s="162">
        <v>0.4753</v>
      </c>
      <c r="Z294" s="162">
        <v>0.60409999999999997</v>
      </c>
      <c r="AA294" s="162">
        <v>0.72350000000000003</v>
      </c>
      <c r="AB294" s="162">
        <v>0.8306</v>
      </c>
      <c r="AC294" s="162">
        <v>0.92730000000000001</v>
      </c>
      <c r="AD294" s="162">
        <v>1.0092000000000001</v>
      </c>
      <c r="AE294" s="162">
        <v>1.0823</v>
      </c>
      <c r="AF294" s="162">
        <v>1.1449</v>
      </c>
      <c r="AG294" s="162">
        <v>1.18496</v>
      </c>
      <c r="AH294" s="162">
        <v>1.22502</v>
      </c>
      <c r="AI294" s="162">
        <v>1.26508</v>
      </c>
      <c r="AJ294" s="162">
        <v>1.30514</v>
      </c>
      <c r="AK294" s="162">
        <v>1.3452</v>
      </c>
      <c r="AL294" s="162">
        <v>1.3628</v>
      </c>
      <c r="AM294" s="162">
        <v>1.3804000000000001</v>
      </c>
      <c r="AN294" s="162">
        <v>1.3979999999999999</v>
      </c>
      <c r="AO294" s="162">
        <v>1.4156</v>
      </c>
      <c r="AP294" s="162">
        <v>1.4332</v>
      </c>
      <c r="AQ294" s="162">
        <v>1.44068</v>
      </c>
      <c r="AR294" s="162">
        <v>1.4481599999999999</v>
      </c>
      <c r="AS294" s="162">
        <v>1.45564</v>
      </c>
      <c r="AT294" s="162">
        <v>1.46312</v>
      </c>
      <c r="AU294" s="162">
        <v>1.4705999999999999</v>
      </c>
    </row>
    <row r="295" spans="1:47" ht="12.75" customHeight="1">
      <c r="A295" s="459">
        <v>42958</v>
      </c>
      <c r="B295" s="139">
        <v>32</v>
      </c>
      <c r="C295" s="162">
        <v>-0.35199999999999998</v>
      </c>
      <c r="D295" s="162">
        <v>-0.35199999999999998</v>
      </c>
      <c r="E295" s="162">
        <v>-0.3594</v>
      </c>
      <c r="F295" s="162">
        <v>-0.3599</v>
      </c>
      <c r="G295" s="162">
        <v>-0.35630000000000001</v>
      </c>
      <c r="H295" s="162">
        <v>-0.36121999999999999</v>
      </c>
      <c r="I295" s="162">
        <v>-0.35881999999999997</v>
      </c>
      <c r="J295" s="162">
        <v>-0.35920000000000002</v>
      </c>
      <c r="K295" s="162">
        <v>-0.35748000000000002</v>
      </c>
      <c r="L295" s="162">
        <v>-0.35620000000000002</v>
      </c>
      <c r="M295" s="162">
        <v>-0.35539999999999999</v>
      </c>
      <c r="N295" s="162">
        <v>-0.35339999999999999</v>
      </c>
      <c r="O295" s="162">
        <v>-0.35149999999999998</v>
      </c>
      <c r="P295" s="162">
        <v>-0.35020000000000001</v>
      </c>
      <c r="Q295" s="162">
        <v>-0.34832000000000002</v>
      </c>
      <c r="R295" s="162">
        <v>-0.34639999999999999</v>
      </c>
      <c r="S295" s="162">
        <v>-0.29202</v>
      </c>
      <c r="T295" s="162">
        <v>-0.20204</v>
      </c>
      <c r="U295" s="162">
        <v>-8.0600000000000005E-2</v>
      </c>
      <c r="V295" s="162">
        <v>4.6059999999999997E-2</v>
      </c>
      <c r="W295" s="162">
        <v>0.1799</v>
      </c>
      <c r="X295" s="162">
        <v>0.31109999999999999</v>
      </c>
      <c r="Y295" s="162">
        <v>0.44230000000000003</v>
      </c>
      <c r="Z295" s="162">
        <v>0.56806000000000001</v>
      </c>
      <c r="AA295" s="162">
        <v>0.68486000000000002</v>
      </c>
      <c r="AB295" s="162">
        <v>0.79020000000000001</v>
      </c>
      <c r="AC295" s="162">
        <v>0.88300000000000001</v>
      </c>
      <c r="AD295" s="162">
        <v>0.96640000000000004</v>
      </c>
      <c r="AE295" s="162">
        <v>1.0373000000000001</v>
      </c>
      <c r="AF295" s="162">
        <v>1.1005</v>
      </c>
      <c r="AG295" s="162">
        <v>1.1394599999999999</v>
      </c>
      <c r="AH295" s="162">
        <v>1.17842</v>
      </c>
      <c r="AI295" s="162">
        <v>1.2173799999999999</v>
      </c>
      <c r="AJ295" s="162">
        <v>1.25634</v>
      </c>
      <c r="AK295" s="162">
        <v>1.2952999999999999</v>
      </c>
      <c r="AL295" s="162">
        <v>1.31132</v>
      </c>
      <c r="AM295" s="162">
        <v>1.32734</v>
      </c>
      <c r="AN295" s="162">
        <v>1.3433600000000001</v>
      </c>
      <c r="AO295" s="162">
        <v>1.35938</v>
      </c>
      <c r="AP295" s="162">
        <v>1.3754</v>
      </c>
      <c r="AQ295" s="162">
        <v>1.3835120000000001</v>
      </c>
      <c r="AR295" s="162">
        <v>1.391624</v>
      </c>
      <c r="AS295" s="162">
        <v>1.3997360000000001</v>
      </c>
      <c r="AT295" s="162">
        <v>1.407848</v>
      </c>
      <c r="AU295" s="162">
        <v>1.4159600000000001</v>
      </c>
    </row>
    <row r="296" spans="1:47" ht="12.75" customHeight="1">
      <c r="A296" s="459">
        <v>42965</v>
      </c>
      <c r="B296" s="139">
        <v>33</v>
      </c>
      <c r="C296" s="162">
        <v>-0.35375000000000001</v>
      </c>
      <c r="D296" s="162">
        <v>-0.35375000000000001</v>
      </c>
      <c r="E296" s="162">
        <v>-0.35620000000000002</v>
      </c>
      <c r="F296" s="162">
        <v>-0.35655999999999999</v>
      </c>
      <c r="G296" s="162">
        <v>-0.3508</v>
      </c>
      <c r="H296" s="162">
        <v>-0.35909999999999997</v>
      </c>
      <c r="I296" s="162">
        <v>-0.35771999999999998</v>
      </c>
      <c r="J296" s="162">
        <v>-0.35776000000000002</v>
      </c>
      <c r="K296" s="162">
        <v>-0.35326000000000002</v>
      </c>
      <c r="L296" s="162">
        <v>-0.35389999999999999</v>
      </c>
      <c r="M296" s="162">
        <v>-0.35432000000000002</v>
      </c>
      <c r="N296" s="162">
        <v>-0.35399999999999998</v>
      </c>
      <c r="O296" s="162">
        <v>-0.35236000000000001</v>
      </c>
      <c r="P296" s="162">
        <v>-0.35155999999999998</v>
      </c>
      <c r="Q296" s="162">
        <v>-0.34839999999999999</v>
      </c>
      <c r="R296" s="162">
        <v>-0.34745999999999999</v>
      </c>
      <c r="S296" s="162">
        <v>-0.30096000000000001</v>
      </c>
      <c r="T296" s="162">
        <v>-0.21592</v>
      </c>
      <c r="U296" s="162">
        <v>-0.1079</v>
      </c>
      <c r="V296" s="162">
        <v>1.1900000000000001E-2</v>
      </c>
      <c r="W296" s="162">
        <v>0.13830000000000001</v>
      </c>
      <c r="X296" s="162">
        <v>0.26579999999999998</v>
      </c>
      <c r="Y296" s="162">
        <v>0.39389999999999997</v>
      </c>
      <c r="Z296" s="162">
        <v>0.51639999999999997</v>
      </c>
      <c r="AA296" s="162">
        <v>0.63249999999999995</v>
      </c>
      <c r="AB296" s="162">
        <v>0.73760000000000003</v>
      </c>
      <c r="AC296" s="162">
        <v>0.83109999999999995</v>
      </c>
      <c r="AD296" s="162">
        <v>0.91339999999999999</v>
      </c>
      <c r="AE296" s="162">
        <v>0.98329999999999995</v>
      </c>
      <c r="AF296" s="162">
        <v>1.0452999999999999</v>
      </c>
      <c r="AG296" s="162">
        <v>1.08446</v>
      </c>
      <c r="AH296" s="162">
        <v>1.1236200000000001</v>
      </c>
      <c r="AI296" s="162">
        <v>1.1627799999999999</v>
      </c>
      <c r="AJ296" s="162">
        <v>1.20194</v>
      </c>
      <c r="AK296" s="162">
        <v>1.2411000000000001</v>
      </c>
      <c r="AL296" s="162">
        <v>1.2571399999999999</v>
      </c>
      <c r="AM296" s="162">
        <v>1.27318</v>
      </c>
      <c r="AN296" s="162">
        <v>1.28922</v>
      </c>
      <c r="AO296" s="162">
        <v>1.3052600000000001</v>
      </c>
      <c r="AP296" s="162">
        <v>1.3212999999999999</v>
      </c>
      <c r="AQ296" s="162">
        <v>1.3291999999999999</v>
      </c>
      <c r="AR296" s="162">
        <v>1.3371</v>
      </c>
      <c r="AS296" s="162">
        <v>1.345</v>
      </c>
      <c r="AT296" s="162">
        <v>1.3529</v>
      </c>
      <c r="AU296" s="162">
        <v>1.3608</v>
      </c>
    </row>
    <row r="297" spans="1:47" ht="12.75" customHeight="1">
      <c r="A297" s="459">
        <v>42972</v>
      </c>
      <c r="B297" s="139">
        <v>34</v>
      </c>
      <c r="C297" s="162">
        <v>-0.35675000000000001</v>
      </c>
      <c r="D297" s="162">
        <v>-0.35675000000000001</v>
      </c>
      <c r="E297" s="162">
        <v>-0.35439999999999999</v>
      </c>
      <c r="F297" s="162">
        <v>-0.35443999999999998</v>
      </c>
      <c r="G297" s="162">
        <v>-0.35574</v>
      </c>
      <c r="H297" s="162">
        <v>-0.35732000000000003</v>
      </c>
      <c r="I297" s="162">
        <v>-0.35752</v>
      </c>
      <c r="J297" s="162">
        <v>-0.35542000000000001</v>
      </c>
      <c r="K297" s="162">
        <v>-0.35602</v>
      </c>
      <c r="L297" s="162">
        <v>-0.35515999999999998</v>
      </c>
      <c r="M297" s="162">
        <v>-0.35574</v>
      </c>
      <c r="N297" s="162">
        <v>-0.35489999999999999</v>
      </c>
      <c r="O297" s="162">
        <v>-0.35210000000000002</v>
      </c>
      <c r="P297" s="162">
        <v>-0.35108</v>
      </c>
      <c r="Q297" s="162">
        <v>-0.35192000000000001</v>
      </c>
      <c r="R297" s="162">
        <v>-0.35017999999999999</v>
      </c>
      <c r="S297" s="162">
        <v>-0.30425999999999997</v>
      </c>
      <c r="T297" s="162">
        <v>-0.22036</v>
      </c>
      <c r="U297" s="162">
        <v>-0.11885999999999999</v>
      </c>
      <c r="V297" s="162">
        <v>1.4E-3</v>
      </c>
      <c r="W297" s="162">
        <v>0.12720000000000001</v>
      </c>
      <c r="X297" s="162">
        <v>0.2555</v>
      </c>
      <c r="Y297" s="162">
        <v>0.38440000000000002</v>
      </c>
      <c r="Z297" s="162">
        <v>0.5081</v>
      </c>
      <c r="AA297" s="162">
        <v>0.62309999999999999</v>
      </c>
      <c r="AB297" s="162">
        <v>0.72570000000000001</v>
      </c>
      <c r="AC297" s="162">
        <v>0.81869999999999998</v>
      </c>
      <c r="AD297" s="162">
        <v>0.90149999999999997</v>
      </c>
      <c r="AE297" s="162">
        <v>0.97626000000000002</v>
      </c>
      <c r="AF297" s="162">
        <v>1.0361</v>
      </c>
      <c r="AG297" s="162">
        <v>1.0757399999999999</v>
      </c>
      <c r="AH297" s="162">
        <v>1.11538</v>
      </c>
      <c r="AI297" s="162">
        <v>1.1550199999999999</v>
      </c>
      <c r="AJ297" s="162">
        <v>1.1946600000000001</v>
      </c>
      <c r="AK297" s="162">
        <v>1.2343</v>
      </c>
      <c r="AL297" s="162">
        <v>1.2505999999999999</v>
      </c>
      <c r="AM297" s="162">
        <v>1.2668999999999999</v>
      </c>
      <c r="AN297" s="162">
        <v>1.2831999999999999</v>
      </c>
      <c r="AO297" s="162">
        <v>1.2995000000000001</v>
      </c>
      <c r="AP297" s="162">
        <v>1.3158000000000001</v>
      </c>
      <c r="AQ297" s="162">
        <v>1.3240799999999999</v>
      </c>
      <c r="AR297" s="162">
        <v>1.33236</v>
      </c>
      <c r="AS297" s="162">
        <v>1.3406400000000001</v>
      </c>
      <c r="AT297" s="162">
        <v>1.3489199999999999</v>
      </c>
      <c r="AU297" s="162">
        <v>1.3572</v>
      </c>
    </row>
    <row r="298" spans="1:47" ht="12.75" customHeight="1">
      <c r="A298" s="459">
        <v>42979</v>
      </c>
      <c r="B298" s="139">
        <v>35</v>
      </c>
      <c r="C298" s="162">
        <v>-0.35775000000000001</v>
      </c>
      <c r="D298" s="162">
        <v>-0.35775000000000001</v>
      </c>
      <c r="E298" s="162">
        <v>-0.35696</v>
      </c>
      <c r="F298" s="162">
        <v>-0.35583999999999999</v>
      </c>
      <c r="G298" s="162">
        <v>-0.35774</v>
      </c>
      <c r="H298" s="162">
        <v>-0.3553</v>
      </c>
      <c r="I298" s="162">
        <v>-0.35787999999999998</v>
      </c>
      <c r="J298" s="162">
        <v>-0.3548</v>
      </c>
      <c r="K298" s="162">
        <v>-0.35652</v>
      </c>
      <c r="L298" s="162">
        <v>-0.35476000000000002</v>
      </c>
      <c r="M298" s="162">
        <v>-0.35599999999999998</v>
      </c>
      <c r="N298" s="162">
        <v>-0.35510000000000003</v>
      </c>
      <c r="O298" s="162">
        <v>-0.35452</v>
      </c>
      <c r="P298" s="162">
        <v>-0.35305999999999998</v>
      </c>
      <c r="Q298" s="162">
        <v>-0.35183999999999999</v>
      </c>
      <c r="R298" s="162">
        <v>-0.35010000000000002</v>
      </c>
      <c r="S298" s="162">
        <v>-0.30420000000000003</v>
      </c>
      <c r="T298" s="162">
        <v>-0.22674</v>
      </c>
      <c r="U298" s="162">
        <v>-0.1258</v>
      </c>
      <c r="V298" s="162">
        <v>-1.2200000000000001E-2</v>
      </c>
      <c r="W298" s="162">
        <v>0.11119999999999999</v>
      </c>
      <c r="X298" s="162">
        <v>0.23810000000000001</v>
      </c>
      <c r="Y298" s="162">
        <v>0.36730000000000002</v>
      </c>
      <c r="Z298" s="162">
        <v>0.49280000000000002</v>
      </c>
      <c r="AA298" s="162">
        <v>0.60809999999999997</v>
      </c>
      <c r="AB298" s="162">
        <v>0.71265999999999996</v>
      </c>
      <c r="AC298" s="162">
        <v>0.80640000000000001</v>
      </c>
      <c r="AD298" s="162">
        <v>0.89359999999999995</v>
      </c>
      <c r="AE298" s="162">
        <v>0.96455999999999997</v>
      </c>
      <c r="AF298" s="162">
        <v>1.0246</v>
      </c>
      <c r="AG298" s="162">
        <v>1.06436</v>
      </c>
      <c r="AH298" s="162">
        <v>1.10412</v>
      </c>
      <c r="AI298" s="162">
        <v>1.14388</v>
      </c>
      <c r="AJ298" s="162">
        <v>1.18364</v>
      </c>
      <c r="AK298" s="162">
        <v>1.2234</v>
      </c>
      <c r="AL298" s="162">
        <v>1.2404599999999999</v>
      </c>
      <c r="AM298" s="162">
        <v>1.25752</v>
      </c>
      <c r="AN298" s="162">
        <v>1.27458</v>
      </c>
      <c r="AO298" s="162">
        <v>1.2916399999999999</v>
      </c>
      <c r="AP298" s="162">
        <v>1.3087</v>
      </c>
      <c r="AQ298" s="162">
        <v>1.3164800000000001</v>
      </c>
      <c r="AR298" s="162">
        <v>1.32426</v>
      </c>
      <c r="AS298" s="162">
        <v>1.3320399999999999</v>
      </c>
      <c r="AT298" s="162">
        <v>1.33982</v>
      </c>
      <c r="AU298" s="162">
        <v>1.3475999999999999</v>
      </c>
    </row>
    <row r="299" spans="1:47" ht="12.75" customHeight="1">
      <c r="A299" s="459">
        <v>42986</v>
      </c>
      <c r="B299" s="139">
        <v>36</v>
      </c>
      <c r="C299" s="162">
        <v>-0.35899999999999999</v>
      </c>
      <c r="D299" s="162">
        <v>-0.35899999999999999</v>
      </c>
      <c r="E299" s="162">
        <v>-0.35610000000000003</v>
      </c>
      <c r="F299" s="162">
        <v>-0.3540333</v>
      </c>
      <c r="G299" s="162">
        <v>-0.3575333</v>
      </c>
      <c r="H299" s="162">
        <v>-0.35770000000000002</v>
      </c>
      <c r="I299" s="162">
        <v>-0.35746670000000003</v>
      </c>
      <c r="J299" s="162">
        <v>-0.35706670000000001</v>
      </c>
      <c r="K299" s="162">
        <v>-0.35726669999999999</v>
      </c>
      <c r="L299" s="162">
        <v>-0.3565333</v>
      </c>
      <c r="M299" s="162">
        <v>-0.35649999999999998</v>
      </c>
      <c r="N299" s="162">
        <v>-0.3519333</v>
      </c>
      <c r="O299" s="162">
        <v>-0.35346670000000002</v>
      </c>
      <c r="P299" s="162">
        <v>-0.35896670000000003</v>
      </c>
      <c r="Q299" s="162">
        <v>-0.3531667</v>
      </c>
      <c r="R299" s="162">
        <v>-0.35183330000000002</v>
      </c>
      <c r="S299" s="162">
        <v>-0.31303330000000001</v>
      </c>
      <c r="T299" s="162">
        <v>-0.23936669999999999</v>
      </c>
      <c r="U299" s="162">
        <v>-0.14033329999999999</v>
      </c>
      <c r="V299" s="162">
        <v>-3.1167E-2</v>
      </c>
      <c r="W299" s="162">
        <v>8.9266700000000004E-2</v>
      </c>
      <c r="X299" s="162">
        <v>0.2195</v>
      </c>
      <c r="Y299" s="162">
        <v>0.34883330000000001</v>
      </c>
      <c r="Z299" s="162">
        <v>0.47360000000000002</v>
      </c>
      <c r="AA299" s="162">
        <v>0.59033329999999995</v>
      </c>
      <c r="AB299" s="162">
        <v>0.69599999999999995</v>
      </c>
      <c r="AC299" s="162">
        <v>0.79233330000000002</v>
      </c>
      <c r="AD299" s="162">
        <v>0.87549999999999994</v>
      </c>
      <c r="AE299" s="162">
        <v>0.94799999999999995</v>
      </c>
      <c r="AF299" s="162">
        <v>1.0109999999999999</v>
      </c>
      <c r="AG299" s="162">
        <v>1.0508333000000001</v>
      </c>
      <c r="AH299" s="162">
        <v>1.0906667000000001</v>
      </c>
      <c r="AI299" s="162">
        <v>1.1305000000000001</v>
      </c>
      <c r="AJ299" s="162">
        <v>1.1703333</v>
      </c>
      <c r="AK299" s="162">
        <v>1.2101667</v>
      </c>
      <c r="AL299" s="162">
        <v>1.2269532999999999</v>
      </c>
      <c r="AM299" s="162">
        <v>1.2437400000000001</v>
      </c>
      <c r="AN299" s="162">
        <v>1.2605267</v>
      </c>
      <c r="AO299" s="162">
        <v>1.2773133000000001</v>
      </c>
      <c r="AP299" s="162">
        <v>1.2941</v>
      </c>
      <c r="AQ299" s="162">
        <v>1.3024467</v>
      </c>
      <c r="AR299" s="162">
        <v>1.3107933000000001</v>
      </c>
      <c r="AS299" s="162">
        <v>1.31914</v>
      </c>
      <c r="AT299" s="162">
        <v>1.3274866999999999</v>
      </c>
      <c r="AU299" s="162">
        <v>1.3358333</v>
      </c>
    </row>
    <row r="300" spans="1:47" ht="12.75" customHeight="1">
      <c r="A300" s="459">
        <v>42993</v>
      </c>
      <c r="B300" s="139">
        <v>37</v>
      </c>
      <c r="C300" s="162">
        <v>-0.35649999999999998</v>
      </c>
      <c r="D300" s="162">
        <v>-0.35649999999999998</v>
      </c>
      <c r="E300" s="162">
        <v>-0.35726000000000002</v>
      </c>
      <c r="F300" s="162">
        <v>-0.35837999999999998</v>
      </c>
      <c r="G300" s="162">
        <v>-0.35598000000000002</v>
      </c>
      <c r="H300" s="162">
        <v>-0.35854000000000003</v>
      </c>
      <c r="I300" s="162">
        <v>-0.35893999999999998</v>
      </c>
      <c r="J300" s="162">
        <v>-0.35643999999999998</v>
      </c>
      <c r="K300" s="162">
        <v>-0.35439999999999999</v>
      </c>
      <c r="L300" s="162">
        <v>-0.35902000000000001</v>
      </c>
      <c r="M300" s="162">
        <v>-0.35976000000000002</v>
      </c>
      <c r="N300" s="162">
        <v>-0.35980000000000001</v>
      </c>
      <c r="O300" s="162">
        <v>-0.35876000000000002</v>
      </c>
      <c r="P300" s="162">
        <v>-0.36009999999999998</v>
      </c>
      <c r="Q300" s="162">
        <v>-0.35896</v>
      </c>
      <c r="R300" s="162">
        <v>-0.36036000000000001</v>
      </c>
      <c r="S300" s="162">
        <v>-0.3271</v>
      </c>
      <c r="T300" s="162">
        <v>-0.25946000000000002</v>
      </c>
      <c r="U300" s="162">
        <v>-0.16846</v>
      </c>
      <c r="V300" s="162">
        <v>-6.08E-2</v>
      </c>
      <c r="W300" s="162">
        <v>5.8299999999999998E-2</v>
      </c>
      <c r="X300" s="162">
        <v>0.1888</v>
      </c>
      <c r="Y300" s="162">
        <v>0.31956000000000001</v>
      </c>
      <c r="Z300" s="162">
        <v>0.4456</v>
      </c>
      <c r="AA300" s="162">
        <v>0.56369999999999998</v>
      </c>
      <c r="AB300" s="162">
        <v>0.6714</v>
      </c>
      <c r="AC300" s="162">
        <v>0.76800000000000002</v>
      </c>
      <c r="AD300" s="162">
        <v>0.85216000000000003</v>
      </c>
      <c r="AE300" s="162">
        <v>0.92600000000000005</v>
      </c>
      <c r="AF300" s="162">
        <v>0.98629999999999995</v>
      </c>
      <c r="AG300" s="162">
        <v>1.02782</v>
      </c>
      <c r="AH300" s="162">
        <v>1.06934</v>
      </c>
      <c r="AI300" s="162">
        <v>1.11086</v>
      </c>
      <c r="AJ300" s="162">
        <v>1.15238</v>
      </c>
      <c r="AK300" s="162">
        <v>1.1939</v>
      </c>
      <c r="AL300" s="162">
        <v>1.2109799999999999</v>
      </c>
      <c r="AM300" s="162">
        <v>1.2280599999999999</v>
      </c>
      <c r="AN300" s="162">
        <v>1.2451399999999999</v>
      </c>
      <c r="AO300" s="162">
        <v>1.2622199999999999</v>
      </c>
      <c r="AP300" s="162">
        <v>1.2793000000000001</v>
      </c>
      <c r="AQ300" s="162">
        <v>1.2882400000000001</v>
      </c>
      <c r="AR300" s="162">
        <v>1.29718</v>
      </c>
      <c r="AS300" s="162">
        <v>1.3061199999999999</v>
      </c>
      <c r="AT300" s="162">
        <v>1.3150599999999999</v>
      </c>
      <c r="AU300" s="162">
        <v>1.3240000000000001</v>
      </c>
    </row>
    <row r="301" spans="1:47" ht="12.75" customHeight="1">
      <c r="A301" s="459">
        <v>43000</v>
      </c>
      <c r="B301" s="139">
        <v>38</v>
      </c>
      <c r="C301" s="162">
        <v>-0.35799999999999998</v>
      </c>
      <c r="D301" s="162">
        <v>-0.35799999999999998</v>
      </c>
      <c r="E301" s="162">
        <v>-0.35943999999999998</v>
      </c>
      <c r="F301" s="162">
        <v>-0.35880000000000001</v>
      </c>
      <c r="G301" s="162">
        <v>-0.35570000000000002</v>
      </c>
      <c r="H301" s="162">
        <v>-0.35770000000000002</v>
      </c>
      <c r="I301" s="162">
        <v>-0.35849999999999999</v>
      </c>
      <c r="J301" s="162">
        <v>-0.35765999999999998</v>
      </c>
      <c r="K301" s="162">
        <v>-0.35855999999999999</v>
      </c>
      <c r="L301" s="162">
        <v>-0.35824</v>
      </c>
      <c r="M301" s="162">
        <v>-0.35849999999999999</v>
      </c>
      <c r="N301" s="162">
        <v>-0.35786000000000001</v>
      </c>
      <c r="O301" s="162">
        <v>-0.35768</v>
      </c>
      <c r="P301" s="162">
        <v>-0.35655999999999999</v>
      </c>
      <c r="Q301" s="162">
        <v>-0.35643999999999998</v>
      </c>
      <c r="R301" s="162">
        <v>-0.35549999999999998</v>
      </c>
      <c r="S301" s="162">
        <v>-0.31363999999999997</v>
      </c>
      <c r="T301" s="162">
        <v>-0.23330000000000001</v>
      </c>
      <c r="U301" s="162">
        <v>-0.12945999999999999</v>
      </c>
      <c r="V301" s="162">
        <v>-1.24E-2</v>
      </c>
      <c r="W301" s="162">
        <v>0.11545999999999999</v>
      </c>
      <c r="X301" s="162">
        <v>0.24610000000000001</v>
      </c>
      <c r="Y301" s="162">
        <v>0.379</v>
      </c>
      <c r="Z301" s="162">
        <v>0.50800000000000001</v>
      </c>
      <c r="AA301" s="162">
        <v>0.62790000000000001</v>
      </c>
      <c r="AB301" s="162">
        <v>0.73699999999999999</v>
      </c>
      <c r="AC301" s="162">
        <v>0.83475999999999995</v>
      </c>
      <c r="AD301" s="162">
        <v>0.92045999999999994</v>
      </c>
      <c r="AE301" s="162">
        <v>0.99485999999999997</v>
      </c>
      <c r="AF301" s="162">
        <v>1.0602</v>
      </c>
      <c r="AG301" s="162">
        <v>1.1008199999999999</v>
      </c>
      <c r="AH301" s="162">
        <v>1.14144</v>
      </c>
      <c r="AI301" s="162">
        <v>1.1820600000000001</v>
      </c>
      <c r="AJ301" s="162">
        <v>1.22268</v>
      </c>
      <c r="AK301" s="162">
        <v>1.2633000000000001</v>
      </c>
      <c r="AL301" s="162">
        <v>1.28074</v>
      </c>
      <c r="AM301" s="162">
        <v>1.2981799999999999</v>
      </c>
      <c r="AN301" s="162">
        <v>1.31562</v>
      </c>
      <c r="AO301" s="162">
        <v>1.3330599999999999</v>
      </c>
      <c r="AP301" s="162">
        <v>1.3505</v>
      </c>
      <c r="AQ301" s="162">
        <v>1.3592599999999999</v>
      </c>
      <c r="AR301" s="162">
        <v>1.36802</v>
      </c>
      <c r="AS301" s="162">
        <v>1.3767799999999999</v>
      </c>
      <c r="AT301" s="162">
        <v>1.38554</v>
      </c>
      <c r="AU301" s="162">
        <v>1.3943000000000001</v>
      </c>
    </row>
    <row r="302" spans="1:47" ht="12.75" customHeight="1">
      <c r="A302" s="459">
        <v>43007</v>
      </c>
      <c r="B302" s="139">
        <v>39</v>
      </c>
      <c r="C302" s="162">
        <v>-0.36249999999999999</v>
      </c>
      <c r="D302" s="162">
        <v>-0.36249999999999999</v>
      </c>
      <c r="E302" s="162">
        <v>-0.35659999999999997</v>
      </c>
      <c r="F302" s="162">
        <v>-0.35299999999999998</v>
      </c>
      <c r="G302" s="162">
        <v>-0.35260000000000002</v>
      </c>
      <c r="H302" s="162">
        <v>-0.35596</v>
      </c>
      <c r="I302" s="162">
        <v>-0.35765999999999998</v>
      </c>
      <c r="J302" s="162">
        <v>-0.35486000000000001</v>
      </c>
      <c r="K302" s="162">
        <v>-0.35742000000000002</v>
      </c>
      <c r="L302" s="162">
        <v>-0.35189999999999999</v>
      </c>
      <c r="M302" s="162">
        <v>-0.35621999999999998</v>
      </c>
      <c r="N302" s="162">
        <v>-0.35502</v>
      </c>
      <c r="O302" s="162">
        <v>-0.35432000000000002</v>
      </c>
      <c r="P302" s="162">
        <v>-0.35320000000000001</v>
      </c>
      <c r="Q302" s="162">
        <v>-0.35165999999999997</v>
      </c>
      <c r="R302" s="162">
        <v>-0.34983999999999998</v>
      </c>
      <c r="S302" s="162">
        <v>-0.29649999999999999</v>
      </c>
      <c r="T302" s="162">
        <v>-0.20072000000000001</v>
      </c>
      <c r="U302" s="162">
        <v>-8.3000000000000004E-2</v>
      </c>
      <c r="V302" s="162">
        <v>4.1399999999999999E-2</v>
      </c>
      <c r="W302" s="162">
        <v>0.16719999999999999</v>
      </c>
      <c r="X302" s="162">
        <v>0.30159999999999998</v>
      </c>
      <c r="Y302" s="162">
        <v>0.43340000000000001</v>
      </c>
      <c r="Z302" s="162">
        <v>0.56089999999999995</v>
      </c>
      <c r="AA302" s="162">
        <v>0.6794</v>
      </c>
      <c r="AB302" s="162">
        <v>0.78835999999999995</v>
      </c>
      <c r="AC302" s="162">
        <v>0.88280000000000003</v>
      </c>
      <c r="AD302" s="162">
        <v>0.96750000000000003</v>
      </c>
      <c r="AE302" s="162">
        <v>1.0410600000000001</v>
      </c>
      <c r="AF302" s="162">
        <v>1.1005</v>
      </c>
      <c r="AG302" s="162">
        <v>1.14198</v>
      </c>
      <c r="AH302" s="162">
        <v>1.18346</v>
      </c>
      <c r="AI302" s="162">
        <v>1.2249399999999999</v>
      </c>
      <c r="AJ302" s="162">
        <v>1.2664200000000001</v>
      </c>
      <c r="AK302" s="162">
        <v>1.3079000000000001</v>
      </c>
      <c r="AL302" s="162">
        <v>1.3246199999999999</v>
      </c>
      <c r="AM302" s="162">
        <v>1.34134</v>
      </c>
      <c r="AN302" s="162">
        <v>1.35806</v>
      </c>
      <c r="AO302" s="162">
        <v>1.3747799999999999</v>
      </c>
      <c r="AP302" s="162">
        <v>1.3915</v>
      </c>
      <c r="AQ302" s="162">
        <v>1.4001600000000001</v>
      </c>
      <c r="AR302" s="162">
        <v>1.40882</v>
      </c>
      <c r="AS302" s="162">
        <v>1.4174800000000001</v>
      </c>
      <c r="AT302" s="162">
        <v>1.42614</v>
      </c>
      <c r="AU302" s="162">
        <v>1.4348000000000001</v>
      </c>
    </row>
    <row r="303" spans="1:47" ht="12.75" customHeight="1">
      <c r="A303" s="459">
        <v>43014</v>
      </c>
      <c r="B303" s="139">
        <v>40</v>
      </c>
      <c r="C303" s="162">
        <v>-0.36</v>
      </c>
      <c r="D303" s="162">
        <v>-0.36</v>
      </c>
      <c r="E303" s="162">
        <v>-0.35439999999999999</v>
      </c>
      <c r="F303" s="162">
        <v>-0.35539999999999999</v>
      </c>
      <c r="G303" s="162">
        <v>-0.35510000000000003</v>
      </c>
      <c r="H303" s="162">
        <v>-0.35632000000000003</v>
      </c>
      <c r="I303" s="162">
        <v>-0.35449999999999998</v>
      </c>
      <c r="J303" s="162">
        <v>-0.35639999999999999</v>
      </c>
      <c r="K303" s="162">
        <v>-0.35711999999999999</v>
      </c>
      <c r="L303" s="162">
        <v>-0.35571999999999998</v>
      </c>
      <c r="M303" s="162">
        <v>-0.35518</v>
      </c>
      <c r="N303" s="162">
        <v>-0.35408000000000001</v>
      </c>
      <c r="O303" s="162">
        <v>-0.35083999999999999</v>
      </c>
      <c r="P303" s="162">
        <v>-0.35193999999999998</v>
      </c>
      <c r="Q303" s="162">
        <v>-0.35054000000000002</v>
      </c>
      <c r="R303" s="162">
        <v>-0.34895999999999999</v>
      </c>
      <c r="S303" s="162">
        <v>-0.29464000000000001</v>
      </c>
      <c r="T303" s="162">
        <v>-0.20127999999999999</v>
      </c>
      <c r="U303" s="162">
        <v>-8.6999999999999994E-2</v>
      </c>
      <c r="V303" s="162">
        <v>3.6900000000000002E-2</v>
      </c>
      <c r="W303" s="162">
        <v>0.16320000000000001</v>
      </c>
      <c r="X303" s="162">
        <v>0.29805999999999999</v>
      </c>
      <c r="Y303" s="162">
        <v>0.43059999999999998</v>
      </c>
      <c r="Z303" s="162">
        <v>0.55730000000000002</v>
      </c>
      <c r="AA303" s="162">
        <v>0.67559999999999998</v>
      </c>
      <c r="AB303" s="162">
        <v>0.78349999999999997</v>
      </c>
      <c r="AC303" s="162">
        <v>0.87990000000000002</v>
      </c>
      <c r="AD303" s="162">
        <v>0.96435999999999999</v>
      </c>
      <c r="AE303" s="162">
        <v>1.0381</v>
      </c>
      <c r="AF303" s="162">
        <v>1.0980000000000001</v>
      </c>
      <c r="AG303" s="162">
        <v>1.13924</v>
      </c>
      <c r="AH303" s="162">
        <v>1.18048</v>
      </c>
      <c r="AI303" s="162">
        <v>1.2217199999999999</v>
      </c>
      <c r="AJ303" s="162">
        <v>1.2629600000000001</v>
      </c>
      <c r="AK303" s="162">
        <v>1.3042</v>
      </c>
      <c r="AL303" s="162">
        <v>1.3213200000000001</v>
      </c>
      <c r="AM303" s="162">
        <v>1.3384400000000001</v>
      </c>
      <c r="AN303" s="162">
        <v>1.3555600000000001</v>
      </c>
      <c r="AO303" s="162">
        <v>1.3726799999999999</v>
      </c>
      <c r="AP303" s="162">
        <v>1.3897999999999999</v>
      </c>
      <c r="AQ303" s="162">
        <v>1.3982000000000001</v>
      </c>
      <c r="AR303" s="162">
        <v>1.4066000000000001</v>
      </c>
      <c r="AS303" s="162">
        <v>1.415</v>
      </c>
      <c r="AT303" s="162">
        <v>1.4234</v>
      </c>
      <c r="AU303" s="162">
        <v>1.4318</v>
      </c>
    </row>
    <row r="304" spans="1:47" ht="12.75" customHeight="1">
      <c r="A304" s="459">
        <v>43021</v>
      </c>
      <c r="B304" s="139">
        <v>41</v>
      </c>
      <c r="C304" s="162">
        <v>-0.35749999999999998</v>
      </c>
      <c r="D304" s="162">
        <v>-0.35749999999999998</v>
      </c>
      <c r="E304" s="162">
        <v>-0.35846</v>
      </c>
      <c r="F304" s="162">
        <v>-0.35630000000000001</v>
      </c>
      <c r="G304" s="162">
        <v>-0.35511999999999999</v>
      </c>
      <c r="H304" s="162">
        <v>-0.35602</v>
      </c>
      <c r="I304" s="162">
        <v>-0.3548</v>
      </c>
      <c r="J304" s="162">
        <v>-0.35486000000000001</v>
      </c>
      <c r="K304" s="162">
        <v>-0.35536000000000001</v>
      </c>
      <c r="L304" s="162">
        <v>-0.35424</v>
      </c>
      <c r="M304" s="162">
        <v>-0.35338000000000003</v>
      </c>
      <c r="N304" s="162">
        <v>-0.35298000000000002</v>
      </c>
      <c r="O304" s="162">
        <v>-0.35161999999999999</v>
      </c>
      <c r="P304" s="162">
        <v>-0.35049999999999998</v>
      </c>
      <c r="Q304" s="162">
        <v>-0.34914000000000001</v>
      </c>
      <c r="R304" s="162">
        <v>-0.34671999999999997</v>
      </c>
      <c r="S304" s="162">
        <v>-0.28888000000000003</v>
      </c>
      <c r="T304" s="162">
        <v>-0.19220000000000001</v>
      </c>
      <c r="U304" s="162">
        <v>-7.3800000000000004E-2</v>
      </c>
      <c r="V304" s="162">
        <v>5.3199999999999997E-2</v>
      </c>
      <c r="W304" s="162">
        <v>0.18679999999999999</v>
      </c>
      <c r="X304" s="162">
        <v>0.31830000000000003</v>
      </c>
      <c r="Y304" s="162">
        <v>0.4511</v>
      </c>
      <c r="Z304" s="162">
        <v>0.57986000000000004</v>
      </c>
      <c r="AA304" s="162">
        <v>0.69879999999999998</v>
      </c>
      <c r="AB304" s="162">
        <v>0.80579999999999996</v>
      </c>
      <c r="AC304" s="162">
        <v>0.90200000000000002</v>
      </c>
      <c r="AD304" s="162">
        <v>0.98619999999999997</v>
      </c>
      <c r="AE304" s="162">
        <v>1.0605</v>
      </c>
      <c r="AF304" s="162">
        <v>1.1245000000000001</v>
      </c>
      <c r="AG304" s="162">
        <v>1.1650199999999999</v>
      </c>
      <c r="AH304" s="162">
        <v>1.2055400000000001</v>
      </c>
      <c r="AI304" s="162">
        <v>1.2460599999999999</v>
      </c>
      <c r="AJ304" s="162">
        <v>1.2865800000000001</v>
      </c>
      <c r="AK304" s="162">
        <v>1.3270999999999999</v>
      </c>
      <c r="AL304" s="162">
        <v>1.344352</v>
      </c>
      <c r="AM304" s="162">
        <v>1.361604</v>
      </c>
      <c r="AN304" s="162">
        <v>1.3788560000000001</v>
      </c>
      <c r="AO304" s="162">
        <v>1.3961079999999999</v>
      </c>
      <c r="AP304" s="162">
        <v>1.4133599999999999</v>
      </c>
      <c r="AQ304" s="162">
        <v>1.422048</v>
      </c>
      <c r="AR304" s="162">
        <v>1.430736</v>
      </c>
      <c r="AS304" s="162">
        <v>1.439424</v>
      </c>
      <c r="AT304" s="162">
        <v>1.4481120000000001</v>
      </c>
      <c r="AU304" s="162">
        <v>1.4568000000000001</v>
      </c>
    </row>
    <row r="305" spans="1:47" ht="12.75" customHeight="1">
      <c r="A305" s="459">
        <v>43028</v>
      </c>
      <c r="B305" s="139">
        <v>42</v>
      </c>
      <c r="C305" s="162">
        <v>-0.36099999999999999</v>
      </c>
      <c r="D305" s="162">
        <v>-0.36099999999999999</v>
      </c>
      <c r="E305" s="162">
        <v>-0.35814000000000001</v>
      </c>
      <c r="F305" s="162">
        <v>-0.35764000000000001</v>
      </c>
      <c r="G305" s="162">
        <v>-0.3579</v>
      </c>
      <c r="H305" s="162">
        <v>-0.35733999999999999</v>
      </c>
      <c r="I305" s="162">
        <v>-0.35626000000000002</v>
      </c>
      <c r="J305" s="162">
        <v>-0.35576000000000002</v>
      </c>
      <c r="K305" s="162">
        <v>-0.35649999999999998</v>
      </c>
      <c r="L305" s="162">
        <v>-0.35518</v>
      </c>
      <c r="M305" s="162">
        <v>-0.35465999999999998</v>
      </c>
      <c r="N305" s="162">
        <v>-0.35458000000000001</v>
      </c>
      <c r="O305" s="162">
        <v>-0.35289999999999999</v>
      </c>
      <c r="P305" s="162">
        <v>-0.35160000000000002</v>
      </c>
      <c r="Q305" s="162">
        <v>-0.35083999999999999</v>
      </c>
      <c r="R305" s="162">
        <v>-0.34849999999999998</v>
      </c>
      <c r="S305" s="162">
        <v>-0.29587999999999998</v>
      </c>
      <c r="T305" s="162">
        <v>-0.19670000000000001</v>
      </c>
      <c r="U305" s="162">
        <v>-7.7200000000000005E-2</v>
      </c>
      <c r="V305" s="162">
        <v>4.8300000000000003E-2</v>
      </c>
      <c r="W305" s="162">
        <v>0.17649999999999999</v>
      </c>
      <c r="X305" s="162">
        <v>0.30915999999999999</v>
      </c>
      <c r="Y305" s="162">
        <v>0.44059999999999999</v>
      </c>
      <c r="Z305" s="162">
        <v>0.56725999999999999</v>
      </c>
      <c r="AA305" s="162">
        <v>0.68430000000000002</v>
      </c>
      <c r="AB305" s="162">
        <v>0.79120000000000001</v>
      </c>
      <c r="AC305" s="162">
        <v>0.88680000000000003</v>
      </c>
      <c r="AD305" s="162">
        <v>0.97040000000000004</v>
      </c>
      <c r="AE305" s="162">
        <v>1.0438000000000001</v>
      </c>
      <c r="AF305" s="162">
        <v>1.1061000000000001</v>
      </c>
      <c r="AG305" s="162">
        <v>1.14716</v>
      </c>
      <c r="AH305" s="162">
        <v>1.1882200000000001</v>
      </c>
      <c r="AI305" s="162">
        <v>1.2292799999999999</v>
      </c>
      <c r="AJ305" s="162">
        <v>1.27034</v>
      </c>
      <c r="AK305" s="162">
        <v>1.3113999999999999</v>
      </c>
      <c r="AL305" s="162">
        <v>1.3292600000000001</v>
      </c>
      <c r="AM305" s="162">
        <v>1.3471200000000001</v>
      </c>
      <c r="AN305" s="162">
        <v>1.3649800000000001</v>
      </c>
      <c r="AO305" s="162">
        <v>1.3828400000000001</v>
      </c>
      <c r="AP305" s="162">
        <v>1.4007000000000001</v>
      </c>
      <c r="AQ305" s="162">
        <v>1.40968</v>
      </c>
      <c r="AR305" s="162">
        <v>1.41866</v>
      </c>
      <c r="AS305" s="162">
        <v>1.42764</v>
      </c>
      <c r="AT305" s="162">
        <v>1.43662</v>
      </c>
      <c r="AU305" s="162">
        <v>1.4456</v>
      </c>
    </row>
    <row r="306" spans="1:47" ht="12.75" customHeight="1">
      <c r="A306" s="459">
        <v>43035</v>
      </c>
      <c r="B306" s="139">
        <v>43</v>
      </c>
      <c r="C306" s="162">
        <v>-0.36</v>
      </c>
      <c r="D306" s="162">
        <v>-0.36</v>
      </c>
      <c r="E306" s="162">
        <v>-0.35936000000000001</v>
      </c>
      <c r="F306" s="162">
        <v>-0.35752</v>
      </c>
      <c r="G306" s="162">
        <v>-0.35836000000000001</v>
      </c>
      <c r="H306" s="162">
        <v>-0.35815999999999998</v>
      </c>
      <c r="I306" s="162">
        <v>-0.35746</v>
      </c>
      <c r="J306" s="162">
        <v>-0.35646</v>
      </c>
      <c r="K306" s="162">
        <v>-0.35630000000000001</v>
      </c>
      <c r="L306" s="162">
        <v>-0.35599999999999998</v>
      </c>
      <c r="M306" s="162">
        <v>-0.35570000000000002</v>
      </c>
      <c r="N306" s="162">
        <v>-0.35532000000000002</v>
      </c>
      <c r="O306" s="162">
        <v>-0.35487999999999997</v>
      </c>
      <c r="P306" s="162">
        <v>-0.35476000000000002</v>
      </c>
      <c r="Q306" s="162">
        <v>-0.35458000000000001</v>
      </c>
      <c r="R306" s="162">
        <v>-0.35339999999999999</v>
      </c>
      <c r="S306" s="162">
        <v>-0.30824000000000001</v>
      </c>
      <c r="T306" s="162">
        <v>-0.21442</v>
      </c>
      <c r="U306" s="162">
        <v>-9.9400000000000002E-2</v>
      </c>
      <c r="V306" s="162">
        <v>2.1999999999999999E-2</v>
      </c>
      <c r="W306" s="162">
        <v>0.1464</v>
      </c>
      <c r="X306" s="162">
        <v>0.27650000000000002</v>
      </c>
      <c r="Y306" s="162">
        <v>0.40529999999999999</v>
      </c>
      <c r="Z306" s="162">
        <v>0.53010000000000002</v>
      </c>
      <c r="AA306" s="162">
        <v>0.6462</v>
      </c>
      <c r="AB306" s="162">
        <v>0.75119999999999998</v>
      </c>
      <c r="AC306" s="162">
        <v>0.84519999999999995</v>
      </c>
      <c r="AD306" s="162">
        <v>0.92800000000000005</v>
      </c>
      <c r="AE306" s="162">
        <v>1.0016</v>
      </c>
      <c r="AF306" s="162">
        <v>1.0657000000000001</v>
      </c>
      <c r="AG306" s="162">
        <v>1.10686</v>
      </c>
      <c r="AH306" s="162">
        <v>1.14802</v>
      </c>
      <c r="AI306" s="162">
        <v>1.1891799999999999</v>
      </c>
      <c r="AJ306" s="162">
        <v>1.23034</v>
      </c>
      <c r="AK306" s="162">
        <v>1.2715000000000001</v>
      </c>
      <c r="AL306" s="162">
        <v>1.2891999999999999</v>
      </c>
      <c r="AM306" s="162">
        <v>1.3069</v>
      </c>
      <c r="AN306" s="162">
        <v>1.3246</v>
      </c>
      <c r="AO306" s="162">
        <v>1.3423</v>
      </c>
      <c r="AP306" s="162">
        <v>1.36</v>
      </c>
      <c r="AQ306" s="162">
        <v>1.36894</v>
      </c>
      <c r="AR306" s="162">
        <v>1.37788</v>
      </c>
      <c r="AS306" s="162">
        <v>1.3868199999999999</v>
      </c>
      <c r="AT306" s="162">
        <v>1.3957599999999999</v>
      </c>
      <c r="AU306" s="162">
        <v>1.4047000000000001</v>
      </c>
    </row>
    <row r="307" spans="1:47" ht="12.75" customHeight="1">
      <c r="A307" s="459">
        <v>43042</v>
      </c>
      <c r="B307" s="139">
        <v>44</v>
      </c>
      <c r="C307" s="162">
        <v>-0.36225000000000002</v>
      </c>
      <c r="D307" s="162">
        <v>-0.36225000000000002</v>
      </c>
      <c r="E307" s="162">
        <v>-0.35402</v>
      </c>
      <c r="F307" s="162">
        <v>-0.35671999999999998</v>
      </c>
      <c r="G307" s="162">
        <v>-0.35624</v>
      </c>
      <c r="H307" s="162">
        <v>-0.35793999999999998</v>
      </c>
      <c r="I307" s="162">
        <v>-0.35532000000000002</v>
      </c>
      <c r="J307" s="162">
        <v>-0.35533999999999999</v>
      </c>
      <c r="K307" s="162">
        <v>-0.35492000000000001</v>
      </c>
      <c r="L307" s="162">
        <v>-0.35486000000000001</v>
      </c>
      <c r="M307" s="162">
        <v>-0.35505999999999999</v>
      </c>
      <c r="N307" s="162">
        <v>-0.35539999999999999</v>
      </c>
      <c r="O307" s="162">
        <v>-0.35505999999999999</v>
      </c>
      <c r="P307" s="162">
        <v>-0.35460000000000003</v>
      </c>
      <c r="Q307" s="162">
        <v>-0.35326000000000002</v>
      </c>
      <c r="R307" s="162">
        <v>-0.34971999999999998</v>
      </c>
      <c r="S307" s="162">
        <v>-0.30446000000000001</v>
      </c>
      <c r="T307" s="162">
        <v>-0.20388000000000001</v>
      </c>
      <c r="U307" s="162">
        <v>-7.9699999999999993E-2</v>
      </c>
      <c r="V307" s="162">
        <v>4.9399999999999999E-2</v>
      </c>
      <c r="W307" s="162">
        <v>0.17749999999999999</v>
      </c>
      <c r="X307" s="162">
        <v>0.31435999999999997</v>
      </c>
      <c r="Y307" s="162">
        <v>0.44525999999999999</v>
      </c>
      <c r="Z307" s="162">
        <v>0.57120000000000004</v>
      </c>
      <c r="AA307" s="162">
        <v>0.68855999999999995</v>
      </c>
      <c r="AB307" s="162">
        <v>0.7954</v>
      </c>
      <c r="AC307" s="162">
        <v>0.89080000000000004</v>
      </c>
      <c r="AD307" s="162">
        <v>0.97419999999999995</v>
      </c>
      <c r="AE307" s="162">
        <v>1.0484</v>
      </c>
      <c r="AF307" s="162">
        <v>1.1088</v>
      </c>
      <c r="AG307" s="162">
        <v>1.1504920000000001</v>
      </c>
      <c r="AH307" s="162">
        <v>1.1921839999999999</v>
      </c>
      <c r="AI307" s="162">
        <v>1.233876</v>
      </c>
      <c r="AJ307" s="162">
        <v>1.275568</v>
      </c>
      <c r="AK307" s="162">
        <v>1.3172600000000001</v>
      </c>
      <c r="AL307" s="162">
        <v>1.335248</v>
      </c>
      <c r="AM307" s="162">
        <v>1.3532360000000001</v>
      </c>
      <c r="AN307" s="162">
        <v>1.371224</v>
      </c>
      <c r="AO307" s="162">
        <v>1.3892119999999999</v>
      </c>
      <c r="AP307" s="162">
        <v>1.4072</v>
      </c>
      <c r="AQ307" s="162">
        <v>1.4161600000000001</v>
      </c>
      <c r="AR307" s="162">
        <v>1.4251199999999999</v>
      </c>
      <c r="AS307" s="162">
        <v>1.43408</v>
      </c>
      <c r="AT307" s="162">
        <v>1.4430400000000001</v>
      </c>
      <c r="AU307" s="162">
        <v>1.452</v>
      </c>
    </row>
    <row r="308" spans="1:47" ht="12.75" customHeight="1">
      <c r="A308" s="459">
        <v>43049</v>
      </c>
      <c r="B308" s="139">
        <v>45</v>
      </c>
      <c r="C308" s="162">
        <v>-0.35125000000000001</v>
      </c>
      <c r="D308" s="162">
        <v>-0.35125000000000001</v>
      </c>
      <c r="E308" s="162">
        <v>-0.35749999999999998</v>
      </c>
      <c r="F308" s="162">
        <v>-0.35699999999999998</v>
      </c>
      <c r="G308" s="162">
        <v>-0.35460000000000003</v>
      </c>
      <c r="H308" s="162">
        <v>-0.35935</v>
      </c>
      <c r="I308" s="162">
        <v>-0.35820000000000002</v>
      </c>
      <c r="J308" s="162">
        <v>-0.35425000000000001</v>
      </c>
      <c r="K308" s="162">
        <v>-0.35302499999999998</v>
      </c>
      <c r="L308" s="162">
        <v>-0.35604999999999998</v>
      </c>
      <c r="M308" s="162">
        <v>-0.35570000000000002</v>
      </c>
      <c r="N308" s="162">
        <v>-0.35565000000000002</v>
      </c>
      <c r="O308" s="162">
        <v>-0.35589999999999999</v>
      </c>
      <c r="P308" s="162">
        <v>-0.35549999999999998</v>
      </c>
      <c r="Q308" s="162">
        <v>-0.35502499999999998</v>
      </c>
      <c r="R308" s="162">
        <v>-0.355375</v>
      </c>
      <c r="S308" s="162">
        <v>-0.317025</v>
      </c>
      <c r="T308" s="162">
        <v>-0.22337499999999999</v>
      </c>
      <c r="U308" s="162">
        <v>-0.109375</v>
      </c>
      <c r="V308" s="162">
        <v>1.2200000000000001E-2</v>
      </c>
      <c r="W308" s="162">
        <v>0.13869999999999999</v>
      </c>
      <c r="X308" s="162">
        <v>0.269625</v>
      </c>
      <c r="Y308" s="162">
        <v>0.3992</v>
      </c>
      <c r="Z308" s="162">
        <v>0.52349999999999997</v>
      </c>
      <c r="AA308" s="162">
        <v>0.64</v>
      </c>
      <c r="AB308" s="162">
        <v>0.74687499999999996</v>
      </c>
      <c r="AC308" s="162">
        <v>0.84345000000000003</v>
      </c>
      <c r="AD308" s="162">
        <v>0.92769999999999997</v>
      </c>
      <c r="AE308" s="162">
        <v>1.0017499999999999</v>
      </c>
      <c r="AF308" s="162">
        <v>1.0631250000000001</v>
      </c>
      <c r="AG308" s="162">
        <v>1.1047</v>
      </c>
      <c r="AH308" s="162">
        <v>1.1462749999999999</v>
      </c>
      <c r="AI308" s="162">
        <v>1.1878500000000001</v>
      </c>
      <c r="AJ308" s="162">
        <v>1.229425</v>
      </c>
      <c r="AK308" s="162">
        <v>1.2709999999999999</v>
      </c>
      <c r="AL308" s="162">
        <v>1.2894749999999999</v>
      </c>
      <c r="AM308" s="162">
        <v>1.3079499999999999</v>
      </c>
      <c r="AN308" s="162">
        <v>1.326425</v>
      </c>
      <c r="AO308" s="162">
        <v>1.3449</v>
      </c>
      <c r="AP308" s="162">
        <v>1.363375</v>
      </c>
      <c r="AQ308" s="162">
        <v>1.3728</v>
      </c>
      <c r="AR308" s="162">
        <v>1.382225</v>
      </c>
      <c r="AS308" s="162">
        <v>1.3916500000000001</v>
      </c>
      <c r="AT308" s="162">
        <v>1.4010750000000001</v>
      </c>
      <c r="AU308" s="162">
        <v>1.4105000000000001</v>
      </c>
    </row>
    <row r="309" spans="1:47" ht="12.75" customHeight="1">
      <c r="A309" s="459">
        <v>43056</v>
      </c>
      <c r="B309" s="139">
        <v>46</v>
      </c>
      <c r="C309" s="162">
        <v>-0.35549999999999998</v>
      </c>
      <c r="D309" s="162">
        <v>-0.35549999999999998</v>
      </c>
      <c r="E309" s="162">
        <v>-0.3584</v>
      </c>
      <c r="F309" s="162">
        <v>-0.35777999999999999</v>
      </c>
      <c r="G309" s="162">
        <v>-0.35708000000000001</v>
      </c>
      <c r="H309" s="162">
        <v>-0.35437999999999997</v>
      </c>
      <c r="I309" s="162">
        <v>-0.35711999999999999</v>
      </c>
      <c r="J309" s="162">
        <v>-0.35646</v>
      </c>
      <c r="K309" s="162">
        <v>-0.35702</v>
      </c>
      <c r="L309" s="162">
        <v>-0.35636000000000001</v>
      </c>
      <c r="M309" s="162">
        <v>-0.35626000000000002</v>
      </c>
      <c r="N309" s="162">
        <v>-0.35598000000000002</v>
      </c>
      <c r="O309" s="162">
        <v>-0.35483999999999999</v>
      </c>
      <c r="P309" s="162">
        <v>-0.35524</v>
      </c>
      <c r="Q309" s="162">
        <v>-0.35452</v>
      </c>
      <c r="R309" s="162">
        <v>-0.35496</v>
      </c>
      <c r="S309" s="162">
        <v>-0.31934000000000001</v>
      </c>
      <c r="T309" s="162">
        <v>-0.23204</v>
      </c>
      <c r="U309" s="162">
        <v>-0.1154</v>
      </c>
      <c r="V309" s="162">
        <v>5.4000000000000003E-3</v>
      </c>
      <c r="W309" s="162">
        <v>0.13066</v>
      </c>
      <c r="X309" s="162">
        <v>0.25750000000000001</v>
      </c>
      <c r="Y309" s="162">
        <v>0.38319999999999999</v>
      </c>
      <c r="Z309" s="162">
        <v>0.50760000000000005</v>
      </c>
      <c r="AA309" s="162">
        <v>0.62339999999999995</v>
      </c>
      <c r="AB309" s="162">
        <v>0.73009999999999997</v>
      </c>
      <c r="AC309" s="162">
        <v>0.82579999999999998</v>
      </c>
      <c r="AD309" s="162">
        <v>0.91025999999999996</v>
      </c>
      <c r="AE309" s="162">
        <v>0.98380000000000001</v>
      </c>
      <c r="AF309" s="162">
        <v>1.0487599999999999</v>
      </c>
      <c r="AG309" s="162">
        <v>1.090408</v>
      </c>
      <c r="AH309" s="162">
        <v>1.132056</v>
      </c>
      <c r="AI309" s="162">
        <v>1.1737040000000001</v>
      </c>
      <c r="AJ309" s="162">
        <v>1.215352</v>
      </c>
      <c r="AK309" s="162">
        <v>1.2569999999999999</v>
      </c>
      <c r="AL309" s="162">
        <v>1.2754319999999999</v>
      </c>
      <c r="AM309" s="162">
        <v>1.2938639999999999</v>
      </c>
      <c r="AN309" s="162">
        <v>1.3122959999999999</v>
      </c>
      <c r="AO309" s="162">
        <v>1.3307279999999999</v>
      </c>
      <c r="AP309" s="162">
        <v>1.3491599999999999</v>
      </c>
      <c r="AQ309" s="162">
        <v>1.358768</v>
      </c>
      <c r="AR309" s="162">
        <v>1.368376</v>
      </c>
      <c r="AS309" s="162">
        <v>1.3779840000000001</v>
      </c>
      <c r="AT309" s="162">
        <v>1.3875919999999999</v>
      </c>
      <c r="AU309" s="162">
        <v>1.3972</v>
      </c>
    </row>
    <row r="310" spans="1:47" ht="12.75" customHeight="1">
      <c r="A310" s="459">
        <v>43063</v>
      </c>
      <c r="B310" s="139">
        <v>47</v>
      </c>
      <c r="C310" s="162">
        <v>-0.35675000000000001</v>
      </c>
      <c r="D310" s="162">
        <v>-0.35675000000000001</v>
      </c>
      <c r="E310" s="162">
        <v>-0.35771999999999998</v>
      </c>
      <c r="F310" s="162">
        <v>-0.35727999999999999</v>
      </c>
      <c r="G310" s="162">
        <v>-0.35543999999999998</v>
      </c>
      <c r="H310" s="162">
        <v>-0.35646</v>
      </c>
      <c r="I310" s="162">
        <v>-0.35708000000000001</v>
      </c>
      <c r="J310" s="162">
        <v>-0.35726000000000002</v>
      </c>
      <c r="K310" s="162">
        <v>-0.35614000000000001</v>
      </c>
      <c r="L310" s="162">
        <v>-0.35571999999999998</v>
      </c>
      <c r="M310" s="162">
        <v>-0.35646</v>
      </c>
      <c r="N310" s="162">
        <v>-0.35652</v>
      </c>
      <c r="O310" s="162">
        <v>-0.35542000000000001</v>
      </c>
      <c r="P310" s="162">
        <v>-0.35454000000000002</v>
      </c>
      <c r="Q310" s="162">
        <v>-0.35455999999999999</v>
      </c>
      <c r="R310" s="162">
        <v>-0.35399999999999998</v>
      </c>
      <c r="S310" s="162">
        <v>-0.31244</v>
      </c>
      <c r="T310" s="162">
        <v>-0.222</v>
      </c>
      <c r="U310" s="162">
        <v>-0.10050000000000001</v>
      </c>
      <c r="V310" s="162">
        <v>2.3900000000000001E-2</v>
      </c>
      <c r="W310" s="162">
        <v>0.1507</v>
      </c>
      <c r="X310" s="162">
        <v>0.27939999999999998</v>
      </c>
      <c r="Y310" s="162">
        <v>0.40660000000000002</v>
      </c>
      <c r="Z310" s="162">
        <v>0.53120000000000001</v>
      </c>
      <c r="AA310" s="162">
        <v>0.64829999999999999</v>
      </c>
      <c r="AB310" s="162">
        <v>0.75429999999999997</v>
      </c>
      <c r="AC310" s="162">
        <v>0.84960000000000002</v>
      </c>
      <c r="AD310" s="162">
        <v>0.93410000000000004</v>
      </c>
      <c r="AE310" s="162">
        <v>1.0081599999999999</v>
      </c>
      <c r="AF310" s="162">
        <v>1.0746</v>
      </c>
      <c r="AG310" s="162">
        <v>1.1164400000000001</v>
      </c>
      <c r="AH310" s="162">
        <v>1.15828</v>
      </c>
      <c r="AI310" s="162">
        <v>1.2001200000000001</v>
      </c>
      <c r="AJ310" s="162">
        <v>1.24196</v>
      </c>
      <c r="AK310" s="162">
        <v>1.2838000000000001</v>
      </c>
      <c r="AL310" s="162">
        <v>1.3025800000000001</v>
      </c>
      <c r="AM310" s="162">
        <v>1.3213600000000001</v>
      </c>
      <c r="AN310" s="162">
        <v>1.3401400000000001</v>
      </c>
      <c r="AO310" s="162">
        <v>1.3589199999999999</v>
      </c>
      <c r="AP310" s="162">
        <v>1.3776999999999999</v>
      </c>
      <c r="AQ310" s="162">
        <v>1.3873</v>
      </c>
      <c r="AR310" s="162">
        <v>1.3969</v>
      </c>
      <c r="AS310" s="162">
        <v>1.4065000000000001</v>
      </c>
      <c r="AT310" s="162">
        <v>1.4160999999999999</v>
      </c>
      <c r="AU310" s="162">
        <v>1.4257</v>
      </c>
    </row>
    <row r="311" spans="1:47" ht="12.75" customHeight="1">
      <c r="A311" s="459">
        <v>43070</v>
      </c>
      <c r="B311" s="139">
        <v>48</v>
      </c>
      <c r="C311" s="162">
        <v>-0.35849999999999999</v>
      </c>
      <c r="D311" s="162">
        <v>-0.35849999999999999</v>
      </c>
      <c r="E311" s="162">
        <v>-0.35639999999999999</v>
      </c>
      <c r="F311" s="162">
        <v>-0.35560000000000003</v>
      </c>
      <c r="G311" s="162">
        <v>-0.35361999999999999</v>
      </c>
      <c r="H311" s="162">
        <v>-0.35730000000000001</v>
      </c>
      <c r="I311" s="162">
        <v>-0.35670000000000002</v>
      </c>
      <c r="J311" s="162">
        <v>-0.35555999999999999</v>
      </c>
      <c r="K311" s="162">
        <v>-0.35508000000000001</v>
      </c>
      <c r="L311" s="162">
        <v>-0.35546</v>
      </c>
      <c r="M311" s="162">
        <v>-0.35539999999999999</v>
      </c>
      <c r="N311" s="162">
        <v>-0.35442000000000001</v>
      </c>
      <c r="O311" s="162">
        <v>-0.35296</v>
      </c>
      <c r="P311" s="162">
        <v>-0.35333999999999999</v>
      </c>
      <c r="Q311" s="162">
        <v>-0.35298000000000002</v>
      </c>
      <c r="R311" s="162">
        <v>-0.34966000000000003</v>
      </c>
      <c r="S311" s="162">
        <v>-0.30687999999999999</v>
      </c>
      <c r="T311" s="162">
        <v>-0.21210000000000001</v>
      </c>
      <c r="U311" s="162">
        <v>-9.6799999999999997E-2</v>
      </c>
      <c r="V311" s="162">
        <v>2.2499999999999999E-2</v>
      </c>
      <c r="W311" s="162">
        <v>0.14766000000000001</v>
      </c>
      <c r="X311" s="162">
        <v>0.26416000000000001</v>
      </c>
      <c r="Y311" s="162">
        <v>0.38440000000000002</v>
      </c>
      <c r="Z311" s="162">
        <v>0.50326000000000004</v>
      </c>
      <c r="AA311" s="162">
        <v>0.61399999999999999</v>
      </c>
      <c r="AB311" s="162">
        <v>0.71509999999999996</v>
      </c>
      <c r="AC311" s="162">
        <v>0.80669999999999997</v>
      </c>
      <c r="AD311" s="162">
        <v>0.88770000000000004</v>
      </c>
      <c r="AE311" s="162">
        <v>0.96016000000000001</v>
      </c>
      <c r="AF311" s="162">
        <v>1.0271999999999999</v>
      </c>
      <c r="AG311" s="162">
        <v>1.0662799999999999</v>
      </c>
      <c r="AH311" s="162">
        <v>1.1053599999999999</v>
      </c>
      <c r="AI311" s="162">
        <v>1.1444399999999999</v>
      </c>
      <c r="AJ311" s="162">
        <v>1.1835199999999999</v>
      </c>
      <c r="AK311" s="162">
        <v>1.2225999999999999</v>
      </c>
      <c r="AL311" s="162">
        <v>1.2401800000000001</v>
      </c>
      <c r="AM311" s="162">
        <v>1.25776</v>
      </c>
      <c r="AN311" s="162">
        <v>1.2753399999999999</v>
      </c>
      <c r="AO311" s="162">
        <v>1.2929200000000001</v>
      </c>
      <c r="AP311" s="162">
        <v>1.3105</v>
      </c>
      <c r="AQ311" s="162">
        <v>1.3195920000000001</v>
      </c>
      <c r="AR311" s="162">
        <v>1.328684</v>
      </c>
      <c r="AS311" s="162">
        <v>1.3377760000000001</v>
      </c>
      <c r="AT311" s="162">
        <v>1.346868</v>
      </c>
      <c r="AU311" s="162">
        <v>1.3559600000000001</v>
      </c>
    </row>
    <row r="312" spans="1:47" ht="12.75" customHeight="1">
      <c r="A312" s="459">
        <v>43077</v>
      </c>
      <c r="B312" s="139">
        <v>49</v>
      </c>
      <c r="C312" s="162">
        <v>-0.31724999999999998</v>
      </c>
      <c r="D312" s="162">
        <v>-0.31724999999999998</v>
      </c>
      <c r="E312" s="162">
        <v>-0.34899999999999998</v>
      </c>
      <c r="F312" s="162">
        <v>-0.34920000000000001</v>
      </c>
      <c r="G312" s="162">
        <v>-0.34788000000000002</v>
      </c>
      <c r="H312" s="162">
        <v>-0.34932000000000002</v>
      </c>
      <c r="I312" s="162">
        <v>-0.34948000000000001</v>
      </c>
      <c r="J312" s="162">
        <v>-0.34861999999999999</v>
      </c>
      <c r="K312" s="162">
        <v>-0.34854000000000002</v>
      </c>
      <c r="L312" s="162">
        <v>-0.34817999999999999</v>
      </c>
      <c r="M312" s="162">
        <v>-0.34805999999999998</v>
      </c>
      <c r="N312" s="162">
        <v>-0.34683999999999998</v>
      </c>
      <c r="O312" s="162">
        <v>-0.34623999999999999</v>
      </c>
      <c r="P312" s="162">
        <v>-0.34683999999999998</v>
      </c>
      <c r="Q312" s="162">
        <v>-0.3458</v>
      </c>
      <c r="R312" s="162">
        <v>-0.34671999999999997</v>
      </c>
      <c r="S312" s="162">
        <v>-0.29470000000000002</v>
      </c>
      <c r="T312" s="162">
        <v>-0.19306000000000001</v>
      </c>
      <c r="U312" s="162">
        <v>-7.6300000000000007E-2</v>
      </c>
      <c r="V312" s="162">
        <v>4.1459999999999997E-2</v>
      </c>
      <c r="W312" s="162">
        <v>0.16250000000000001</v>
      </c>
      <c r="X312" s="162">
        <v>0.28060000000000002</v>
      </c>
      <c r="Y312" s="162">
        <v>0.39826</v>
      </c>
      <c r="Z312" s="162">
        <v>0.51375999999999999</v>
      </c>
      <c r="AA312" s="162">
        <v>0.62185999999999997</v>
      </c>
      <c r="AB312" s="162">
        <v>0.72130000000000005</v>
      </c>
      <c r="AC312" s="162">
        <v>0.8105</v>
      </c>
      <c r="AD312" s="162">
        <v>0.88995999999999997</v>
      </c>
      <c r="AE312" s="162">
        <v>0.96050000000000002</v>
      </c>
      <c r="AF312" s="162">
        <v>1.02556</v>
      </c>
      <c r="AG312" s="162">
        <v>1.06446</v>
      </c>
      <c r="AH312" s="162">
        <v>1.1033599999999999</v>
      </c>
      <c r="AI312" s="162">
        <v>1.1422600000000001</v>
      </c>
      <c r="AJ312" s="162">
        <v>1.18116</v>
      </c>
      <c r="AK312" s="162">
        <v>1.2200599999999999</v>
      </c>
      <c r="AL312" s="162">
        <v>1.237468</v>
      </c>
      <c r="AM312" s="162">
        <v>1.2548760000000001</v>
      </c>
      <c r="AN312" s="162">
        <v>1.272284</v>
      </c>
      <c r="AO312" s="162">
        <v>1.2896920000000001</v>
      </c>
      <c r="AP312" s="162">
        <v>1.3070999999999999</v>
      </c>
      <c r="AQ312" s="162">
        <v>1.3161119999999999</v>
      </c>
      <c r="AR312" s="162">
        <v>1.325124</v>
      </c>
      <c r="AS312" s="162">
        <v>1.334136</v>
      </c>
      <c r="AT312" s="162">
        <v>1.343148</v>
      </c>
      <c r="AU312" s="162">
        <v>1.35216</v>
      </c>
    </row>
    <row r="313" spans="1:47" ht="12.75" customHeight="1">
      <c r="A313" s="459">
        <v>43084</v>
      </c>
      <c r="B313" s="139">
        <v>50</v>
      </c>
      <c r="C313" s="162">
        <v>-0.32400000000000001</v>
      </c>
      <c r="D313" s="162">
        <v>-0.32400000000000001</v>
      </c>
      <c r="E313" s="162">
        <v>-0.32673999999999997</v>
      </c>
      <c r="F313" s="162">
        <v>-0.32988000000000001</v>
      </c>
      <c r="G313" s="162">
        <v>-0.32979999999999998</v>
      </c>
      <c r="H313" s="162">
        <v>-0.33560000000000001</v>
      </c>
      <c r="I313" s="162">
        <v>-0.33745999999999998</v>
      </c>
      <c r="J313" s="162">
        <v>-0.33844000000000002</v>
      </c>
      <c r="K313" s="162">
        <v>-0.34032000000000001</v>
      </c>
      <c r="L313" s="162">
        <v>-0.34042</v>
      </c>
      <c r="M313" s="162">
        <v>-0.34110000000000001</v>
      </c>
      <c r="N313" s="162">
        <v>-0.34298000000000001</v>
      </c>
      <c r="O313" s="162">
        <v>-0.34372000000000003</v>
      </c>
      <c r="P313" s="162">
        <v>-0.34305999999999998</v>
      </c>
      <c r="Q313" s="162">
        <v>-0.34445999999999999</v>
      </c>
      <c r="R313" s="162">
        <v>-0.34449999999999997</v>
      </c>
      <c r="S313" s="162">
        <v>-0.30009999999999998</v>
      </c>
      <c r="T313" s="162">
        <v>-0.20246</v>
      </c>
      <c r="U313" s="162">
        <v>-9.0560000000000002E-2</v>
      </c>
      <c r="V313" s="162">
        <v>2.4199999999999999E-2</v>
      </c>
      <c r="W313" s="162">
        <v>0.13950000000000001</v>
      </c>
      <c r="X313" s="162">
        <v>0.26219999999999999</v>
      </c>
      <c r="Y313" s="162">
        <v>0.37819999999999998</v>
      </c>
      <c r="Z313" s="162">
        <v>0.4919</v>
      </c>
      <c r="AA313" s="162">
        <v>0.59770000000000001</v>
      </c>
      <c r="AB313" s="162">
        <v>0.69389999999999996</v>
      </c>
      <c r="AC313" s="162">
        <v>0.78095999999999999</v>
      </c>
      <c r="AD313" s="162">
        <v>0.85880000000000001</v>
      </c>
      <c r="AE313" s="162">
        <v>0.9274</v>
      </c>
      <c r="AF313" s="162">
        <v>0.98695999999999995</v>
      </c>
      <c r="AG313" s="162">
        <v>1.025048</v>
      </c>
      <c r="AH313" s="162">
        <v>1.0631360000000001</v>
      </c>
      <c r="AI313" s="162">
        <v>1.101224</v>
      </c>
      <c r="AJ313" s="162">
        <v>1.1393120000000001</v>
      </c>
      <c r="AK313" s="162">
        <v>1.1774</v>
      </c>
      <c r="AL313" s="162">
        <v>1.194</v>
      </c>
      <c r="AM313" s="162">
        <v>1.2105999999999999</v>
      </c>
      <c r="AN313" s="162">
        <v>1.2272000000000001</v>
      </c>
      <c r="AO313" s="162">
        <v>1.2438</v>
      </c>
      <c r="AP313" s="162">
        <v>1.2604</v>
      </c>
      <c r="AQ313" s="162">
        <v>1.2686999999999999</v>
      </c>
      <c r="AR313" s="162">
        <v>1.2769999999999999</v>
      </c>
      <c r="AS313" s="162">
        <v>1.2853000000000001</v>
      </c>
      <c r="AT313" s="162">
        <v>1.2936000000000001</v>
      </c>
      <c r="AU313" s="162">
        <v>1.3019000000000001</v>
      </c>
    </row>
    <row r="314" spans="1:47" ht="12.75" customHeight="1">
      <c r="A314" s="459">
        <v>43091</v>
      </c>
      <c r="B314" s="139">
        <v>51</v>
      </c>
      <c r="C314" s="162">
        <v>-0.34925</v>
      </c>
      <c r="D314" s="162">
        <v>-0.34925</v>
      </c>
      <c r="E314" s="162">
        <v>-0.33744000000000002</v>
      </c>
      <c r="F314" s="162">
        <v>-0.33522000000000002</v>
      </c>
      <c r="G314" s="162">
        <v>-0.33473999999999998</v>
      </c>
      <c r="H314" s="162">
        <v>-0.33885999999999999</v>
      </c>
      <c r="I314" s="162">
        <v>-0.33961999999999998</v>
      </c>
      <c r="J314" s="162">
        <v>-0.34104000000000001</v>
      </c>
      <c r="K314" s="162">
        <v>-0.34198000000000001</v>
      </c>
      <c r="L314" s="162">
        <v>-0.34398000000000001</v>
      </c>
      <c r="M314" s="162">
        <v>-0.34411999999999998</v>
      </c>
      <c r="N314" s="162">
        <v>-0.34376000000000001</v>
      </c>
      <c r="O314" s="162">
        <v>-0.34449999999999997</v>
      </c>
      <c r="P314" s="162">
        <v>-0.34461999999999998</v>
      </c>
      <c r="Q314" s="162">
        <v>-0.34477999999999998</v>
      </c>
      <c r="R314" s="162">
        <v>-0.34489999999999998</v>
      </c>
      <c r="S314" s="162">
        <v>-0.29714000000000002</v>
      </c>
      <c r="T314" s="162">
        <v>-0.19572000000000001</v>
      </c>
      <c r="U314" s="162">
        <v>-8.2100000000000006E-2</v>
      </c>
      <c r="V314" s="162">
        <v>3.5560000000000001E-2</v>
      </c>
      <c r="W314" s="162">
        <v>0.15770000000000001</v>
      </c>
      <c r="X314" s="162">
        <v>0.26979999999999998</v>
      </c>
      <c r="Y314" s="162">
        <v>0.3836</v>
      </c>
      <c r="Z314" s="162">
        <v>0.49440000000000001</v>
      </c>
      <c r="AA314" s="162">
        <v>0.5978</v>
      </c>
      <c r="AB314" s="162">
        <v>0.69299999999999995</v>
      </c>
      <c r="AC314" s="162">
        <v>0.77925999999999995</v>
      </c>
      <c r="AD314" s="162">
        <v>0.85580000000000001</v>
      </c>
      <c r="AE314" s="162">
        <v>0.92320000000000002</v>
      </c>
      <c r="AF314" s="162">
        <v>0.9859</v>
      </c>
      <c r="AG314" s="162">
        <v>1.0229999999999999</v>
      </c>
      <c r="AH314" s="162">
        <v>1.0601</v>
      </c>
      <c r="AI314" s="162">
        <v>1.0972</v>
      </c>
      <c r="AJ314" s="162">
        <v>1.1343000000000001</v>
      </c>
      <c r="AK314" s="162">
        <v>1.1714</v>
      </c>
      <c r="AL314" s="162">
        <v>1.1875199999999999</v>
      </c>
      <c r="AM314" s="162">
        <v>1.20364</v>
      </c>
      <c r="AN314" s="162">
        <v>1.21976</v>
      </c>
      <c r="AO314" s="162">
        <v>1.2358800000000001</v>
      </c>
      <c r="AP314" s="162">
        <v>1.252</v>
      </c>
      <c r="AQ314" s="162">
        <v>1.25956</v>
      </c>
      <c r="AR314" s="162">
        <v>1.26712</v>
      </c>
      <c r="AS314" s="162">
        <v>1.27468</v>
      </c>
      <c r="AT314" s="162">
        <v>1.28224</v>
      </c>
      <c r="AU314" s="162">
        <v>1.2898000000000001</v>
      </c>
    </row>
    <row r="315" spans="1:47" ht="12.75" customHeight="1">
      <c r="A315" s="459">
        <v>43098</v>
      </c>
      <c r="B315" s="139">
        <v>52</v>
      </c>
      <c r="C315" s="162">
        <v>-0.35399999999999998</v>
      </c>
      <c r="D315" s="162">
        <v>-0.35399999999999998</v>
      </c>
      <c r="E315" s="162">
        <v>-0.34001999999999999</v>
      </c>
      <c r="F315" s="162">
        <v>-0.33835999999999999</v>
      </c>
      <c r="G315" s="162">
        <v>-0.34042</v>
      </c>
      <c r="H315" s="162">
        <v>-0.34667999999999999</v>
      </c>
      <c r="I315" s="162">
        <v>-0.3463</v>
      </c>
      <c r="J315" s="162">
        <v>-0.34560000000000002</v>
      </c>
      <c r="K315" s="162">
        <v>-0.34942000000000001</v>
      </c>
      <c r="L315" s="162">
        <v>-0.34917999999999999</v>
      </c>
      <c r="M315" s="162">
        <v>-0.34866000000000003</v>
      </c>
      <c r="N315" s="162">
        <v>-0.34816000000000003</v>
      </c>
      <c r="O315" s="162">
        <v>-0.34844000000000003</v>
      </c>
      <c r="P315" s="162">
        <v>-0.34567999999999999</v>
      </c>
      <c r="Q315" s="162">
        <v>-0.34514</v>
      </c>
      <c r="R315" s="162">
        <v>-0.34320000000000001</v>
      </c>
      <c r="S315" s="162">
        <v>-0.27548</v>
      </c>
      <c r="T315" s="162">
        <v>-0.15240000000000001</v>
      </c>
      <c r="U315" s="162">
        <v>-1.9199999999999998E-2</v>
      </c>
      <c r="V315" s="162">
        <v>0.10730000000000001</v>
      </c>
      <c r="W315" s="162">
        <v>0.22500000000000001</v>
      </c>
      <c r="X315" s="162">
        <v>0.34405999999999998</v>
      </c>
      <c r="Y315" s="162">
        <v>0.45706000000000002</v>
      </c>
      <c r="Z315" s="162">
        <v>0.56579999999999997</v>
      </c>
      <c r="AA315" s="162">
        <v>0.66690000000000005</v>
      </c>
      <c r="AB315" s="162">
        <v>0.76119999999999999</v>
      </c>
      <c r="AC315" s="162">
        <v>0.8458</v>
      </c>
      <c r="AD315" s="162">
        <v>0.92220000000000002</v>
      </c>
      <c r="AE315" s="162">
        <v>0.98899999999999999</v>
      </c>
      <c r="AF315" s="162">
        <v>1.0466599999999999</v>
      </c>
      <c r="AG315" s="162">
        <v>1.0834280000000001</v>
      </c>
      <c r="AH315" s="162">
        <v>1.120196</v>
      </c>
      <c r="AI315" s="162">
        <v>1.1569640000000001</v>
      </c>
      <c r="AJ315" s="162">
        <v>1.193732</v>
      </c>
      <c r="AK315" s="162">
        <v>1.2304999999999999</v>
      </c>
      <c r="AL315" s="162">
        <v>1.2456719999999999</v>
      </c>
      <c r="AM315" s="162">
        <v>1.2608440000000001</v>
      </c>
      <c r="AN315" s="162">
        <v>1.276016</v>
      </c>
      <c r="AO315" s="162">
        <v>1.291188</v>
      </c>
      <c r="AP315" s="162">
        <v>1.30636</v>
      </c>
      <c r="AQ315" s="162">
        <v>1.3132600000000001</v>
      </c>
      <c r="AR315" s="162">
        <v>1.32016</v>
      </c>
      <c r="AS315" s="162">
        <v>1.3270599999999999</v>
      </c>
      <c r="AT315" s="162">
        <v>1.33396</v>
      </c>
      <c r="AU315" s="162">
        <v>1.3408599999999999</v>
      </c>
    </row>
    <row r="316" spans="1:47" ht="12.75" customHeight="1">
      <c r="A316" s="459">
        <v>43105</v>
      </c>
      <c r="B316" s="139">
        <v>1</v>
      </c>
      <c r="C316" s="162">
        <v>-0.35599999999999998</v>
      </c>
      <c r="D316" s="162">
        <v>-0.35599999999999998</v>
      </c>
      <c r="E316" s="162">
        <v>-0.33285999999999999</v>
      </c>
      <c r="F316" s="162">
        <v>-0.33905999999999997</v>
      </c>
      <c r="G316" s="162">
        <v>-0.34095999999999999</v>
      </c>
      <c r="H316" s="162">
        <v>-0.34201999999999999</v>
      </c>
      <c r="I316" s="162">
        <v>-0.36226667000000001</v>
      </c>
      <c r="J316" s="162">
        <v>-0.34483999999999998</v>
      </c>
      <c r="K316" s="162">
        <v>-0.34179999999999999</v>
      </c>
      <c r="L316" s="162">
        <v>-0.34183999999999998</v>
      </c>
      <c r="M316" s="162">
        <v>-0.34583999999999998</v>
      </c>
      <c r="N316" s="162">
        <v>-0.34345999999999999</v>
      </c>
      <c r="O316" s="162">
        <v>-0.34223999999999999</v>
      </c>
      <c r="P316" s="162">
        <v>-0.34029999999999999</v>
      </c>
      <c r="Q316" s="162">
        <v>-0.33879999999999999</v>
      </c>
      <c r="R316" s="162">
        <v>-0.33460000000000001</v>
      </c>
      <c r="S316" s="162">
        <v>-0.25744</v>
      </c>
      <c r="T316" s="162">
        <v>-0.11874</v>
      </c>
      <c r="U316" s="162">
        <v>1.66E-2</v>
      </c>
      <c r="V316" s="162">
        <v>0.14524999999999999</v>
      </c>
      <c r="W316" s="162">
        <v>0.2666</v>
      </c>
      <c r="X316" s="162">
        <v>0.37940000000000002</v>
      </c>
      <c r="Y316" s="162">
        <v>0.48920000000000002</v>
      </c>
      <c r="Z316" s="162">
        <v>0.59409999999999996</v>
      </c>
      <c r="AA316" s="162">
        <v>0.69310000000000005</v>
      </c>
      <c r="AB316" s="162">
        <v>0.78539999999999999</v>
      </c>
      <c r="AC316" s="162">
        <v>0.86829999999999996</v>
      </c>
      <c r="AD316" s="162">
        <v>0.94689999999999996</v>
      </c>
      <c r="AE316" s="162">
        <v>1.0125999999999999</v>
      </c>
      <c r="AF316" s="162">
        <v>1.0669</v>
      </c>
      <c r="AG316" s="162">
        <v>1.10318</v>
      </c>
      <c r="AH316" s="162">
        <v>1.1394599999999999</v>
      </c>
      <c r="AI316" s="162">
        <v>1.17574</v>
      </c>
      <c r="AJ316" s="162">
        <v>1.2120200000000001</v>
      </c>
      <c r="AK316" s="162">
        <v>1.2483</v>
      </c>
      <c r="AL316" s="162">
        <v>1.26352</v>
      </c>
      <c r="AM316" s="162">
        <v>1.27874</v>
      </c>
      <c r="AN316" s="162">
        <v>1.29396</v>
      </c>
      <c r="AO316" s="162">
        <v>1.30918</v>
      </c>
      <c r="AP316" s="162">
        <v>1.3244</v>
      </c>
      <c r="AQ316" s="162">
        <v>1.3310200000000001</v>
      </c>
      <c r="AR316" s="162">
        <v>1.3376399999999999</v>
      </c>
      <c r="AS316" s="162">
        <v>1.34426</v>
      </c>
      <c r="AT316" s="162">
        <v>1.3508800000000001</v>
      </c>
      <c r="AU316" s="162">
        <v>1.3574999999999999</v>
      </c>
    </row>
    <row r="317" spans="1:47" ht="12.75" customHeight="1">
      <c r="A317" s="459">
        <v>43112</v>
      </c>
      <c r="B317" s="139">
        <v>2</v>
      </c>
      <c r="C317" s="162">
        <v>-0.36066667000000002</v>
      </c>
      <c r="D317" s="162">
        <v>-0.36066667000000002</v>
      </c>
      <c r="E317" s="162">
        <v>-0.35099999999999998</v>
      </c>
      <c r="F317" s="162">
        <v>-0.35299999999999998</v>
      </c>
      <c r="G317" s="162">
        <v>-0.34620000000000001</v>
      </c>
      <c r="H317" s="162">
        <v>-0.34710000000000002</v>
      </c>
      <c r="I317" s="162">
        <v>-0.34073999999999999</v>
      </c>
      <c r="J317" s="162">
        <v>-0.34167999999999998</v>
      </c>
      <c r="K317" s="162">
        <v>-0.34605999999999998</v>
      </c>
      <c r="L317" s="162">
        <v>-0.33907999999999999</v>
      </c>
      <c r="M317" s="162">
        <v>-0.34404000000000001</v>
      </c>
      <c r="N317" s="162">
        <v>-0.34354000000000001</v>
      </c>
      <c r="O317" s="162">
        <v>-0.33860000000000001</v>
      </c>
      <c r="P317" s="162">
        <v>-0.33938000000000001</v>
      </c>
      <c r="Q317" s="162">
        <v>-0.33766000000000002</v>
      </c>
      <c r="R317" s="162">
        <v>-0.33173999999999998</v>
      </c>
      <c r="S317" s="162">
        <v>-0.25274000000000002</v>
      </c>
      <c r="T317" s="162">
        <v>-0.11854000000000001</v>
      </c>
      <c r="U317" s="162">
        <v>1.746E-2</v>
      </c>
      <c r="V317" s="162">
        <v>0.14319999999999999</v>
      </c>
      <c r="W317" s="162">
        <v>0.2666</v>
      </c>
      <c r="X317" s="162">
        <v>0.38240000000000002</v>
      </c>
      <c r="Y317" s="162">
        <v>0.49509999999999998</v>
      </c>
      <c r="Z317" s="162">
        <v>0.60255999999999998</v>
      </c>
      <c r="AA317" s="162">
        <v>0.70250000000000001</v>
      </c>
      <c r="AB317" s="162">
        <v>0.79476000000000002</v>
      </c>
      <c r="AC317" s="162">
        <v>0.87790000000000001</v>
      </c>
      <c r="AD317" s="162">
        <v>0.95106000000000002</v>
      </c>
      <c r="AE317" s="162">
        <v>1.0167600000000001</v>
      </c>
      <c r="AF317" s="162">
        <v>1.0771999999999999</v>
      </c>
      <c r="AG317" s="162">
        <v>1.1135520000000001</v>
      </c>
      <c r="AH317" s="162">
        <v>1.149904</v>
      </c>
      <c r="AI317" s="162">
        <v>1.186256</v>
      </c>
      <c r="AJ317" s="162">
        <v>1.2226079999999999</v>
      </c>
      <c r="AK317" s="162">
        <v>1.2589600000000001</v>
      </c>
      <c r="AL317" s="162">
        <v>1.274108</v>
      </c>
      <c r="AM317" s="162">
        <v>1.289256</v>
      </c>
      <c r="AN317" s="162">
        <v>1.3044039999999999</v>
      </c>
      <c r="AO317" s="162">
        <v>1.3195520000000001</v>
      </c>
      <c r="AP317" s="162">
        <v>1.3347</v>
      </c>
      <c r="AQ317" s="162">
        <v>1.34158</v>
      </c>
      <c r="AR317" s="162">
        <v>1.34846</v>
      </c>
      <c r="AS317" s="162">
        <v>1.35534</v>
      </c>
      <c r="AT317" s="162">
        <v>1.36222</v>
      </c>
      <c r="AU317" s="162">
        <v>1.3691</v>
      </c>
    </row>
    <row r="318" spans="1:47" ht="12.75" customHeight="1">
      <c r="A318" s="459">
        <v>43119</v>
      </c>
      <c r="B318" s="139">
        <v>3</v>
      </c>
      <c r="C318" s="162">
        <v>-0.36125000000000002</v>
      </c>
      <c r="D318" s="162">
        <v>-0.36125000000000002</v>
      </c>
      <c r="E318" s="162">
        <v>-0.3553</v>
      </c>
      <c r="F318" s="162">
        <v>-0.35236000000000001</v>
      </c>
      <c r="G318" s="162">
        <v>-0.34129999999999999</v>
      </c>
      <c r="H318" s="162">
        <v>-0.34294000000000002</v>
      </c>
      <c r="I318" s="162">
        <v>-0.34426000000000001</v>
      </c>
      <c r="J318" s="162">
        <v>-0.34498000000000001</v>
      </c>
      <c r="K318" s="162">
        <v>-0.34670000000000001</v>
      </c>
      <c r="L318" s="162">
        <v>-0.34358</v>
      </c>
      <c r="M318" s="162">
        <v>-0.34411999999999998</v>
      </c>
      <c r="N318" s="162">
        <v>-0.34232000000000001</v>
      </c>
      <c r="O318" s="162">
        <v>-0.34064</v>
      </c>
      <c r="P318" s="162">
        <v>-0.33833999999999997</v>
      </c>
      <c r="Q318" s="162">
        <v>-0.33585999999999999</v>
      </c>
      <c r="R318" s="162">
        <v>-0.32990000000000003</v>
      </c>
      <c r="S318" s="162">
        <v>-0.24456</v>
      </c>
      <c r="T318" s="162">
        <v>-0.10586</v>
      </c>
      <c r="U318" s="162">
        <v>3.7199999999999997E-2</v>
      </c>
      <c r="V318" s="162">
        <v>0.17249999999999999</v>
      </c>
      <c r="W318" s="162">
        <v>0.2969</v>
      </c>
      <c r="X318" s="162">
        <v>0.4153</v>
      </c>
      <c r="Y318" s="162">
        <v>0.52829999999999999</v>
      </c>
      <c r="Z318" s="162">
        <v>0.63649999999999995</v>
      </c>
      <c r="AA318" s="162">
        <v>0.73699999999999999</v>
      </c>
      <c r="AB318" s="162">
        <v>0.82899999999999996</v>
      </c>
      <c r="AC318" s="162">
        <v>0.91239999999999999</v>
      </c>
      <c r="AD318" s="162">
        <v>0.98675999999999997</v>
      </c>
      <c r="AE318" s="162">
        <v>1.0526599999999999</v>
      </c>
      <c r="AF318" s="162">
        <v>1.1095999999999999</v>
      </c>
      <c r="AG318" s="162">
        <v>1.1462399999999999</v>
      </c>
      <c r="AH318" s="162">
        <v>1.1828799999999999</v>
      </c>
      <c r="AI318" s="162">
        <v>1.2195199999999999</v>
      </c>
      <c r="AJ318" s="162">
        <v>1.2561599999999999</v>
      </c>
      <c r="AK318" s="162">
        <v>1.2927999999999999</v>
      </c>
      <c r="AL318" s="162">
        <v>1.3078399999999999</v>
      </c>
      <c r="AM318" s="162">
        <v>1.3228800000000001</v>
      </c>
      <c r="AN318" s="162">
        <v>1.33792</v>
      </c>
      <c r="AO318" s="162">
        <v>1.3529599999999999</v>
      </c>
      <c r="AP318" s="162">
        <v>1.3680000000000001</v>
      </c>
      <c r="AQ318" s="162">
        <v>1.3747799999999999</v>
      </c>
      <c r="AR318" s="162">
        <v>1.3815599999999999</v>
      </c>
      <c r="AS318" s="162">
        <v>1.3883399999999999</v>
      </c>
      <c r="AT318" s="162">
        <v>1.3951199999999999</v>
      </c>
      <c r="AU318" s="162">
        <v>1.4018999999999999</v>
      </c>
    </row>
    <row r="319" spans="1:47" ht="12.75" customHeight="1">
      <c r="A319" s="459">
        <v>43126</v>
      </c>
      <c r="B319" s="139">
        <v>4</v>
      </c>
      <c r="C319" s="162">
        <v>-0.36799999999999999</v>
      </c>
      <c r="D319" s="162">
        <v>-0.36799999999999999</v>
      </c>
      <c r="E319" s="162">
        <v>-0.35552</v>
      </c>
      <c r="F319" s="162">
        <v>-0.3553</v>
      </c>
      <c r="G319" s="162">
        <v>-0.34771999999999997</v>
      </c>
      <c r="H319" s="162">
        <v>-0.3468</v>
      </c>
      <c r="I319" s="162">
        <v>-0.34426000000000001</v>
      </c>
      <c r="J319" s="162">
        <v>-0.34536</v>
      </c>
      <c r="K319" s="162">
        <v>-0.34470000000000001</v>
      </c>
      <c r="L319" s="162">
        <v>-0.34454000000000001</v>
      </c>
      <c r="M319" s="162">
        <v>-0.34404000000000001</v>
      </c>
      <c r="N319" s="162">
        <v>-0.34200000000000003</v>
      </c>
      <c r="O319" s="162">
        <v>-0.33685999999999999</v>
      </c>
      <c r="P319" s="162">
        <v>-0.33866000000000002</v>
      </c>
      <c r="Q319" s="162">
        <v>-0.33626</v>
      </c>
      <c r="R319" s="162">
        <v>-0.3327</v>
      </c>
      <c r="S319" s="162">
        <v>-0.22978000000000001</v>
      </c>
      <c r="T319" s="162">
        <v>-7.5340000000000004E-2</v>
      </c>
      <c r="U319" s="162">
        <v>8.0299999999999996E-2</v>
      </c>
      <c r="V319" s="162">
        <v>0.22020000000000001</v>
      </c>
      <c r="W319" s="162">
        <v>0.34720000000000001</v>
      </c>
      <c r="X319" s="162">
        <v>0.4657</v>
      </c>
      <c r="Y319" s="162">
        <v>0.57750000000000001</v>
      </c>
      <c r="Z319" s="162">
        <v>0.68206</v>
      </c>
      <c r="AA319" s="162">
        <v>0.77839999999999998</v>
      </c>
      <c r="AB319" s="162">
        <v>0.86519999999999997</v>
      </c>
      <c r="AC319" s="162">
        <v>0.94435999999999998</v>
      </c>
      <c r="AD319" s="162">
        <v>1.0145999999999999</v>
      </c>
      <c r="AE319" s="162">
        <v>1.07666</v>
      </c>
      <c r="AF319" s="162">
        <v>1.1313</v>
      </c>
      <c r="AG319" s="162">
        <v>1.1657</v>
      </c>
      <c r="AH319" s="162">
        <v>1.2000999999999999</v>
      </c>
      <c r="AI319" s="162">
        <v>1.2344999999999999</v>
      </c>
      <c r="AJ319" s="162">
        <v>1.2688999999999999</v>
      </c>
      <c r="AK319" s="162">
        <v>1.3032999999999999</v>
      </c>
      <c r="AL319" s="162">
        <v>1.31714</v>
      </c>
      <c r="AM319" s="162">
        <v>1.3309800000000001</v>
      </c>
      <c r="AN319" s="162">
        <v>1.3448199999999999</v>
      </c>
      <c r="AO319" s="162">
        <v>1.35866</v>
      </c>
      <c r="AP319" s="162">
        <v>1.3725000000000001</v>
      </c>
      <c r="AQ319" s="162">
        <v>1.37798</v>
      </c>
      <c r="AR319" s="162">
        <v>1.3834599999999999</v>
      </c>
      <c r="AS319" s="162">
        <v>1.3889400000000001</v>
      </c>
      <c r="AT319" s="162">
        <v>1.39442</v>
      </c>
      <c r="AU319" s="162">
        <v>1.3998999999999999</v>
      </c>
    </row>
    <row r="320" spans="1:47" ht="12.75" customHeight="1">
      <c r="A320" s="459">
        <v>43133</v>
      </c>
      <c r="B320" s="139">
        <v>5</v>
      </c>
      <c r="C320" s="162">
        <v>-0.36299999999999999</v>
      </c>
      <c r="D320" s="162">
        <v>-0.36299999999999999</v>
      </c>
      <c r="E320" s="162">
        <v>-0.35496</v>
      </c>
      <c r="F320" s="162">
        <v>-0.35343999999999998</v>
      </c>
      <c r="G320" s="162">
        <v>-0.35086000000000001</v>
      </c>
      <c r="H320" s="162">
        <v>-0.34714</v>
      </c>
      <c r="I320" s="162">
        <v>-0.35121999999999998</v>
      </c>
      <c r="J320" s="162">
        <v>-0.34623999999999999</v>
      </c>
      <c r="K320" s="162">
        <v>-0.34189999999999998</v>
      </c>
      <c r="L320" s="162">
        <v>-0.34511999999999998</v>
      </c>
      <c r="M320" s="162">
        <v>-0.34733999999999998</v>
      </c>
      <c r="N320" s="162">
        <v>-0.34617999999999999</v>
      </c>
      <c r="O320" s="162">
        <v>-0.34088000000000002</v>
      </c>
      <c r="P320" s="162">
        <v>-0.34251999999999999</v>
      </c>
      <c r="Q320" s="162">
        <v>-0.34173999999999999</v>
      </c>
      <c r="R320" s="162">
        <v>-0.3367</v>
      </c>
      <c r="S320" s="162">
        <v>-0.23480000000000001</v>
      </c>
      <c r="T320" s="162">
        <v>-7.1379999999999999E-2</v>
      </c>
      <c r="U320" s="162">
        <v>9.1399999999999995E-2</v>
      </c>
      <c r="V320" s="162">
        <v>0.2402</v>
      </c>
      <c r="W320" s="162">
        <v>0.37280000000000002</v>
      </c>
      <c r="X320" s="162">
        <v>0.48949999999999999</v>
      </c>
      <c r="Y320" s="162">
        <v>0.60040000000000004</v>
      </c>
      <c r="Z320" s="162">
        <v>0.70369999999999999</v>
      </c>
      <c r="AA320" s="162">
        <v>0.7984</v>
      </c>
      <c r="AB320" s="162">
        <v>0.88460000000000005</v>
      </c>
      <c r="AC320" s="162">
        <v>0.96289999999999998</v>
      </c>
      <c r="AD320" s="162">
        <v>1.0319</v>
      </c>
      <c r="AE320" s="162">
        <v>1.0926</v>
      </c>
      <c r="AF320" s="162">
        <v>1.14836</v>
      </c>
      <c r="AG320" s="162">
        <v>1.181748</v>
      </c>
      <c r="AH320" s="162">
        <v>1.215136</v>
      </c>
      <c r="AI320" s="162">
        <v>1.248524</v>
      </c>
      <c r="AJ320" s="162">
        <v>1.2819119999999999</v>
      </c>
      <c r="AK320" s="162">
        <v>1.3152999999999999</v>
      </c>
      <c r="AL320" s="162">
        <v>1.3282</v>
      </c>
      <c r="AM320" s="162">
        <v>1.3411</v>
      </c>
      <c r="AN320" s="162">
        <v>1.3540000000000001</v>
      </c>
      <c r="AO320" s="162">
        <v>1.3669</v>
      </c>
      <c r="AP320" s="162">
        <v>1.3797999999999999</v>
      </c>
      <c r="AQ320" s="162">
        <v>1.38472</v>
      </c>
      <c r="AR320" s="162">
        <v>1.38964</v>
      </c>
      <c r="AS320" s="162">
        <v>1.39456</v>
      </c>
      <c r="AT320" s="162">
        <v>1.3994800000000001</v>
      </c>
      <c r="AU320" s="162">
        <v>1.4044000000000001</v>
      </c>
    </row>
    <row r="321" spans="1:47" ht="12.75" customHeight="1">
      <c r="A321" s="459">
        <v>43140</v>
      </c>
      <c r="B321" s="139">
        <v>6</v>
      </c>
      <c r="C321" s="162">
        <v>-0.36049999999999999</v>
      </c>
      <c r="D321" s="162">
        <v>-0.36049999999999999</v>
      </c>
      <c r="E321" s="162">
        <v>-0.35410000000000003</v>
      </c>
      <c r="F321" s="162">
        <v>-0.35436000000000001</v>
      </c>
      <c r="G321" s="162">
        <v>-0.34905999999999998</v>
      </c>
      <c r="H321" s="162">
        <v>-0.34292</v>
      </c>
      <c r="I321" s="162">
        <v>-0.3448</v>
      </c>
      <c r="J321" s="162">
        <v>-0.34644000000000003</v>
      </c>
      <c r="K321" s="162">
        <v>-0.34689999999999999</v>
      </c>
      <c r="L321" s="162">
        <v>-0.34399999999999997</v>
      </c>
      <c r="M321" s="162">
        <v>-0.34811999999999999</v>
      </c>
      <c r="N321" s="162">
        <v>-0.34752</v>
      </c>
      <c r="O321" s="162">
        <v>-0.34638000000000002</v>
      </c>
      <c r="P321" s="162">
        <v>-0.34564</v>
      </c>
      <c r="Q321" s="162">
        <v>-0.34355999999999998</v>
      </c>
      <c r="R321" s="162">
        <v>-0.33973999999999999</v>
      </c>
      <c r="S321" s="162">
        <v>-0.2228</v>
      </c>
      <c r="T321" s="162">
        <v>-3.5060000000000001E-2</v>
      </c>
      <c r="U321" s="162">
        <v>0.15745999999999999</v>
      </c>
      <c r="V321" s="162">
        <v>0.32635999999999998</v>
      </c>
      <c r="W321" s="162">
        <v>0.46811999999999998</v>
      </c>
      <c r="X321" s="162">
        <v>0.59799999999999998</v>
      </c>
      <c r="Y321" s="162">
        <v>0.71199999999999997</v>
      </c>
      <c r="Z321" s="162">
        <v>0.81540000000000001</v>
      </c>
      <c r="AA321" s="162">
        <v>0.9083</v>
      </c>
      <c r="AB321" s="162">
        <v>0.98980000000000001</v>
      </c>
      <c r="AC321" s="162">
        <v>1.06176</v>
      </c>
      <c r="AD321" s="162">
        <v>1.12636</v>
      </c>
      <c r="AE321" s="162">
        <v>1.1826000000000001</v>
      </c>
      <c r="AF321" s="162">
        <v>1.2276</v>
      </c>
      <c r="AG321" s="162">
        <v>1.2586919999999999</v>
      </c>
      <c r="AH321" s="162">
        <v>1.289784</v>
      </c>
      <c r="AI321" s="162">
        <v>1.3208759999999999</v>
      </c>
      <c r="AJ321" s="162">
        <v>1.3519680000000001</v>
      </c>
      <c r="AK321" s="162">
        <v>1.38306</v>
      </c>
      <c r="AL321" s="162">
        <v>1.3934880000000001</v>
      </c>
      <c r="AM321" s="162">
        <v>1.4039159999999999</v>
      </c>
      <c r="AN321" s="162">
        <v>1.414344</v>
      </c>
      <c r="AO321" s="162">
        <v>1.4247719999999999</v>
      </c>
      <c r="AP321" s="162">
        <v>1.4352</v>
      </c>
      <c r="AQ321" s="162">
        <v>1.438472</v>
      </c>
      <c r="AR321" s="162">
        <v>1.4417439999999999</v>
      </c>
      <c r="AS321" s="162">
        <v>1.4450160000000001</v>
      </c>
      <c r="AT321" s="162">
        <v>1.448288</v>
      </c>
      <c r="AU321" s="162">
        <v>1.45156</v>
      </c>
    </row>
    <row r="322" spans="1:47" ht="12.75" customHeight="1">
      <c r="A322" s="459">
        <v>43147</v>
      </c>
      <c r="B322" s="139">
        <v>7</v>
      </c>
      <c r="C322" s="162">
        <v>-0.36525000000000002</v>
      </c>
      <c r="D322" s="162">
        <v>-0.36525000000000002</v>
      </c>
      <c r="E322" s="162">
        <v>-0.35899999999999999</v>
      </c>
      <c r="F322" s="162">
        <v>-0.35880000000000001</v>
      </c>
      <c r="G322" s="162">
        <v>-0.35199999999999998</v>
      </c>
      <c r="H322" s="162">
        <v>-0.35614000000000001</v>
      </c>
      <c r="I322" s="162">
        <v>-0.35417999999999999</v>
      </c>
      <c r="J322" s="162">
        <v>-0.35461999999999999</v>
      </c>
      <c r="K322" s="162">
        <v>-0.35346</v>
      </c>
      <c r="L322" s="162">
        <v>-0.34764</v>
      </c>
      <c r="M322" s="162">
        <v>-0.35120000000000001</v>
      </c>
      <c r="N322" s="162">
        <v>-0.35042000000000001</v>
      </c>
      <c r="O322" s="162">
        <v>-0.35033999999999998</v>
      </c>
      <c r="P322" s="162">
        <v>-0.34711999999999998</v>
      </c>
      <c r="Q322" s="162">
        <v>-0.34692000000000001</v>
      </c>
      <c r="R322" s="162">
        <v>-0.34300000000000003</v>
      </c>
      <c r="S322" s="162">
        <v>-0.22914000000000001</v>
      </c>
      <c r="T322" s="162">
        <v>-4.224E-2</v>
      </c>
      <c r="U322" s="162">
        <v>0.14710000000000001</v>
      </c>
      <c r="V322" s="162">
        <v>0.31850000000000001</v>
      </c>
      <c r="W322" s="162">
        <v>0.47460000000000002</v>
      </c>
      <c r="X322" s="162">
        <v>0.60655999999999999</v>
      </c>
      <c r="Y322" s="162">
        <v>0.72606000000000004</v>
      </c>
      <c r="Z322" s="162">
        <v>0.83409999999999995</v>
      </c>
      <c r="AA322" s="162">
        <v>0.9294</v>
      </c>
      <c r="AB322" s="162">
        <v>1.0127999999999999</v>
      </c>
      <c r="AC322" s="162">
        <v>1.0864</v>
      </c>
      <c r="AD322" s="162">
        <v>1.1506000000000001</v>
      </c>
      <c r="AE322" s="162">
        <v>1.2070000000000001</v>
      </c>
      <c r="AF322" s="162">
        <v>1.25936</v>
      </c>
      <c r="AG322" s="162">
        <v>1.2882400000000001</v>
      </c>
      <c r="AH322" s="162">
        <v>1.3171200000000001</v>
      </c>
      <c r="AI322" s="162">
        <v>1.3460000000000001</v>
      </c>
      <c r="AJ322" s="162">
        <v>1.3748800000000001</v>
      </c>
      <c r="AK322" s="162">
        <v>1.4037599999999999</v>
      </c>
      <c r="AL322" s="162">
        <v>1.413888</v>
      </c>
      <c r="AM322" s="162">
        <v>1.4240159999999999</v>
      </c>
      <c r="AN322" s="162">
        <v>1.4341440000000001</v>
      </c>
      <c r="AO322" s="162">
        <v>1.444272</v>
      </c>
      <c r="AP322" s="162">
        <v>1.4543999999999999</v>
      </c>
      <c r="AQ322" s="162">
        <v>1.4569399999999999</v>
      </c>
      <c r="AR322" s="162">
        <v>1.4594800000000001</v>
      </c>
      <c r="AS322" s="162">
        <v>1.4620200000000001</v>
      </c>
      <c r="AT322" s="162">
        <v>1.4645600000000001</v>
      </c>
      <c r="AU322" s="162">
        <v>1.4671000000000001</v>
      </c>
    </row>
    <row r="323" spans="1:47" ht="12.75" customHeight="1">
      <c r="A323" s="459">
        <v>43154</v>
      </c>
      <c r="B323" s="139">
        <v>8</v>
      </c>
      <c r="C323" s="162">
        <v>-0.36299999999999999</v>
      </c>
      <c r="D323" s="162">
        <v>-0.36299999999999999</v>
      </c>
      <c r="E323" s="162">
        <v>-0.35899999999999999</v>
      </c>
      <c r="F323" s="162">
        <v>-0.35920000000000002</v>
      </c>
      <c r="G323" s="162">
        <v>-0.35298000000000002</v>
      </c>
      <c r="H323" s="162">
        <v>-0.35539999999999999</v>
      </c>
      <c r="I323" s="162">
        <v>-0.35646</v>
      </c>
      <c r="J323" s="162">
        <v>-0.35471999999999998</v>
      </c>
      <c r="K323" s="162">
        <v>-0.35338000000000003</v>
      </c>
      <c r="L323" s="162">
        <v>-0.35383999999999999</v>
      </c>
      <c r="M323" s="162">
        <v>-0.35315999999999997</v>
      </c>
      <c r="N323" s="162">
        <v>-0.35258</v>
      </c>
      <c r="O323" s="162">
        <v>-0.35105999999999998</v>
      </c>
      <c r="P323" s="162">
        <v>-0.34899999999999998</v>
      </c>
      <c r="Q323" s="162">
        <v>-0.34752</v>
      </c>
      <c r="R323" s="162">
        <v>-0.34360000000000002</v>
      </c>
      <c r="S323" s="162">
        <v>-0.23208000000000001</v>
      </c>
      <c r="T323" s="162">
        <v>-4.3299999999999998E-2</v>
      </c>
      <c r="U323" s="162">
        <v>0.15140000000000001</v>
      </c>
      <c r="V323" s="162">
        <v>0.33229999999999998</v>
      </c>
      <c r="W323" s="162">
        <v>0.49175999999999997</v>
      </c>
      <c r="X323" s="162">
        <v>0.63480000000000003</v>
      </c>
      <c r="Y323" s="162">
        <v>0.76029999999999998</v>
      </c>
      <c r="Z323" s="162">
        <v>0.87139999999999995</v>
      </c>
      <c r="AA323" s="162">
        <v>0.96899999999999997</v>
      </c>
      <c r="AB323" s="162">
        <v>1.0549999999999999</v>
      </c>
      <c r="AC323" s="162">
        <v>1.1313</v>
      </c>
      <c r="AD323" s="162">
        <v>1.198</v>
      </c>
      <c r="AE323" s="162">
        <v>1.2567999999999999</v>
      </c>
      <c r="AF323" s="162">
        <v>1.3081</v>
      </c>
      <c r="AG323" s="162">
        <v>1.3382799999999999</v>
      </c>
      <c r="AH323" s="162">
        <v>1.36846</v>
      </c>
      <c r="AI323" s="162">
        <v>1.3986400000000001</v>
      </c>
      <c r="AJ323" s="162">
        <v>1.42882</v>
      </c>
      <c r="AK323" s="162">
        <v>1.4590000000000001</v>
      </c>
      <c r="AL323" s="162">
        <v>1.4691399999999999</v>
      </c>
      <c r="AM323" s="162">
        <v>1.4792799999999999</v>
      </c>
      <c r="AN323" s="162">
        <v>1.48942</v>
      </c>
      <c r="AO323" s="162">
        <v>1.49956</v>
      </c>
      <c r="AP323" s="162">
        <v>1.5097</v>
      </c>
      <c r="AQ323" s="162">
        <v>1.5120800000000001</v>
      </c>
      <c r="AR323" s="162">
        <v>1.5144599999999999</v>
      </c>
      <c r="AS323" s="162">
        <v>1.51684</v>
      </c>
      <c r="AT323" s="162">
        <v>1.51922</v>
      </c>
      <c r="AU323" s="162">
        <v>1.5216000000000001</v>
      </c>
    </row>
    <row r="324" spans="1:47" ht="12.75" customHeight="1">
      <c r="A324" s="459">
        <v>43161</v>
      </c>
      <c r="B324" s="139">
        <v>9</v>
      </c>
      <c r="C324" s="162">
        <v>-0.36849999999999999</v>
      </c>
      <c r="D324" s="162">
        <v>-0.36849999999999999</v>
      </c>
      <c r="E324" s="162">
        <v>-0.36086000000000001</v>
      </c>
      <c r="F324" s="162">
        <v>-0.36080000000000001</v>
      </c>
      <c r="G324" s="162">
        <v>-0.35542000000000001</v>
      </c>
      <c r="H324" s="162">
        <v>-0.35618</v>
      </c>
      <c r="I324" s="162">
        <v>-0.35571999999999998</v>
      </c>
      <c r="J324" s="162">
        <v>-0.35360000000000003</v>
      </c>
      <c r="K324" s="162">
        <v>-0.35508000000000001</v>
      </c>
      <c r="L324" s="162">
        <v>-0.35032000000000002</v>
      </c>
      <c r="M324" s="162">
        <v>-0.35302</v>
      </c>
      <c r="N324" s="162">
        <v>-0.35174</v>
      </c>
      <c r="O324" s="162">
        <v>-0.35055999999999998</v>
      </c>
      <c r="P324" s="162">
        <v>-0.34982000000000002</v>
      </c>
      <c r="Q324" s="162">
        <v>-0.34610000000000002</v>
      </c>
      <c r="R324" s="162">
        <v>-0.34311999999999998</v>
      </c>
      <c r="S324" s="162">
        <v>-0.23183999999999999</v>
      </c>
      <c r="T324" s="162">
        <v>-4.4080000000000001E-2</v>
      </c>
      <c r="U324" s="162">
        <v>0.14710000000000001</v>
      </c>
      <c r="V324" s="162">
        <v>0.31940000000000002</v>
      </c>
      <c r="W324" s="162">
        <v>0.47020000000000001</v>
      </c>
      <c r="X324" s="162">
        <v>0.61329999999999996</v>
      </c>
      <c r="Y324" s="162">
        <v>0.73770000000000002</v>
      </c>
      <c r="Z324" s="162">
        <v>0.84860000000000002</v>
      </c>
      <c r="AA324" s="162">
        <v>0.9466</v>
      </c>
      <c r="AB324" s="162">
        <v>1.032</v>
      </c>
      <c r="AC324" s="162">
        <v>1.1112</v>
      </c>
      <c r="AD324" s="162">
        <v>1.1795</v>
      </c>
      <c r="AE324" s="162">
        <v>1.2399</v>
      </c>
      <c r="AF324" s="162">
        <v>1.2886</v>
      </c>
      <c r="AG324" s="162">
        <v>1.32148</v>
      </c>
      <c r="AH324" s="162">
        <v>1.35436</v>
      </c>
      <c r="AI324" s="162">
        <v>1.38724</v>
      </c>
      <c r="AJ324" s="162">
        <v>1.42012</v>
      </c>
      <c r="AK324" s="162">
        <v>1.4530000000000001</v>
      </c>
      <c r="AL324" s="162">
        <v>1.4639120000000001</v>
      </c>
      <c r="AM324" s="162">
        <v>1.4748239999999999</v>
      </c>
      <c r="AN324" s="162">
        <v>1.4857359999999999</v>
      </c>
      <c r="AO324" s="162">
        <v>1.496648</v>
      </c>
      <c r="AP324" s="162">
        <v>1.50756</v>
      </c>
      <c r="AQ324" s="162">
        <v>1.5106280000000001</v>
      </c>
      <c r="AR324" s="162">
        <v>1.5136959999999999</v>
      </c>
      <c r="AS324" s="162">
        <v>1.516764</v>
      </c>
      <c r="AT324" s="162">
        <v>1.5198320000000001</v>
      </c>
      <c r="AU324" s="162">
        <v>1.5228999999999999</v>
      </c>
    </row>
    <row r="325" spans="1:47" ht="12.75" customHeight="1">
      <c r="A325" s="459">
        <v>43168</v>
      </c>
      <c r="B325" s="139">
        <v>10</v>
      </c>
      <c r="C325" s="162">
        <v>-0.36075000000000002</v>
      </c>
      <c r="D325" s="162">
        <v>-0.36075000000000002</v>
      </c>
      <c r="E325" s="162">
        <v>-0.36118</v>
      </c>
      <c r="F325" s="162">
        <v>-0.36105999999999999</v>
      </c>
      <c r="G325" s="162">
        <v>-0.35293999999999998</v>
      </c>
      <c r="H325" s="162">
        <v>-0.35410000000000003</v>
      </c>
      <c r="I325" s="162">
        <v>-0.35520000000000002</v>
      </c>
      <c r="J325" s="162">
        <v>-0.35252</v>
      </c>
      <c r="K325" s="162">
        <v>-0.35514000000000001</v>
      </c>
      <c r="L325" s="162">
        <v>-0.35342000000000001</v>
      </c>
      <c r="M325" s="162">
        <v>-0.35386000000000001</v>
      </c>
      <c r="N325" s="162">
        <v>-0.35215999999999997</v>
      </c>
      <c r="O325" s="162">
        <v>-0.3488</v>
      </c>
      <c r="P325" s="162">
        <v>-0.34983999999999998</v>
      </c>
      <c r="Q325" s="162">
        <v>-0.34761999999999998</v>
      </c>
      <c r="R325" s="162">
        <v>-0.34577999999999998</v>
      </c>
      <c r="S325" s="162">
        <v>-0.23827999999999999</v>
      </c>
      <c r="T325" s="162">
        <v>-6.166E-2</v>
      </c>
      <c r="U325" s="162">
        <v>0.1128</v>
      </c>
      <c r="V325" s="162">
        <v>0.27576000000000001</v>
      </c>
      <c r="W325" s="162">
        <v>0.42770000000000002</v>
      </c>
      <c r="X325" s="162">
        <v>0.55615999999999999</v>
      </c>
      <c r="Y325" s="162">
        <v>0.6754</v>
      </c>
      <c r="Z325" s="162">
        <v>0.78249999999999997</v>
      </c>
      <c r="AA325" s="162">
        <v>0.87756000000000001</v>
      </c>
      <c r="AB325" s="162">
        <v>0.96260000000000001</v>
      </c>
      <c r="AC325" s="162">
        <v>1.0387</v>
      </c>
      <c r="AD325" s="162">
        <v>1.1063000000000001</v>
      </c>
      <c r="AE325" s="162">
        <v>1.1658999999999999</v>
      </c>
      <c r="AF325" s="162">
        <v>1.2212000000000001</v>
      </c>
      <c r="AG325" s="162">
        <v>1.2529600000000001</v>
      </c>
      <c r="AH325" s="162">
        <v>1.2847200000000001</v>
      </c>
      <c r="AI325" s="162">
        <v>1.3164800000000001</v>
      </c>
      <c r="AJ325" s="162">
        <v>1.3482400000000001</v>
      </c>
      <c r="AK325" s="162">
        <v>1.38</v>
      </c>
      <c r="AL325" s="162">
        <v>1.3911199999999999</v>
      </c>
      <c r="AM325" s="162">
        <v>1.4022399999999999</v>
      </c>
      <c r="AN325" s="162">
        <v>1.4133599999999999</v>
      </c>
      <c r="AO325" s="162">
        <v>1.42448</v>
      </c>
      <c r="AP325" s="162">
        <v>1.4356</v>
      </c>
      <c r="AQ325" s="162">
        <v>1.43872</v>
      </c>
      <c r="AR325" s="162">
        <v>1.44184</v>
      </c>
      <c r="AS325" s="162">
        <v>1.44496</v>
      </c>
      <c r="AT325" s="162">
        <v>1.44808</v>
      </c>
      <c r="AU325" s="162">
        <v>1.4512</v>
      </c>
    </row>
    <row r="326" spans="1:47" ht="12.75" customHeight="1">
      <c r="A326" s="459">
        <v>43175</v>
      </c>
      <c r="B326" s="139">
        <v>11</v>
      </c>
      <c r="C326" s="162">
        <v>-0.36275000000000002</v>
      </c>
      <c r="D326" s="162">
        <v>-0.36275000000000002</v>
      </c>
      <c r="E326" s="162">
        <v>-0.36042000000000002</v>
      </c>
      <c r="F326" s="162">
        <v>-0.35983999999999999</v>
      </c>
      <c r="G326" s="162">
        <v>-0.35598000000000002</v>
      </c>
      <c r="H326" s="162">
        <v>-0.35437999999999997</v>
      </c>
      <c r="I326" s="162">
        <v>-0.35759999999999997</v>
      </c>
      <c r="J326" s="162">
        <v>-0.35668</v>
      </c>
      <c r="K326" s="162">
        <v>-0.35611999999999999</v>
      </c>
      <c r="L326" s="162">
        <v>-0.35339999999999999</v>
      </c>
      <c r="M326" s="162">
        <v>-0.35499999999999998</v>
      </c>
      <c r="N326" s="162">
        <v>-0.35487999999999997</v>
      </c>
      <c r="O326" s="162">
        <v>-0.35443999999999998</v>
      </c>
      <c r="P326" s="162">
        <v>-0.35246</v>
      </c>
      <c r="Q326" s="162">
        <v>-0.35026000000000002</v>
      </c>
      <c r="R326" s="162">
        <v>-0.34699999999999998</v>
      </c>
      <c r="S326" s="162">
        <v>-0.23844000000000001</v>
      </c>
      <c r="T326" s="162">
        <v>-5.8959999999999999E-2</v>
      </c>
      <c r="U326" s="162">
        <v>0.1232</v>
      </c>
      <c r="V326" s="162">
        <v>0.2878</v>
      </c>
      <c r="W326" s="162">
        <v>0.4345</v>
      </c>
      <c r="X326" s="162">
        <v>0.56816</v>
      </c>
      <c r="Y326" s="162">
        <v>0.68859999999999999</v>
      </c>
      <c r="Z326" s="162">
        <v>0.79490000000000005</v>
      </c>
      <c r="AA326" s="162">
        <v>0.88829999999999998</v>
      </c>
      <c r="AB326" s="162">
        <v>0.97326000000000001</v>
      </c>
      <c r="AC326" s="162">
        <v>1.0485</v>
      </c>
      <c r="AD326" s="162">
        <v>1.1154999999999999</v>
      </c>
      <c r="AE326" s="162">
        <v>1.1743600000000001</v>
      </c>
      <c r="AF326" s="162">
        <v>1.22316</v>
      </c>
      <c r="AG326" s="162">
        <v>1.255028</v>
      </c>
      <c r="AH326" s="162">
        <v>1.286896</v>
      </c>
      <c r="AI326" s="162">
        <v>1.318764</v>
      </c>
      <c r="AJ326" s="162">
        <v>1.3506320000000001</v>
      </c>
      <c r="AK326" s="162">
        <v>1.3825000000000001</v>
      </c>
      <c r="AL326" s="162">
        <v>1.39368</v>
      </c>
      <c r="AM326" s="162">
        <v>1.40486</v>
      </c>
      <c r="AN326" s="162">
        <v>1.41604</v>
      </c>
      <c r="AO326" s="162">
        <v>1.4272199999999999</v>
      </c>
      <c r="AP326" s="162">
        <v>1.4383999999999999</v>
      </c>
      <c r="AQ326" s="162">
        <v>1.4415800000000001</v>
      </c>
      <c r="AR326" s="162">
        <v>1.44476</v>
      </c>
      <c r="AS326" s="162">
        <v>1.44794</v>
      </c>
      <c r="AT326" s="162">
        <v>1.45112</v>
      </c>
      <c r="AU326" s="162">
        <v>1.4542999999999999</v>
      </c>
    </row>
    <row r="327" spans="1:47" ht="12.75" customHeight="1">
      <c r="A327" s="459">
        <v>43182</v>
      </c>
      <c r="B327" s="139">
        <v>12</v>
      </c>
      <c r="C327" s="162">
        <v>-0.36399999999999999</v>
      </c>
      <c r="D327" s="162">
        <v>-0.36399999999999999</v>
      </c>
      <c r="E327" s="162">
        <v>-0.35980000000000001</v>
      </c>
      <c r="F327" s="162">
        <v>-0.35870000000000002</v>
      </c>
      <c r="G327" s="162">
        <v>-0.35360000000000003</v>
      </c>
      <c r="H327" s="162">
        <v>-0.35327999999999998</v>
      </c>
      <c r="I327" s="162">
        <v>-0.35504000000000002</v>
      </c>
      <c r="J327" s="162">
        <v>-0.35433999999999999</v>
      </c>
      <c r="K327" s="162">
        <v>-0.35139999999999999</v>
      </c>
      <c r="L327" s="162">
        <v>-0.35426000000000002</v>
      </c>
      <c r="M327" s="162">
        <v>-0.35649999999999998</v>
      </c>
      <c r="N327" s="162">
        <v>-0.35626000000000002</v>
      </c>
      <c r="O327" s="162">
        <v>-0.35493999999999998</v>
      </c>
      <c r="P327" s="162">
        <v>-0.35468</v>
      </c>
      <c r="Q327" s="162">
        <v>-0.35417999999999999</v>
      </c>
      <c r="R327" s="162">
        <v>-0.35260000000000002</v>
      </c>
      <c r="S327" s="162">
        <v>-0.25618000000000002</v>
      </c>
      <c r="T327" s="162">
        <v>-8.7080000000000005E-2</v>
      </c>
      <c r="U327" s="162">
        <v>8.4699999999999998E-2</v>
      </c>
      <c r="V327" s="162">
        <v>0.24329999999999999</v>
      </c>
      <c r="W327" s="162">
        <v>0.38779999999999998</v>
      </c>
      <c r="X327" s="162">
        <v>0.51349999999999996</v>
      </c>
      <c r="Y327" s="162">
        <v>0.62829999999999997</v>
      </c>
      <c r="Z327" s="162">
        <v>0.73285999999999996</v>
      </c>
      <c r="AA327" s="162">
        <v>0.82576000000000005</v>
      </c>
      <c r="AB327" s="162">
        <v>0.91005999999999998</v>
      </c>
      <c r="AC327" s="162">
        <v>0.98585999999999996</v>
      </c>
      <c r="AD327" s="162">
        <v>1.0530600000000001</v>
      </c>
      <c r="AE327" s="162">
        <v>1.1115999999999999</v>
      </c>
      <c r="AF327" s="162">
        <v>1.1637999999999999</v>
      </c>
      <c r="AG327" s="162">
        <v>1.195192</v>
      </c>
      <c r="AH327" s="162">
        <v>1.2265839999999999</v>
      </c>
      <c r="AI327" s="162">
        <v>1.257976</v>
      </c>
      <c r="AJ327" s="162">
        <v>1.2893680000000001</v>
      </c>
      <c r="AK327" s="162">
        <v>1.3207599999999999</v>
      </c>
      <c r="AL327" s="162">
        <v>1.33172</v>
      </c>
      <c r="AM327" s="162">
        <v>1.3426800000000001</v>
      </c>
      <c r="AN327" s="162">
        <v>1.35364</v>
      </c>
      <c r="AO327" s="162">
        <v>1.3646</v>
      </c>
      <c r="AP327" s="162">
        <v>1.3755599999999999</v>
      </c>
      <c r="AQ327" s="162">
        <v>1.37886</v>
      </c>
      <c r="AR327" s="162">
        <v>1.3821600000000001</v>
      </c>
      <c r="AS327" s="162">
        <v>1.3854599999999999</v>
      </c>
      <c r="AT327" s="162">
        <v>1.38876</v>
      </c>
      <c r="AU327" s="162">
        <v>1.3920600000000001</v>
      </c>
    </row>
    <row r="328" spans="1:47" ht="12.75" customHeight="1">
      <c r="A328" s="459">
        <v>43189</v>
      </c>
      <c r="B328" s="139">
        <v>13</v>
      </c>
      <c r="C328" s="162">
        <v>-0.36775000000000002</v>
      </c>
      <c r="D328" s="162">
        <v>-0.36775000000000002</v>
      </c>
      <c r="E328" s="162">
        <v>-0.36004000000000003</v>
      </c>
      <c r="F328" s="162">
        <v>-0.35561999999999999</v>
      </c>
      <c r="G328" s="162">
        <v>-0.35492000000000001</v>
      </c>
      <c r="H328" s="162">
        <v>-0.35859999999999997</v>
      </c>
      <c r="I328" s="162">
        <v>-0.35210000000000002</v>
      </c>
      <c r="J328" s="162">
        <v>-0.35954000000000003</v>
      </c>
      <c r="K328" s="162">
        <v>-0.35574</v>
      </c>
      <c r="L328" s="162">
        <v>-0.35898000000000002</v>
      </c>
      <c r="M328" s="162">
        <v>-0.35855999999999999</v>
      </c>
      <c r="N328" s="162">
        <v>-0.35765999999999998</v>
      </c>
      <c r="O328" s="162">
        <v>-0.35746</v>
      </c>
      <c r="P328" s="162">
        <v>-0.35668</v>
      </c>
      <c r="Q328" s="162">
        <v>-0.35510000000000003</v>
      </c>
      <c r="R328" s="162">
        <v>-0.35092000000000001</v>
      </c>
      <c r="S328" s="162">
        <v>-0.26282</v>
      </c>
      <c r="T328" s="162">
        <v>-9.622E-2</v>
      </c>
      <c r="U328" s="162">
        <v>7.9259999999999997E-2</v>
      </c>
      <c r="V328" s="162">
        <v>0.23616000000000001</v>
      </c>
      <c r="W328" s="162">
        <v>0.37809999999999999</v>
      </c>
      <c r="X328" s="162">
        <v>0.50195999999999996</v>
      </c>
      <c r="Y328" s="162">
        <v>0.61616000000000004</v>
      </c>
      <c r="Z328" s="162">
        <v>0.71916000000000002</v>
      </c>
      <c r="AA328" s="162">
        <v>0.81079999999999997</v>
      </c>
      <c r="AB328" s="162">
        <v>0.89329999999999998</v>
      </c>
      <c r="AC328" s="162">
        <v>0.96730000000000005</v>
      </c>
      <c r="AD328" s="162">
        <v>1.0324</v>
      </c>
      <c r="AE328" s="162">
        <v>1.0898000000000001</v>
      </c>
      <c r="AF328" s="162">
        <v>1.1385000000000001</v>
      </c>
      <c r="AG328" s="162">
        <v>1.16882</v>
      </c>
      <c r="AH328" s="162">
        <v>1.1991400000000001</v>
      </c>
      <c r="AI328" s="162">
        <v>1.22946</v>
      </c>
      <c r="AJ328" s="162">
        <v>1.2597799999999999</v>
      </c>
      <c r="AK328" s="162">
        <v>1.2901</v>
      </c>
      <c r="AL328" s="162">
        <v>1.3000799999999999</v>
      </c>
      <c r="AM328" s="162">
        <v>1.31006</v>
      </c>
      <c r="AN328" s="162">
        <v>1.3200400000000001</v>
      </c>
      <c r="AO328" s="162">
        <v>1.33002</v>
      </c>
      <c r="AP328" s="162">
        <v>1.34</v>
      </c>
      <c r="AQ328" s="162">
        <v>1.3424799999999999</v>
      </c>
      <c r="AR328" s="162">
        <v>1.3449599999999999</v>
      </c>
      <c r="AS328" s="162">
        <v>1.34744</v>
      </c>
      <c r="AT328" s="162">
        <v>1.34992</v>
      </c>
      <c r="AU328" s="162">
        <v>1.3524</v>
      </c>
    </row>
    <row r="329" spans="1:47" ht="12.75" customHeight="1">
      <c r="A329" s="459">
        <v>43196</v>
      </c>
      <c r="B329" s="139">
        <v>14</v>
      </c>
      <c r="C329" s="162">
        <v>-0.36666666999999997</v>
      </c>
      <c r="D329" s="162">
        <v>-0.36666666999999997</v>
      </c>
      <c r="E329" s="162">
        <v>-0.35749999999999998</v>
      </c>
      <c r="F329" s="162">
        <v>-0.35775000000000001</v>
      </c>
      <c r="G329" s="162">
        <v>-0.35462500000000002</v>
      </c>
      <c r="H329" s="162">
        <v>-0.35865000000000002</v>
      </c>
      <c r="I329" s="162">
        <v>-0.35797499999999999</v>
      </c>
      <c r="J329" s="162">
        <v>-0.35715000000000002</v>
      </c>
      <c r="K329" s="162">
        <v>-0.35967500000000002</v>
      </c>
      <c r="L329" s="162">
        <v>-0.3589</v>
      </c>
      <c r="M329" s="162">
        <v>-0.35820000000000002</v>
      </c>
      <c r="N329" s="162">
        <v>-0.35820000000000002</v>
      </c>
      <c r="O329" s="162">
        <v>-0.35677500000000001</v>
      </c>
      <c r="P329" s="162">
        <v>-0.357325</v>
      </c>
      <c r="Q329" s="162">
        <v>-0.35580000000000001</v>
      </c>
      <c r="R329" s="162">
        <v>-0.35399999999999998</v>
      </c>
      <c r="S329" s="162">
        <v>-0.27210000000000001</v>
      </c>
      <c r="T329" s="162">
        <v>-0.11622499999999999</v>
      </c>
      <c r="U329" s="162">
        <v>5.2075000000000003E-2</v>
      </c>
      <c r="V329" s="162">
        <v>0.20319999999999999</v>
      </c>
      <c r="W329" s="162">
        <v>0.34107500000000002</v>
      </c>
      <c r="X329" s="162">
        <v>0.4672</v>
      </c>
      <c r="Y329" s="162">
        <v>0.57762500000000006</v>
      </c>
      <c r="Z329" s="162">
        <v>0.68037499999999995</v>
      </c>
      <c r="AA329" s="162">
        <v>0.77195000000000003</v>
      </c>
      <c r="AB329" s="162">
        <v>0.85494999999999999</v>
      </c>
      <c r="AC329" s="162">
        <v>0.92857500000000004</v>
      </c>
      <c r="AD329" s="162">
        <v>0.99407500000000004</v>
      </c>
      <c r="AE329" s="162">
        <v>1.051625</v>
      </c>
      <c r="AF329" s="162">
        <v>1.100875</v>
      </c>
      <c r="AG329" s="162">
        <v>1.130965</v>
      </c>
      <c r="AH329" s="162">
        <v>1.1610549999999999</v>
      </c>
      <c r="AI329" s="162">
        <v>1.1911449999999999</v>
      </c>
      <c r="AJ329" s="162">
        <v>1.2212350000000001</v>
      </c>
      <c r="AK329" s="162">
        <v>1.251325</v>
      </c>
      <c r="AL329" s="162">
        <v>1.26111</v>
      </c>
      <c r="AM329" s="162">
        <v>1.2708950000000001</v>
      </c>
      <c r="AN329" s="162">
        <v>1.28068</v>
      </c>
      <c r="AO329" s="162">
        <v>1.290465</v>
      </c>
      <c r="AP329" s="162">
        <v>1.3002499999999999</v>
      </c>
      <c r="AQ329" s="162">
        <v>1.3029250000000001</v>
      </c>
      <c r="AR329" s="162">
        <v>1.3056000000000001</v>
      </c>
      <c r="AS329" s="162">
        <v>1.3082750000000001</v>
      </c>
      <c r="AT329" s="162">
        <v>1.3109500000000001</v>
      </c>
      <c r="AU329" s="162">
        <v>1.313625</v>
      </c>
    </row>
    <row r="330" spans="1:47" ht="12.75" customHeight="1">
      <c r="A330" s="459">
        <v>43203</v>
      </c>
      <c r="B330" s="139">
        <v>15</v>
      </c>
      <c r="C330" s="162">
        <v>-0.36399999999999999</v>
      </c>
      <c r="D330" s="162">
        <v>-0.36399999999999999</v>
      </c>
      <c r="E330" s="162">
        <v>-0.36299999999999999</v>
      </c>
      <c r="F330" s="162">
        <v>-0.3619</v>
      </c>
      <c r="G330" s="162">
        <v>-0.36109999999999998</v>
      </c>
      <c r="H330" s="162">
        <v>-0.36131999999999997</v>
      </c>
      <c r="I330" s="162">
        <v>-0.36027999999999999</v>
      </c>
      <c r="J330" s="162">
        <v>-0.36030000000000001</v>
      </c>
      <c r="K330" s="162">
        <v>-0.35599999999999998</v>
      </c>
      <c r="L330" s="162">
        <v>-0.35905999999999999</v>
      </c>
      <c r="M330" s="162">
        <v>-0.3589</v>
      </c>
      <c r="N330" s="162">
        <v>-0.35804000000000002</v>
      </c>
      <c r="O330" s="162">
        <v>-0.35639999999999999</v>
      </c>
      <c r="P330" s="162">
        <v>-0.35615999999999998</v>
      </c>
      <c r="Q330" s="162">
        <v>-0.35526000000000002</v>
      </c>
      <c r="R330" s="162">
        <v>-0.35292000000000001</v>
      </c>
      <c r="S330" s="162">
        <v>-0.26848</v>
      </c>
      <c r="T330" s="162">
        <v>-0.11700000000000001</v>
      </c>
      <c r="U330" s="162">
        <v>4.5600000000000002E-2</v>
      </c>
      <c r="V330" s="162">
        <v>0.1908</v>
      </c>
      <c r="W330" s="162">
        <v>0.3201</v>
      </c>
      <c r="X330" s="162">
        <v>0.44840000000000002</v>
      </c>
      <c r="Y330" s="162">
        <v>0.56145999999999996</v>
      </c>
      <c r="Z330" s="162">
        <v>0.66376000000000002</v>
      </c>
      <c r="AA330" s="162">
        <v>0.75626000000000004</v>
      </c>
      <c r="AB330" s="162">
        <v>0.84019999999999995</v>
      </c>
      <c r="AC330" s="162">
        <v>0.91569999999999996</v>
      </c>
      <c r="AD330" s="162">
        <v>0.98236000000000001</v>
      </c>
      <c r="AE330" s="162">
        <v>1.0415000000000001</v>
      </c>
      <c r="AF330" s="162">
        <v>1.0869</v>
      </c>
      <c r="AG330" s="162">
        <v>1.119132</v>
      </c>
      <c r="AH330" s="162">
        <v>1.1513640000000001</v>
      </c>
      <c r="AI330" s="162">
        <v>1.1835960000000001</v>
      </c>
      <c r="AJ330" s="162">
        <v>1.2158279999999999</v>
      </c>
      <c r="AK330" s="162">
        <v>1.2480599999999999</v>
      </c>
      <c r="AL330" s="162">
        <v>1.2583679999999999</v>
      </c>
      <c r="AM330" s="162">
        <v>1.2686759999999999</v>
      </c>
      <c r="AN330" s="162">
        <v>1.2789839999999999</v>
      </c>
      <c r="AO330" s="162">
        <v>1.2892920000000001</v>
      </c>
      <c r="AP330" s="162">
        <v>1.2996000000000001</v>
      </c>
      <c r="AQ330" s="162">
        <v>1.3030120000000001</v>
      </c>
      <c r="AR330" s="162">
        <v>1.306424</v>
      </c>
      <c r="AS330" s="162">
        <v>1.309836</v>
      </c>
      <c r="AT330" s="162">
        <v>1.313248</v>
      </c>
      <c r="AU330" s="162">
        <v>1.3166599999999999</v>
      </c>
    </row>
    <row r="331" spans="1:47" ht="12.75" customHeight="1">
      <c r="A331" s="459">
        <v>43210</v>
      </c>
      <c r="B331" s="139">
        <v>16</v>
      </c>
      <c r="C331" s="162">
        <v>-0.36525000000000002</v>
      </c>
      <c r="D331" s="162">
        <v>-0.36525000000000002</v>
      </c>
      <c r="E331" s="162">
        <v>-0.36299999999999999</v>
      </c>
      <c r="F331" s="162">
        <v>-0.36083333000000001</v>
      </c>
      <c r="G331" s="162">
        <v>-0.3614</v>
      </c>
      <c r="H331" s="162">
        <v>-0.36215000000000003</v>
      </c>
      <c r="I331" s="162">
        <v>-0.36109999999999998</v>
      </c>
      <c r="J331" s="162">
        <v>-0.36075000000000002</v>
      </c>
      <c r="K331" s="162">
        <v>-0.354875</v>
      </c>
      <c r="L331" s="162">
        <v>-0.35905999999999999</v>
      </c>
      <c r="M331" s="162">
        <v>-0.3589</v>
      </c>
      <c r="N331" s="162">
        <v>-0.35804000000000002</v>
      </c>
      <c r="O331" s="162">
        <v>-0.35360000000000003</v>
      </c>
      <c r="P331" s="162">
        <v>-0.35607499999999997</v>
      </c>
      <c r="Q331" s="162">
        <v>-0.35497499999999998</v>
      </c>
      <c r="R331" s="162">
        <v>-0.3523</v>
      </c>
      <c r="S331" s="162">
        <v>-0.26848</v>
      </c>
      <c r="T331" s="162">
        <v>-0.11133332999999999</v>
      </c>
      <c r="U331" s="162">
        <v>4.3749999999999997E-2</v>
      </c>
      <c r="V331" s="162">
        <v>0.18387500000000001</v>
      </c>
      <c r="W331" s="162">
        <v>0.31364999999999998</v>
      </c>
      <c r="X331" s="162">
        <v>0.44840000000000002</v>
      </c>
      <c r="Y331" s="162">
        <v>0.54125000000000001</v>
      </c>
      <c r="Z331" s="162">
        <v>0.64124999999999999</v>
      </c>
      <c r="AA331" s="162">
        <v>0.73939999999999995</v>
      </c>
      <c r="AB331" s="162">
        <v>0.82650000000000001</v>
      </c>
      <c r="AC331" s="162">
        <v>0.90300000000000002</v>
      </c>
      <c r="AD331" s="162">
        <v>0.96419999999999995</v>
      </c>
      <c r="AE331" s="162">
        <v>1.0233000000000001</v>
      </c>
      <c r="AF331" s="162">
        <v>1.0726</v>
      </c>
      <c r="AG331" s="162">
        <v>1.10456</v>
      </c>
      <c r="AH331" s="162">
        <v>1.13652</v>
      </c>
      <c r="AI331" s="162">
        <v>1.16848</v>
      </c>
      <c r="AJ331" s="162">
        <v>1.20044</v>
      </c>
      <c r="AK331" s="162">
        <v>1.2323999999999999</v>
      </c>
      <c r="AL331" s="162">
        <v>1.24322</v>
      </c>
      <c r="AM331" s="162">
        <v>1.25404</v>
      </c>
      <c r="AN331" s="162">
        <v>1.2648600000000001</v>
      </c>
      <c r="AO331" s="162">
        <v>1.2756799999999999</v>
      </c>
      <c r="AP331" s="162">
        <v>1.2865</v>
      </c>
      <c r="AQ331" s="162">
        <v>1.2895799999999999</v>
      </c>
      <c r="AR331" s="162">
        <v>1.2926599999999999</v>
      </c>
      <c r="AS331" s="162">
        <v>1.2957399999999999</v>
      </c>
      <c r="AT331" s="162">
        <v>1.2988200000000001</v>
      </c>
      <c r="AU331" s="162">
        <v>1.3019000000000001</v>
      </c>
    </row>
    <row r="332" spans="1:47" ht="12.75" customHeight="1">
      <c r="A332" s="459">
        <v>43217</v>
      </c>
      <c r="B332" s="139">
        <v>17</v>
      </c>
      <c r="C332" s="162">
        <v>-0.36775000000000002</v>
      </c>
      <c r="D332" s="162">
        <v>-0.36775000000000002</v>
      </c>
      <c r="E332" s="162">
        <v>-0.36181999999999997</v>
      </c>
      <c r="F332" s="162">
        <v>-0.36146</v>
      </c>
      <c r="G332" s="162">
        <v>-0.35743999999999998</v>
      </c>
      <c r="H332" s="162">
        <v>-0.35604000000000002</v>
      </c>
      <c r="I332" s="162">
        <v>-0.35589999999999999</v>
      </c>
      <c r="J332" s="162">
        <v>-0.36074000000000001</v>
      </c>
      <c r="K332" s="162">
        <v>-0.35811999999999999</v>
      </c>
      <c r="L332" s="162">
        <v>-0.35776000000000002</v>
      </c>
      <c r="M332" s="162">
        <v>-0.35904000000000003</v>
      </c>
      <c r="N332" s="162">
        <v>-0.35893999999999998</v>
      </c>
      <c r="O332" s="162">
        <v>-0.35782000000000003</v>
      </c>
      <c r="P332" s="162">
        <v>-0.35696</v>
      </c>
      <c r="Q332" s="162">
        <v>-0.35565999999999998</v>
      </c>
      <c r="R332" s="162">
        <v>-0.35249999999999998</v>
      </c>
      <c r="S332" s="162">
        <v>-0.26140000000000002</v>
      </c>
      <c r="T332" s="162">
        <v>-0.10686</v>
      </c>
      <c r="U332" s="162">
        <v>5.6399999999999999E-2</v>
      </c>
      <c r="V332" s="162">
        <v>0.20519999999999999</v>
      </c>
      <c r="W332" s="162">
        <v>0.3412</v>
      </c>
      <c r="X332" s="162">
        <v>0.46179999999999999</v>
      </c>
      <c r="Y332" s="162">
        <v>0.57440000000000002</v>
      </c>
      <c r="Z332" s="162">
        <v>0.67749999999999999</v>
      </c>
      <c r="AA332" s="162">
        <v>0.77010000000000001</v>
      </c>
      <c r="AB332" s="162">
        <v>0.85289999999999999</v>
      </c>
      <c r="AC332" s="162">
        <v>0.92820000000000003</v>
      </c>
      <c r="AD332" s="162">
        <v>0.99350000000000005</v>
      </c>
      <c r="AE332" s="162">
        <v>1.0511999999999999</v>
      </c>
      <c r="AF332" s="162">
        <v>1.1020000000000001</v>
      </c>
      <c r="AG332" s="162">
        <v>1.132892</v>
      </c>
      <c r="AH332" s="162">
        <v>1.1637839999999999</v>
      </c>
      <c r="AI332" s="162">
        <v>1.1946760000000001</v>
      </c>
      <c r="AJ332" s="162">
        <v>1.225568</v>
      </c>
      <c r="AK332" s="162">
        <v>1.2564599999999999</v>
      </c>
      <c r="AL332" s="162">
        <v>1.2671079999999999</v>
      </c>
      <c r="AM332" s="162">
        <v>1.2777559999999999</v>
      </c>
      <c r="AN332" s="162">
        <v>1.2884040000000001</v>
      </c>
      <c r="AO332" s="162">
        <v>1.2990520000000001</v>
      </c>
      <c r="AP332" s="162">
        <v>1.3097000000000001</v>
      </c>
      <c r="AQ332" s="162">
        <v>1.312532</v>
      </c>
      <c r="AR332" s="162">
        <v>1.315364</v>
      </c>
      <c r="AS332" s="162">
        <v>1.3181959999999999</v>
      </c>
      <c r="AT332" s="162">
        <v>1.3210280000000001</v>
      </c>
      <c r="AU332" s="162">
        <v>1.32386</v>
      </c>
    </row>
    <row r="333" spans="1:47" ht="12.75" customHeight="1">
      <c r="A333" s="459">
        <v>43224</v>
      </c>
      <c r="B333" s="139">
        <v>18</v>
      </c>
      <c r="C333" s="162">
        <v>-0.36699999999999999</v>
      </c>
      <c r="D333" s="162">
        <v>-0.36699999999999999</v>
      </c>
      <c r="E333" s="162">
        <v>-0.36352000000000001</v>
      </c>
      <c r="F333" s="162">
        <v>-0.36221999999999999</v>
      </c>
      <c r="G333" s="162">
        <v>-0.3579</v>
      </c>
      <c r="H333" s="162">
        <v>-0.36002000000000001</v>
      </c>
      <c r="I333" s="162">
        <v>-0.35776000000000002</v>
      </c>
      <c r="J333" s="162">
        <v>-0.35854000000000003</v>
      </c>
      <c r="K333" s="162">
        <v>-0.36081999999999997</v>
      </c>
      <c r="L333" s="162">
        <v>-0.35908000000000001</v>
      </c>
      <c r="M333" s="162">
        <v>-0.35909999999999997</v>
      </c>
      <c r="N333" s="162">
        <v>-0.35855999999999999</v>
      </c>
      <c r="O333" s="162">
        <v>-0.35720000000000002</v>
      </c>
      <c r="P333" s="162">
        <v>-0.35587999999999997</v>
      </c>
      <c r="Q333" s="162">
        <v>-0.35382000000000002</v>
      </c>
      <c r="R333" s="162">
        <v>-0.35049999999999998</v>
      </c>
      <c r="S333" s="162">
        <v>-0.2492</v>
      </c>
      <c r="T333" s="162">
        <v>-8.4940000000000002E-2</v>
      </c>
      <c r="U333" s="162">
        <v>8.7400000000000005E-2</v>
      </c>
      <c r="V333" s="162">
        <v>0.24349999999999999</v>
      </c>
      <c r="W333" s="162">
        <v>0.38569999999999999</v>
      </c>
      <c r="X333" s="162">
        <v>0.51075999999999999</v>
      </c>
      <c r="Y333" s="162">
        <v>0.62649999999999995</v>
      </c>
      <c r="Z333" s="162">
        <v>0.73029999999999995</v>
      </c>
      <c r="AA333" s="162">
        <v>0.82379999999999998</v>
      </c>
      <c r="AB333" s="162">
        <v>0.90800000000000003</v>
      </c>
      <c r="AC333" s="162">
        <v>0.98270000000000002</v>
      </c>
      <c r="AD333" s="162">
        <v>1.0488</v>
      </c>
      <c r="AE333" s="162">
        <v>1.1059000000000001</v>
      </c>
      <c r="AF333" s="162">
        <v>1.1571</v>
      </c>
      <c r="AG333" s="162">
        <v>1.1882999999999999</v>
      </c>
      <c r="AH333" s="162">
        <v>1.2195</v>
      </c>
      <c r="AI333" s="162">
        <v>1.2506999999999999</v>
      </c>
      <c r="AJ333" s="162">
        <v>1.2819</v>
      </c>
      <c r="AK333" s="162">
        <v>1.3130999999999999</v>
      </c>
      <c r="AL333" s="162">
        <v>1.3236399999999999</v>
      </c>
      <c r="AM333" s="162">
        <v>1.3341799999999999</v>
      </c>
      <c r="AN333" s="162">
        <v>1.3447199999999999</v>
      </c>
      <c r="AO333" s="162">
        <v>1.3552599999999999</v>
      </c>
      <c r="AP333" s="162">
        <v>1.3657999999999999</v>
      </c>
      <c r="AQ333" s="162">
        <v>1.368452</v>
      </c>
      <c r="AR333" s="162">
        <v>1.3711040000000001</v>
      </c>
      <c r="AS333" s="162">
        <v>1.373756</v>
      </c>
      <c r="AT333" s="162">
        <v>1.3764080000000001</v>
      </c>
      <c r="AU333" s="162">
        <v>1.37906</v>
      </c>
    </row>
    <row r="334" spans="1:47" ht="12.75" customHeight="1">
      <c r="A334" s="459">
        <v>43231</v>
      </c>
      <c r="B334" s="139">
        <v>19</v>
      </c>
      <c r="C334" s="162">
        <v>-0.35733333</v>
      </c>
      <c r="D334" s="162">
        <v>-0.35733333</v>
      </c>
      <c r="E334" s="162">
        <v>-0.36299999999999999</v>
      </c>
      <c r="F334" s="162">
        <v>-0.36105999999999999</v>
      </c>
      <c r="G334" s="162">
        <v>-0.35859999999999997</v>
      </c>
      <c r="H334" s="162">
        <v>-0.3569</v>
      </c>
      <c r="I334" s="162">
        <v>-0.36159999999999998</v>
      </c>
      <c r="J334" s="162">
        <v>-0.36127999999999999</v>
      </c>
      <c r="K334" s="162">
        <v>-0.36105999999999999</v>
      </c>
      <c r="L334" s="162">
        <v>-0.35827999999999999</v>
      </c>
      <c r="M334" s="162">
        <v>-0.35992000000000002</v>
      </c>
      <c r="N334" s="162">
        <v>-0.35898000000000002</v>
      </c>
      <c r="O334" s="162">
        <v>-0.35837999999999998</v>
      </c>
      <c r="P334" s="162">
        <v>-0.35764000000000001</v>
      </c>
      <c r="Q334" s="162">
        <v>-0.35570000000000002</v>
      </c>
      <c r="R334" s="162">
        <v>-0.35346</v>
      </c>
      <c r="S334" s="162">
        <v>-0.26168000000000002</v>
      </c>
      <c r="T334" s="162">
        <v>-0.1101</v>
      </c>
      <c r="U334" s="162">
        <v>5.8599999999999999E-2</v>
      </c>
      <c r="V334" s="162">
        <v>0.2102</v>
      </c>
      <c r="W334" s="162">
        <v>0.34839999999999999</v>
      </c>
      <c r="X334" s="162">
        <v>0.47370000000000001</v>
      </c>
      <c r="Y334" s="162">
        <v>0.58740000000000003</v>
      </c>
      <c r="Z334" s="162">
        <v>0.69089999999999996</v>
      </c>
      <c r="AA334" s="162">
        <v>0.78510000000000002</v>
      </c>
      <c r="AB334" s="162">
        <v>0.86775999999999998</v>
      </c>
      <c r="AC334" s="162">
        <v>0.94550000000000001</v>
      </c>
      <c r="AD334" s="162">
        <v>1.0129999999999999</v>
      </c>
      <c r="AE334" s="162">
        <v>1.0723</v>
      </c>
      <c r="AF334" s="162">
        <v>1.1233</v>
      </c>
      <c r="AG334" s="162">
        <v>1.1557599999999999</v>
      </c>
      <c r="AH334" s="162">
        <v>1.1882200000000001</v>
      </c>
      <c r="AI334" s="162">
        <v>1.22068</v>
      </c>
      <c r="AJ334" s="162">
        <v>1.2531399999999999</v>
      </c>
      <c r="AK334" s="162">
        <v>1.2856000000000001</v>
      </c>
      <c r="AL334" s="162">
        <v>1.2969599999999999</v>
      </c>
      <c r="AM334" s="162">
        <v>1.3083199999999999</v>
      </c>
      <c r="AN334" s="162">
        <v>1.31968</v>
      </c>
      <c r="AO334" s="162">
        <v>1.33104</v>
      </c>
      <c r="AP334" s="162">
        <v>1.3424</v>
      </c>
      <c r="AQ334" s="162">
        <v>1.3457399999999999</v>
      </c>
      <c r="AR334" s="162">
        <v>1.3490800000000001</v>
      </c>
      <c r="AS334" s="162">
        <v>1.35242</v>
      </c>
      <c r="AT334" s="162">
        <v>1.3557600000000001</v>
      </c>
      <c r="AU334" s="162">
        <v>1.3591</v>
      </c>
    </row>
    <row r="335" spans="1:47" ht="12.75" customHeight="1">
      <c r="A335" s="459">
        <v>43238</v>
      </c>
      <c r="B335" s="139">
        <v>20</v>
      </c>
      <c r="C335" s="162">
        <v>-0.36299999999999999</v>
      </c>
      <c r="D335" s="162">
        <v>-0.36299999999999999</v>
      </c>
      <c r="E335" s="162">
        <v>-0.36293333</v>
      </c>
      <c r="F335" s="162">
        <v>-0.36293333</v>
      </c>
      <c r="G335" s="162">
        <v>-0.35833333000000001</v>
      </c>
      <c r="H335" s="162">
        <v>-0.35720000000000002</v>
      </c>
      <c r="I335" s="162">
        <v>-0.36133333000000001</v>
      </c>
      <c r="J335" s="162">
        <v>-0.35299999999999998</v>
      </c>
      <c r="K335" s="162">
        <v>-0.35976667000000001</v>
      </c>
      <c r="L335" s="162">
        <v>-0.35936667</v>
      </c>
      <c r="M335" s="162">
        <v>-0.35933333000000001</v>
      </c>
      <c r="N335" s="162">
        <v>-0.35799999999999998</v>
      </c>
      <c r="O335" s="162">
        <v>-0.35783333000000001</v>
      </c>
      <c r="P335" s="162">
        <v>-0.35773333000000002</v>
      </c>
      <c r="Q335" s="162">
        <v>-0.35476667000000001</v>
      </c>
      <c r="R335" s="162">
        <v>-0.35360000000000003</v>
      </c>
      <c r="S335" s="162">
        <v>-0.26246667000000001</v>
      </c>
      <c r="T335" s="162">
        <v>-0.10976667</v>
      </c>
      <c r="U335" s="162">
        <v>5.9333299999999999E-2</v>
      </c>
      <c r="V335" s="162">
        <v>0.21183332999999999</v>
      </c>
      <c r="W335" s="162">
        <v>0.35133333</v>
      </c>
      <c r="X335" s="162">
        <v>0.47583333</v>
      </c>
      <c r="Y335" s="162">
        <v>0.58983333000000004</v>
      </c>
      <c r="Z335" s="162">
        <v>0.69299999999999995</v>
      </c>
      <c r="AA335" s="162">
        <v>0.78633333000000005</v>
      </c>
      <c r="AB335" s="162">
        <v>0.87216667000000003</v>
      </c>
      <c r="AC335" s="162">
        <v>0.94750000000000001</v>
      </c>
      <c r="AD335" s="162">
        <v>1.0143333299999999</v>
      </c>
      <c r="AE335" s="162">
        <v>1.07326667</v>
      </c>
      <c r="AF335" s="162">
        <v>1.1265000000000001</v>
      </c>
      <c r="AG335" s="162">
        <v>1.15892</v>
      </c>
      <c r="AH335" s="162">
        <v>1.1913400000000001</v>
      </c>
      <c r="AI335" s="162">
        <v>1.22376</v>
      </c>
      <c r="AJ335" s="162">
        <v>1.2561800000000001</v>
      </c>
      <c r="AK335" s="162">
        <v>1.2886</v>
      </c>
      <c r="AL335" s="162">
        <v>1.2999799999999999</v>
      </c>
      <c r="AM335" s="162">
        <v>1.3113600000000001</v>
      </c>
      <c r="AN335" s="162">
        <v>1.32274</v>
      </c>
      <c r="AO335" s="162">
        <v>1.33412</v>
      </c>
      <c r="AP335" s="162">
        <v>1.3454999999999999</v>
      </c>
      <c r="AQ335" s="162">
        <v>1.3486666700000001</v>
      </c>
      <c r="AR335" s="162">
        <v>1.3518333300000001</v>
      </c>
      <c r="AS335" s="162">
        <v>1.355</v>
      </c>
      <c r="AT335" s="162">
        <v>1.3581666699999999</v>
      </c>
      <c r="AU335" s="162">
        <v>1.3613333299999999</v>
      </c>
    </row>
    <row r="336" spans="1:47" ht="12.75" customHeight="1">
      <c r="A336" s="459">
        <v>43245</v>
      </c>
      <c r="B336" s="139">
        <v>21</v>
      </c>
      <c r="C336" s="162">
        <v>-0.36333333000000001</v>
      </c>
      <c r="D336" s="162">
        <v>-0.36333333000000001</v>
      </c>
      <c r="E336" s="162">
        <v>-0.36070000000000002</v>
      </c>
      <c r="F336" s="162">
        <v>-0.35499999999999998</v>
      </c>
      <c r="G336" s="162">
        <v>-0.35237499999999999</v>
      </c>
      <c r="H336" s="162">
        <v>-0.35825000000000001</v>
      </c>
      <c r="I336" s="162">
        <v>-0.35262500000000002</v>
      </c>
      <c r="J336" s="162">
        <v>-0.35499999999999998</v>
      </c>
      <c r="K336" s="162">
        <v>-0.35694999999999999</v>
      </c>
      <c r="L336" s="162">
        <v>-0.35944999999999999</v>
      </c>
      <c r="M336" s="162">
        <v>-0.35909999999999997</v>
      </c>
      <c r="N336" s="162">
        <v>-0.35775000000000001</v>
      </c>
      <c r="O336" s="162">
        <v>-0.35470000000000002</v>
      </c>
      <c r="P336" s="162">
        <v>-0.355875</v>
      </c>
      <c r="Q336" s="162">
        <v>-0.35307500000000003</v>
      </c>
      <c r="R336" s="162">
        <v>-0.34962500000000002</v>
      </c>
      <c r="S336" s="162">
        <v>-0.247225</v>
      </c>
      <c r="T336" s="162">
        <v>-7.8774999999999998E-2</v>
      </c>
      <c r="U336" s="162">
        <v>9.7500000000000003E-2</v>
      </c>
      <c r="V336" s="162">
        <v>0.25862499999999999</v>
      </c>
      <c r="W336" s="162">
        <v>0.40237499999999998</v>
      </c>
      <c r="X336" s="162">
        <v>0.53500000000000003</v>
      </c>
      <c r="Y336" s="162">
        <v>0.65275000000000005</v>
      </c>
      <c r="Z336" s="162">
        <v>0.75949999999999995</v>
      </c>
      <c r="AA336" s="162">
        <v>0.85545000000000004</v>
      </c>
      <c r="AB336" s="162">
        <v>0.93974999999999997</v>
      </c>
      <c r="AC336" s="162">
        <v>1.015325</v>
      </c>
      <c r="AD336" s="162">
        <v>1.08125</v>
      </c>
      <c r="AE336" s="162">
        <v>1.13975</v>
      </c>
      <c r="AF336" s="162">
        <v>1.190625</v>
      </c>
      <c r="AG336" s="162">
        <v>1.223125</v>
      </c>
      <c r="AH336" s="162">
        <v>1.255625</v>
      </c>
      <c r="AI336" s="162">
        <v>1.288125</v>
      </c>
      <c r="AJ336" s="162">
        <v>1.3206249999999999</v>
      </c>
      <c r="AK336" s="162">
        <v>1.3531249999999999</v>
      </c>
      <c r="AL336" s="162">
        <v>1.3647400000000001</v>
      </c>
      <c r="AM336" s="162">
        <v>1.376355</v>
      </c>
      <c r="AN336" s="162">
        <v>1.3879699999999999</v>
      </c>
      <c r="AO336" s="162">
        <v>1.3995850000000001</v>
      </c>
      <c r="AP336" s="162">
        <v>1.4112</v>
      </c>
      <c r="AQ336" s="162">
        <v>1.4144749999999999</v>
      </c>
      <c r="AR336" s="162">
        <v>1.4177500000000001</v>
      </c>
      <c r="AS336" s="162">
        <v>1.421025</v>
      </c>
      <c r="AT336" s="162">
        <v>1.4242999999999999</v>
      </c>
      <c r="AU336" s="162">
        <v>1.427575</v>
      </c>
    </row>
    <row r="337" spans="1:47" ht="12.75" customHeight="1">
      <c r="A337" s="459">
        <v>43252</v>
      </c>
      <c r="B337" s="139">
        <v>22</v>
      </c>
      <c r="C337" s="162">
        <v>-0.36475000000000002</v>
      </c>
      <c r="D337" s="162">
        <v>-0.36475000000000002</v>
      </c>
      <c r="E337" s="162">
        <v>-0.36149999999999999</v>
      </c>
      <c r="F337" s="162">
        <v>-0.36030000000000001</v>
      </c>
      <c r="G337" s="162">
        <v>-0.35837999999999998</v>
      </c>
      <c r="H337" s="162">
        <v>-0.36114000000000002</v>
      </c>
      <c r="I337" s="162">
        <v>-0.36092000000000002</v>
      </c>
      <c r="J337" s="162">
        <v>-0.36071999999999999</v>
      </c>
      <c r="K337" s="162">
        <v>-0.35770000000000002</v>
      </c>
      <c r="L337" s="162">
        <v>-0.35865999999999998</v>
      </c>
      <c r="M337" s="162">
        <v>-0.36055999999999999</v>
      </c>
      <c r="N337" s="162">
        <v>-0.35954000000000003</v>
      </c>
      <c r="O337" s="162">
        <v>-0.35770000000000002</v>
      </c>
      <c r="P337" s="162">
        <v>-0.35899999999999999</v>
      </c>
      <c r="Q337" s="162">
        <v>-0.35709999999999997</v>
      </c>
      <c r="R337" s="162">
        <v>-0.35482000000000002</v>
      </c>
      <c r="S337" s="162">
        <v>-0.27478000000000002</v>
      </c>
      <c r="T337" s="162">
        <v>-0.12864</v>
      </c>
      <c r="U337" s="162">
        <v>3.5459999999999998E-2</v>
      </c>
      <c r="V337" s="162">
        <v>0.1865</v>
      </c>
      <c r="W337" s="162">
        <v>0.33179999999999998</v>
      </c>
      <c r="X337" s="162">
        <v>0.45910000000000001</v>
      </c>
      <c r="Y337" s="162">
        <v>0.57840000000000003</v>
      </c>
      <c r="Z337" s="162">
        <v>0.68669999999999998</v>
      </c>
      <c r="AA337" s="162">
        <v>0.78415999999999997</v>
      </c>
      <c r="AB337" s="162">
        <v>0.871</v>
      </c>
      <c r="AC337" s="162">
        <v>0.94869999999999999</v>
      </c>
      <c r="AD337" s="162">
        <v>1.0176000000000001</v>
      </c>
      <c r="AE337" s="162">
        <v>1.0783</v>
      </c>
      <c r="AF337" s="162">
        <v>1.1332599999999999</v>
      </c>
      <c r="AG337" s="162">
        <v>1.1672880000000001</v>
      </c>
      <c r="AH337" s="162">
        <v>1.2013160000000001</v>
      </c>
      <c r="AI337" s="162">
        <v>1.235344</v>
      </c>
      <c r="AJ337" s="162">
        <v>1.2693719999999999</v>
      </c>
      <c r="AK337" s="162">
        <v>1.3033999999999999</v>
      </c>
      <c r="AL337" s="162">
        <v>1.3160320000000001</v>
      </c>
      <c r="AM337" s="162">
        <v>1.3286640000000001</v>
      </c>
      <c r="AN337" s="162">
        <v>1.341296</v>
      </c>
      <c r="AO337" s="162">
        <v>1.353928</v>
      </c>
      <c r="AP337" s="162">
        <v>1.36656</v>
      </c>
      <c r="AQ337" s="162">
        <v>1.3708480000000001</v>
      </c>
      <c r="AR337" s="162">
        <v>1.3751359999999999</v>
      </c>
      <c r="AS337" s="162">
        <v>1.379424</v>
      </c>
      <c r="AT337" s="162">
        <v>1.3837120000000001</v>
      </c>
      <c r="AU337" s="162">
        <v>1.3879999999999999</v>
      </c>
    </row>
    <row r="338" spans="1:47" ht="12.75" customHeight="1">
      <c r="A338" s="459">
        <v>43259</v>
      </c>
      <c r="B338" s="139">
        <v>23</v>
      </c>
      <c r="C338" s="162">
        <v>-0.36</v>
      </c>
      <c r="D338" s="162">
        <v>-0.36</v>
      </c>
      <c r="E338" s="162">
        <v>-0.35765999999999998</v>
      </c>
      <c r="F338" s="162">
        <v>-0.36030000000000001</v>
      </c>
      <c r="G338" s="162">
        <v>-0.36102000000000001</v>
      </c>
      <c r="H338" s="162">
        <v>-0.35865999999999998</v>
      </c>
      <c r="I338" s="162">
        <v>-0.35815999999999998</v>
      </c>
      <c r="J338" s="162">
        <v>-0.36043999999999998</v>
      </c>
      <c r="K338" s="162">
        <v>-0.35855999999999999</v>
      </c>
      <c r="L338" s="162">
        <v>-0.35692000000000002</v>
      </c>
      <c r="M338" s="162">
        <v>-0.35683999999999999</v>
      </c>
      <c r="N338" s="162">
        <v>-0.35668</v>
      </c>
      <c r="O338" s="162">
        <v>-0.35624</v>
      </c>
      <c r="P338" s="162">
        <v>-0.35549999999999998</v>
      </c>
      <c r="Q338" s="162">
        <v>-0.35452</v>
      </c>
      <c r="R338" s="162">
        <v>-0.35260000000000002</v>
      </c>
      <c r="S338" s="162">
        <v>-0.29304000000000002</v>
      </c>
      <c r="T338" s="162">
        <v>-0.17774000000000001</v>
      </c>
      <c r="U338" s="162">
        <v>-4.0500000000000001E-2</v>
      </c>
      <c r="V338" s="162">
        <v>9.0999999999999998E-2</v>
      </c>
      <c r="W338" s="162">
        <v>0.2329</v>
      </c>
      <c r="X338" s="162">
        <v>0.35826000000000002</v>
      </c>
      <c r="Y338" s="162">
        <v>0.4788</v>
      </c>
      <c r="Z338" s="162">
        <v>0.5887</v>
      </c>
      <c r="AA338" s="162">
        <v>0.68700000000000006</v>
      </c>
      <c r="AB338" s="162">
        <v>0.77480000000000004</v>
      </c>
      <c r="AC338" s="162">
        <v>0.85509999999999997</v>
      </c>
      <c r="AD338" s="162">
        <v>0.9254</v>
      </c>
      <c r="AE338" s="162">
        <v>0.98780000000000001</v>
      </c>
      <c r="AF338" s="162">
        <v>1.0468</v>
      </c>
      <c r="AG338" s="162">
        <v>1.0802</v>
      </c>
      <c r="AH338" s="162">
        <v>1.1135999999999999</v>
      </c>
      <c r="AI338" s="162">
        <v>1.147</v>
      </c>
      <c r="AJ338" s="162">
        <v>1.1803999999999999</v>
      </c>
      <c r="AK338" s="162">
        <v>1.2138</v>
      </c>
      <c r="AL338" s="162">
        <v>1.22654</v>
      </c>
      <c r="AM338" s="162">
        <v>1.2392799999999999</v>
      </c>
      <c r="AN338" s="162">
        <v>1.2520199999999999</v>
      </c>
      <c r="AO338" s="162">
        <v>1.2647600000000001</v>
      </c>
      <c r="AP338" s="162">
        <v>1.2775000000000001</v>
      </c>
      <c r="AQ338" s="162">
        <v>1.2819320000000001</v>
      </c>
      <c r="AR338" s="162">
        <v>1.2863640000000001</v>
      </c>
      <c r="AS338" s="162">
        <v>1.2907960000000001</v>
      </c>
      <c r="AT338" s="162">
        <v>1.295228</v>
      </c>
      <c r="AU338" s="162">
        <v>1.29966</v>
      </c>
    </row>
    <row r="339" spans="1:47" ht="12.75" customHeight="1">
      <c r="A339" s="459">
        <v>43266</v>
      </c>
      <c r="B339" s="139">
        <v>24</v>
      </c>
      <c r="C339" s="162">
        <v>-0.35725000000000001</v>
      </c>
      <c r="D339" s="162">
        <v>-0.35725000000000001</v>
      </c>
      <c r="E339" s="162">
        <v>-0.35521999999999998</v>
      </c>
      <c r="F339" s="162">
        <v>-0.35798000000000002</v>
      </c>
      <c r="G339" s="162">
        <v>-0.35620000000000002</v>
      </c>
      <c r="H339" s="162">
        <v>-0.35332000000000002</v>
      </c>
      <c r="I339" s="162">
        <v>-0.35696</v>
      </c>
      <c r="J339" s="162">
        <v>-0.35387999999999997</v>
      </c>
      <c r="K339" s="162">
        <v>-0.35246</v>
      </c>
      <c r="L339" s="162">
        <v>-0.35417999999999999</v>
      </c>
      <c r="M339" s="162">
        <v>-0.35376000000000002</v>
      </c>
      <c r="N339" s="162">
        <v>-0.35238000000000003</v>
      </c>
      <c r="O339" s="162">
        <v>-0.35208</v>
      </c>
      <c r="P339" s="162">
        <v>-0.34974</v>
      </c>
      <c r="Q339" s="162">
        <v>-0.34810000000000002</v>
      </c>
      <c r="R339" s="162">
        <v>-0.3468</v>
      </c>
      <c r="S339" s="162">
        <v>-0.26550000000000001</v>
      </c>
      <c r="T339" s="162">
        <v>-0.12207999999999999</v>
      </c>
      <c r="U339" s="162">
        <v>3.1300000000000001E-2</v>
      </c>
      <c r="V339" s="162">
        <v>0.17685999999999999</v>
      </c>
      <c r="W339" s="162">
        <v>0.31559999999999999</v>
      </c>
      <c r="X339" s="162">
        <v>0.44575999999999999</v>
      </c>
      <c r="Y339" s="162">
        <v>0.56625999999999999</v>
      </c>
      <c r="Z339" s="162">
        <v>0.67576000000000003</v>
      </c>
      <c r="AA339" s="162">
        <v>0.77425999999999995</v>
      </c>
      <c r="AB339" s="162">
        <v>0.86119999999999997</v>
      </c>
      <c r="AC339" s="162">
        <v>0.94016</v>
      </c>
      <c r="AD339" s="162">
        <v>1.0086999999999999</v>
      </c>
      <c r="AE339" s="162">
        <v>1.0690999999999999</v>
      </c>
      <c r="AF339" s="162">
        <v>1.1165</v>
      </c>
      <c r="AG339" s="162">
        <v>1.15144</v>
      </c>
      <c r="AH339" s="162">
        <v>1.18638</v>
      </c>
      <c r="AI339" s="162">
        <v>1.22132</v>
      </c>
      <c r="AJ339" s="162">
        <v>1.2562599999999999</v>
      </c>
      <c r="AK339" s="162">
        <v>1.2911999999999999</v>
      </c>
      <c r="AL339" s="162">
        <v>1.3031999999999999</v>
      </c>
      <c r="AM339" s="162">
        <v>1.3151999999999999</v>
      </c>
      <c r="AN339" s="162">
        <v>1.3271999999999999</v>
      </c>
      <c r="AO339" s="162">
        <v>1.3391999999999999</v>
      </c>
      <c r="AP339" s="162">
        <v>1.3512</v>
      </c>
      <c r="AQ339" s="162">
        <v>1.3552919999999999</v>
      </c>
      <c r="AR339" s="162">
        <v>1.3593839999999999</v>
      </c>
      <c r="AS339" s="162">
        <v>1.3634759999999999</v>
      </c>
      <c r="AT339" s="162">
        <v>1.3675679999999999</v>
      </c>
      <c r="AU339" s="162">
        <v>1.3716600000000001</v>
      </c>
    </row>
    <row r="340" spans="1:47" ht="12.75" customHeight="1">
      <c r="A340" s="459">
        <v>43273</v>
      </c>
      <c r="B340" s="139">
        <v>25</v>
      </c>
      <c r="C340" s="162">
        <v>-0.36133333000000001</v>
      </c>
      <c r="D340" s="162">
        <v>-0.36133333000000001</v>
      </c>
      <c r="E340" s="162">
        <v>-0.35567500000000002</v>
      </c>
      <c r="F340" s="162">
        <v>-0.35747499999999999</v>
      </c>
      <c r="G340" s="162">
        <v>-0.35565000000000002</v>
      </c>
      <c r="H340" s="162">
        <v>-0.35670000000000002</v>
      </c>
      <c r="I340" s="162">
        <v>-0.35617500000000002</v>
      </c>
      <c r="J340" s="162">
        <v>-0.35367500000000002</v>
      </c>
      <c r="K340" s="162">
        <v>-0.35512500000000002</v>
      </c>
      <c r="L340" s="162">
        <v>-0.35444999999999999</v>
      </c>
      <c r="M340" s="162">
        <v>-0.35422500000000001</v>
      </c>
      <c r="N340" s="162">
        <v>-0.35339999999999999</v>
      </c>
      <c r="O340" s="162">
        <v>-0.35262500000000002</v>
      </c>
      <c r="P340" s="162">
        <v>-0.35122500000000001</v>
      </c>
      <c r="Q340" s="162">
        <v>-0.34997499999999998</v>
      </c>
      <c r="R340" s="162">
        <v>-0.3478</v>
      </c>
      <c r="S340" s="162">
        <v>-0.25995000000000001</v>
      </c>
      <c r="T340" s="162">
        <v>-0.10925</v>
      </c>
      <c r="U340" s="162">
        <v>4.9125000000000002E-2</v>
      </c>
      <c r="V340" s="162">
        <v>0.198375</v>
      </c>
      <c r="W340" s="162">
        <v>0.33742499999999997</v>
      </c>
      <c r="X340" s="162">
        <v>0.46694999999999998</v>
      </c>
      <c r="Y340" s="162">
        <v>0.58587500000000003</v>
      </c>
      <c r="Z340" s="162">
        <v>0.69337499999999996</v>
      </c>
      <c r="AA340" s="162">
        <v>0.79025000000000001</v>
      </c>
      <c r="AB340" s="162">
        <v>0.87812500000000004</v>
      </c>
      <c r="AC340" s="162">
        <v>0.95645000000000002</v>
      </c>
      <c r="AD340" s="162">
        <v>1.0249999999999999</v>
      </c>
      <c r="AE340" s="162">
        <v>1.0845</v>
      </c>
      <c r="AF340" s="162">
        <v>1.1365000000000001</v>
      </c>
      <c r="AG340" s="162">
        <v>1.1696150000000001</v>
      </c>
      <c r="AH340" s="162">
        <v>1.2027300000000001</v>
      </c>
      <c r="AI340" s="162">
        <v>1.2358450000000001</v>
      </c>
      <c r="AJ340" s="162">
        <v>1.2689600000000001</v>
      </c>
      <c r="AK340" s="162">
        <v>1.3020750000000001</v>
      </c>
      <c r="AL340" s="162">
        <v>1.3135349999999999</v>
      </c>
      <c r="AM340" s="162">
        <v>1.3249949999999999</v>
      </c>
      <c r="AN340" s="162">
        <v>1.3364549999999999</v>
      </c>
      <c r="AO340" s="162">
        <v>1.347915</v>
      </c>
      <c r="AP340" s="162">
        <v>1.359375</v>
      </c>
      <c r="AQ340" s="162">
        <v>1.3629899999999999</v>
      </c>
      <c r="AR340" s="162">
        <v>1.3666050000000001</v>
      </c>
      <c r="AS340" s="162">
        <v>1.37022</v>
      </c>
      <c r="AT340" s="162">
        <v>1.3738349999999999</v>
      </c>
      <c r="AU340" s="162">
        <v>1.3774500000000001</v>
      </c>
    </row>
    <row r="341" spans="1:47" ht="12.75" customHeight="1">
      <c r="A341" s="459">
        <v>43280</v>
      </c>
      <c r="B341" s="139">
        <v>26</v>
      </c>
      <c r="C341" s="162">
        <v>-0.36425000000000002</v>
      </c>
      <c r="D341" s="162">
        <v>-0.36425000000000002</v>
      </c>
      <c r="E341" s="162">
        <v>-0.35664000000000001</v>
      </c>
      <c r="F341" s="162">
        <v>-0.35343999999999998</v>
      </c>
      <c r="G341" s="162">
        <v>-0.35398000000000002</v>
      </c>
      <c r="H341" s="162">
        <v>-0.35577999999999999</v>
      </c>
      <c r="I341" s="162">
        <v>-0.35389999999999999</v>
      </c>
      <c r="J341" s="162">
        <v>-0.35661999999999999</v>
      </c>
      <c r="K341" s="162">
        <v>-0.35508000000000001</v>
      </c>
      <c r="L341" s="162">
        <v>-0.35364000000000001</v>
      </c>
      <c r="M341" s="162">
        <v>-0.35726000000000002</v>
      </c>
      <c r="N341" s="162">
        <v>-0.35289999999999999</v>
      </c>
      <c r="O341" s="162">
        <v>-0.35474</v>
      </c>
      <c r="P341" s="162">
        <v>-0.35405999999999999</v>
      </c>
      <c r="Q341" s="162">
        <v>-0.35352</v>
      </c>
      <c r="R341" s="162">
        <v>-0.35292000000000001</v>
      </c>
      <c r="S341" s="162">
        <v>-0.30105999999999999</v>
      </c>
      <c r="T341" s="162">
        <v>-0.18518000000000001</v>
      </c>
      <c r="U341" s="162">
        <v>-5.16E-2</v>
      </c>
      <c r="V341" s="162">
        <v>8.3260000000000001E-2</v>
      </c>
      <c r="W341" s="162">
        <v>0.21679999999999999</v>
      </c>
      <c r="X341" s="162">
        <v>0.34616000000000002</v>
      </c>
      <c r="Y341" s="162">
        <v>0.46936</v>
      </c>
      <c r="Z341" s="162">
        <v>0.58335999999999999</v>
      </c>
      <c r="AA341" s="162">
        <v>0.68696000000000002</v>
      </c>
      <c r="AB341" s="162">
        <v>0.78010000000000002</v>
      </c>
      <c r="AC341" s="162">
        <v>0.86460000000000004</v>
      </c>
      <c r="AD341" s="162">
        <v>0.93840000000000001</v>
      </c>
      <c r="AE341" s="162">
        <v>1.0026999999999999</v>
      </c>
      <c r="AF341" s="162">
        <v>1.0568</v>
      </c>
      <c r="AG341" s="162">
        <v>1.094312</v>
      </c>
      <c r="AH341" s="162">
        <v>1.1318239999999999</v>
      </c>
      <c r="AI341" s="162">
        <v>1.1693359999999999</v>
      </c>
      <c r="AJ341" s="162">
        <v>1.2068479999999999</v>
      </c>
      <c r="AK341" s="162">
        <v>1.2443599999999999</v>
      </c>
      <c r="AL341" s="162">
        <v>1.2587280000000001</v>
      </c>
      <c r="AM341" s="162">
        <v>1.273096</v>
      </c>
      <c r="AN341" s="162">
        <v>1.2874639999999999</v>
      </c>
      <c r="AO341" s="162">
        <v>1.3018320000000001</v>
      </c>
      <c r="AP341" s="162">
        <v>1.3162</v>
      </c>
      <c r="AQ341" s="162">
        <v>1.321752</v>
      </c>
      <c r="AR341" s="162">
        <v>1.327304</v>
      </c>
      <c r="AS341" s="162">
        <v>1.332856</v>
      </c>
      <c r="AT341" s="162">
        <v>1.338408</v>
      </c>
      <c r="AU341" s="162">
        <v>1.34396</v>
      </c>
    </row>
    <row r="342" spans="1:47" ht="12.75" customHeight="1">
      <c r="A342" s="459">
        <v>43287</v>
      </c>
      <c r="B342" s="139">
        <v>27</v>
      </c>
      <c r="C342" s="162">
        <v>-0.36525000000000002</v>
      </c>
      <c r="D342" s="162">
        <v>-0.36525000000000002</v>
      </c>
      <c r="E342" s="162">
        <v>-0.35624</v>
      </c>
      <c r="F342" s="162">
        <v>-0.35399999999999998</v>
      </c>
      <c r="G342" s="162">
        <v>-0.35348000000000002</v>
      </c>
      <c r="H342" s="162">
        <v>-0.35521999999999998</v>
      </c>
      <c r="I342" s="162">
        <v>-0.35665999999999998</v>
      </c>
      <c r="J342" s="162">
        <v>-0.35858000000000001</v>
      </c>
      <c r="K342" s="162">
        <v>-0.35520000000000002</v>
      </c>
      <c r="L342" s="162">
        <v>-0.35411999999999999</v>
      </c>
      <c r="M342" s="162">
        <v>-0.3584</v>
      </c>
      <c r="N342" s="162">
        <v>-0.35787999999999998</v>
      </c>
      <c r="O342" s="162">
        <v>-0.35761999999999999</v>
      </c>
      <c r="P342" s="162">
        <v>-0.35642000000000001</v>
      </c>
      <c r="Q342" s="162">
        <v>-0.35554000000000002</v>
      </c>
      <c r="R342" s="162">
        <v>-0.35477999999999998</v>
      </c>
      <c r="S342" s="162">
        <v>-0.30302000000000001</v>
      </c>
      <c r="T342" s="162">
        <v>-0.18251999999999999</v>
      </c>
      <c r="U342" s="162">
        <v>-4.6800000000000001E-2</v>
      </c>
      <c r="V342" s="162">
        <v>8.9200000000000002E-2</v>
      </c>
      <c r="W342" s="162">
        <v>0.22145999999999999</v>
      </c>
      <c r="X342" s="162">
        <v>0.35010000000000002</v>
      </c>
      <c r="Y342" s="162">
        <v>0.4718</v>
      </c>
      <c r="Z342" s="162">
        <v>0.58460000000000001</v>
      </c>
      <c r="AA342" s="162">
        <v>0.68659999999999999</v>
      </c>
      <c r="AB342" s="162">
        <v>0.77880000000000005</v>
      </c>
      <c r="AC342" s="162">
        <v>0.86099999999999999</v>
      </c>
      <c r="AD342" s="162">
        <v>0.93300000000000005</v>
      </c>
      <c r="AE342" s="162">
        <v>0.99680000000000002</v>
      </c>
      <c r="AF342" s="162">
        <v>1.0513999999999999</v>
      </c>
      <c r="AG342" s="162">
        <v>1.0872200000000001</v>
      </c>
      <c r="AH342" s="162">
        <v>1.12304</v>
      </c>
      <c r="AI342" s="162">
        <v>1.15886</v>
      </c>
      <c r="AJ342" s="162">
        <v>1.19468</v>
      </c>
      <c r="AK342" s="162">
        <v>1.2304999999999999</v>
      </c>
      <c r="AL342" s="162">
        <v>1.2441120000000001</v>
      </c>
      <c r="AM342" s="162">
        <v>1.2577240000000001</v>
      </c>
      <c r="AN342" s="162">
        <v>1.271336</v>
      </c>
      <c r="AO342" s="162">
        <v>1.284948</v>
      </c>
      <c r="AP342" s="162">
        <v>1.2985599999999999</v>
      </c>
      <c r="AQ342" s="162">
        <v>1.303688</v>
      </c>
      <c r="AR342" s="162">
        <v>1.308816</v>
      </c>
      <c r="AS342" s="162">
        <v>1.313944</v>
      </c>
      <c r="AT342" s="162">
        <v>1.319072</v>
      </c>
      <c r="AU342" s="162">
        <v>1.3242</v>
      </c>
    </row>
    <row r="343" spans="1:47" ht="12.75" customHeight="1">
      <c r="A343" s="459">
        <v>43294</v>
      </c>
      <c r="B343" s="139">
        <v>28</v>
      </c>
      <c r="C343" s="162">
        <v>-0.36225000000000002</v>
      </c>
      <c r="D343" s="162">
        <v>-0.36225000000000002</v>
      </c>
      <c r="E343" s="162">
        <v>-0.36015999999999998</v>
      </c>
      <c r="F343" s="162">
        <v>-0.36009999999999998</v>
      </c>
      <c r="G343" s="162">
        <v>-0.35962</v>
      </c>
      <c r="H343" s="162">
        <v>-0.35859999999999997</v>
      </c>
      <c r="I343" s="162">
        <v>-0.35909999999999997</v>
      </c>
      <c r="J343" s="162">
        <v>-0.35905999999999999</v>
      </c>
      <c r="K343" s="162">
        <v>-0.35814000000000001</v>
      </c>
      <c r="L343" s="162">
        <v>-0.35774</v>
      </c>
      <c r="M343" s="162">
        <v>-0.35970000000000002</v>
      </c>
      <c r="N343" s="162">
        <v>-0.35730000000000001</v>
      </c>
      <c r="O343" s="162">
        <v>-0.35761999999999999</v>
      </c>
      <c r="P343" s="162">
        <v>-0.35726000000000002</v>
      </c>
      <c r="Q343" s="162">
        <v>-0.35680000000000001</v>
      </c>
      <c r="R343" s="162">
        <v>-0.35542000000000001</v>
      </c>
      <c r="S343" s="162">
        <v>-0.29608000000000001</v>
      </c>
      <c r="T343" s="162">
        <v>-0.17604</v>
      </c>
      <c r="U343" s="162">
        <v>-4.4260000000000001E-2</v>
      </c>
      <c r="V343" s="162">
        <v>9.196E-2</v>
      </c>
      <c r="W343" s="162">
        <v>0.21926000000000001</v>
      </c>
      <c r="X343" s="162">
        <v>0.34705999999999998</v>
      </c>
      <c r="Y343" s="162">
        <v>0.46516000000000002</v>
      </c>
      <c r="Z343" s="162">
        <v>0.57530000000000003</v>
      </c>
      <c r="AA343" s="162">
        <v>0.67510000000000003</v>
      </c>
      <c r="AB343" s="162">
        <v>0.7661</v>
      </c>
      <c r="AC343" s="162">
        <v>0.84670000000000001</v>
      </c>
      <c r="AD343" s="162">
        <v>0.91810000000000003</v>
      </c>
      <c r="AE343" s="162">
        <v>0.98060000000000003</v>
      </c>
      <c r="AF343" s="162">
        <v>1.0297000000000001</v>
      </c>
      <c r="AG343" s="162">
        <v>1.06562</v>
      </c>
      <c r="AH343" s="162">
        <v>1.10154</v>
      </c>
      <c r="AI343" s="162">
        <v>1.1374599999999999</v>
      </c>
      <c r="AJ343" s="162">
        <v>1.1733800000000001</v>
      </c>
      <c r="AK343" s="162">
        <v>1.2093</v>
      </c>
      <c r="AL343" s="162">
        <v>1.2222599999999999</v>
      </c>
      <c r="AM343" s="162">
        <v>1.23522</v>
      </c>
      <c r="AN343" s="162">
        <v>1.2481800000000001</v>
      </c>
      <c r="AO343" s="162">
        <v>1.2611399999999999</v>
      </c>
      <c r="AP343" s="162">
        <v>1.2741</v>
      </c>
      <c r="AQ343" s="162">
        <v>1.27874</v>
      </c>
      <c r="AR343" s="162">
        <v>1.28338</v>
      </c>
      <c r="AS343" s="162">
        <v>1.2880199999999999</v>
      </c>
      <c r="AT343" s="162">
        <v>1.2926599999999999</v>
      </c>
      <c r="AU343" s="162">
        <v>1.2972999999999999</v>
      </c>
    </row>
    <row r="344" spans="1:47" ht="12.75" customHeight="1">
      <c r="A344" s="459">
        <v>43301</v>
      </c>
      <c r="B344" s="139">
        <v>29</v>
      </c>
      <c r="C344" s="162">
        <v>-0.36199999999999999</v>
      </c>
      <c r="D344" s="162">
        <v>-0.36199999999999999</v>
      </c>
      <c r="E344" s="162">
        <v>-0.36059999999999998</v>
      </c>
      <c r="F344" s="162">
        <v>-0.36020000000000002</v>
      </c>
      <c r="G344" s="162">
        <v>-0.35943999999999998</v>
      </c>
      <c r="H344" s="162">
        <v>-0.35949999999999999</v>
      </c>
      <c r="I344" s="162">
        <v>-0.35908000000000001</v>
      </c>
      <c r="J344" s="162">
        <v>-0.35936000000000001</v>
      </c>
      <c r="K344" s="162">
        <v>-0.35871999999999998</v>
      </c>
      <c r="L344" s="162">
        <v>-0.35864000000000001</v>
      </c>
      <c r="M344" s="162">
        <v>-0.35892000000000002</v>
      </c>
      <c r="N344" s="162">
        <v>-0.35842000000000002</v>
      </c>
      <c r="O344" s="162">
        <v>-0.35783999999999999</v>
      </c>
      <c r="P344" s="162">
        <v>-0.35764000000000001</v>
      </c>
      <c r="Q344" s="162">
        <v>-0.35796</v>
      </c>
      <c r="R344" s="162">
        <v>-0.35687999999999998</v>
      </c>
      <c r="S344" s="162">
        <v>-0.29187999999999997</v>
      </c>
      <c r="T344" s="162">
        <v>-0.17349999999999999</v>
      </c>
      <c r="U344" s="162">
        <v>-4.1799999999999997E-2</v>
      </c>
      <c r="V344" s="162">
        <v>8.9560000000000001E-2</v>
      </c>
      <c r="W344" s="162">
        <v>0.21548</v>
      </c>
      <c r="X344" s="162">
        <v>0.34126000000000001</v>
      </c>
      <c r="Y344" s="162">
        <v>0.45810000000000001</v>
      </c>
      <c r="Z344" s="162">
        <v>0.56806000000000001</v>
      </c>
      <c r="AA344" s="162">
        <v>0.66846000000000005</v>
      </c>
      <c r="AB344" s="162">
        <v>0.75890000000000002</v>
      </c>
      <c r="AC344" s="162">
        <v>0.84045999999999998</v>
      </c>
      <c r="AD344" s="162">
        <v>0.91180000000000005</v>
      </c>
      <c r="AE344" s="162">
        <v>0.97450000000000003</v>
      </c>
      <c r="AF344" s="162">
        <v>1.0275000000000001</v>
      </c>
      <c r="AG344" s="162">
        <v>1.0634999999999999</v>
      </c>
      <c r="AH344" s="162">
        <v>1.0994999999999999</v>
      </c>
      <c r="AI344" s="162">
        <v>1.1355</v>
      </c>
      <c r="AJ344" s="162">
        <v>1.1715</v>
      </c>
      <c r="AK344" s="162">
        <v>1.2075</v>
      </c>
      <c r="AL344" s="162">
        <v>1.220912</v>
      </c>
      <c r="AM344" s="162">
        <v>1.234324</v>
      </c>
      <c r="AN344" s="162">
        <v>1.247736</v>
      </c>
      <c r="AO344" s="162">
        <v>1.2611479999999999</v>
      </c>
      <c r="AP344" s="162">
        <v>1.2745599999999999</v>
      </c>
      <c r="AQ344" s="162">
        <v>1.27976</v>
      </c>
      <c r="AR344" s="162">
        <v>1.2849600000000001</v>
      </c>
      <c r="AS344" s="162">
        <v>1.29016</v>
      </c>
      <c r="AT344" s="162">
        <v>1.2953600000000001</v>
      </c>
      <c r="AU344" s="162">
        <v>1.3005599999999999</v>
      </c>
    </row>
    <row r="345" spans="1:47" ht="12.75" customHeight="1">
      <c r="A345" s="459">
        <v>43308</v>
      </c>
      <c r="B345" s="139">
        <v>30</v>
      </c>
      <c r="C345" s="162">
        <v>-0.36</v>
      </c>
      <c r="D345" s="162">
        <v>-0.36</v>
      </c>
      <c r="E345" s="162">
        <v>-0.36</v>
      </c>
      <c r="F345" s="162">
        <v>-0.3599</v>
      </c>
      <c r="G345" s="162">
        <v>-0.3604</v>
      </c>
      <c r="H345" s="162">
        <v>-0.35</v>
      </c>
      <c r="I345" s="162">
        <v>-0.36</v>
      </c>
      <c r="J345" s="162">
        <v>-0.36</v>
      </c>
      <c r="K345" s="162">
        <v>-0.35899999999999999</v>
      </c>
      <c r="L345" s="162">
        <v>-0.35899999999999999</v>
      </c>
      <c r="M345" s="162">
        <v>-0.35799999999999998</v>
      </c>
      <c r="N345" s="162">
        <v>-0.35799999999999998</v>
      </c>
      <c r="O345" s="162">
        <v>-0.35830000000000001</v>
      </c>
      <c r="P345" s="162">
        <v>-0.35699999999999998</v>
      </c>
      <c r="Q345" s="162">
        <v>-0.35709999999999997</v>
      </c>
      <c r="R345" s="162">
        <v>-0.35699999999999998</v>
      </c>
      <c r="S345" s="162">
        <v>-0.28149999999999997</v>
      </c>
      <c r="T345" s="162">
        <v>-0.15670000000000001</v>
      </c>
      <c r="U345" s="162">
        <v>-2.0799999999999999E-2</v>
      </c>
      <c r="V345" s="162">
        <v>0.1123</v>
      </c>
      <c r="W345" s="162">
        <v>0.24030000000000001</v>
      </c>
      <c r="X345" s="162">
        <v>0.36349999999999999</v>
      </c>
      <c r="Y345" s="162">
        <v>0.48149999999999998</v>
      </c>
      <c r="Z345" s="162">
        <v>0.59199999999999997</v>
      </c>
      <c r="AA345" s="162">
        <v>0.69330000000000003</v>
      </c>
      <c r="AB345" s="162">
        <v>0.78400000000000003</v>
      </c>
      <c r="AC345" s="162">
        <v>0.86350000000000005</v>
      </c>
      <c r="AD345" s="162">
        <v>0.9345</v>
      </c>
      <c r="AE345" s="162">
        <v>0.99780000000000002</v>
      </c>
      <c r="AF345" s="162">
        <v>1.0525</v>
      </c>
      <c r="AG345" s="162">
        <v>1.0878000000000001</v>
      </c>
      <c r="AH345" s="162">
        <v>1.1231</v>
      </c>
      <c r="AI345" s="162">
        <v>1.1584000000000001</v>
      </c>
      <c r="AJ345" s="162">
        <v>1.1937</v>
      </c>
      <c r="AK345" s="162">
        <v>1.2290000000000001</v>
      </c>
      <c r="AL345" s="162">
        <v>1.2423999999999999</v>
      </c>
      <c r="AM345" s="162">
        <v>1.2558</v>
      </c>
      <c r="AN345" s="162">
        <v>1.2692000000000001</v>
      </c>
      <c r="AO345" s="162">
        <v>1.2826</v>
      </c>
      <c r="AP345" s="162">
        <v>1.296</v>
      </c>
      <c r="AQ345" s="162">
        <v>1.3011999999999999</v>
      </c>
      <c r="AR345" s="162">
        <v>1.3064</v>
      </c>
      <c r="AS345" s="162">
        <v>1.3116000000000001</v>
      </c>
      <c r="AT345" s="162">
        <v>1.3168</v>
      </c>
      <c r="AU345" s="162">
        <v>1.3220000000000001</v>
      </c>
    </row>
    <row r="346" spans="1:47" ht="12.75" customHeight="1">
      <c r="A346" s="459">
        <v>43315</v>
      </c>
      <c r="B346" s="139">
        <v>31</v>
      </c>
      <c r="C346" s="162">
        <v>-0.36575000000000002</v>
      </c>
      <c r="D346" s="162">
        <v>-0.36575000000000002</v>
      </c>
      <c r="E346" s="162">
        <v>-0.36004000000000003</v>
      </c>
      <c r="F346" s="162">
        <v>-0.36074000000000001</v>
      </c>
      <c r="G346" s="162">
        <v>-0.36104000000000003</v>
      </c>
      <c r="H346" s="162">
        <v>-0.36086000000000001</v>
      </c>
      <c r="I346" s="162">
        <v>-0.36031999999999997</v>
      </c>
      <c r="J346" s="162">
        <v>-0.36</v>
      </c>
      <c r="K346" s="162">
        <v>-0.35783999999999999</v>
      </c>
      <c r="L346" s="162">
        <v>-0.35920000000000002</v>
      </c>
      <c r="M346" s="162">
        <v>-0.35887999999999998</v>
      </c>
      <c r="N346" s="162">
        <v>-0.35855999999999999</v>
      </c>
      <c r="O346" s="162">
        <v>-0.35639999999999999</v>
      </c>
      <c r="P346" s="162">
        <v>-0.35786000000000001</v>
      </c>
      <c r="Q346" s="162">
        <v>-0.35705999999999999</v>
      </c>
      <c r="R346" s="162">
        <v>-0.35577999999999999</v>
      </c>
      <c r="S346" s="162">
        <v>-0.27782000000000001</v>
      </c>
      <c r="T346" s="162">
        <v>-0.15092</v>
      </c>
      <c r="U346" s="162">
        <v>-1.37E-2</v>
      </c>
      <c r="V346" s="162">
        <v>0.1232</v>
      </c>
      <c r="W346" s="162">
        <v>0.24729999999999999</v>
      </c>
      <c r="X346" s="162">
        <v>0.37559999999999999</v>
      </c>
      <c r="Y346" s="162">
        <v>0.49359999999999998</v>
      </c>
      <c r="Z346" s="162">
        <v>0.60460000000000003</v>
      </c>
      <c r="AA346" s="162">
        <v>0.70450000000000002</v>
      </c>
      <c r="AB346" s="162">
        <v>0.79390000000000005</v>
      </c>
      <c r="AC346" s="162">
        <v>0.87460000000000004</v>
      </c>
      <c r="AD346" s="162">
        <v>0.94540000000000002</v>
      </c>
      <c r="AE346" s="162">
        <v>1.0069999999999999</v>
      </c>
      <c r="AF346" s="162">
        <v>1.0515000000000001</v>
      </c>
      <c r="AG346" s="162">
        <v>1.0882799999999999</v>
      </c>
      <c r="AH346" s="162">
        <v>1.1250599999999999</v>
      </c>
      <c r="AI346" s="162">
        <v>1.16184</v>
      </c>
      <c r="AJ346" s="162">
        <v>1.19862</v>
      </c>
      <c r="AK346" s="162">
        <v>1.2354000000000001</v>
      </c>
      <c r="AL346" s="162">
        <v>1.24858</v>
      </c>
      <c r="AM346" s="162">
        <v>1.26176</v>
      </c>
      <c r="AN346" s="162">
        <v>1.27494</v>
      </c>
      <c r="AO346" s="162">
        <v>1.2881199999999999</v>
      </c>
      <c r="AP346" s="162">
        <v>1.3012999999999999</v>
      </c>
      <c r="AQ346" s="162">
        <v>1.30644</v>
      </c>
      <c r="AR346" s="162">
        <v>1.31158</v>
      </c>
      <c r="AS346" s="162">
        <v>1.3167199999999999</v>
      </c>
      <c r="AT346" s="162">
        <v>1.32186</v>
      </c>
      <c r="AU346" s="162">
        <v>1.327</v>
      </c>
    </row>
    <row r="347" spans="1:47" ht="12.75" customHeight="1">
      <c r="A347" s="459">
        <v>43322</v>
      </c>
      <c r="B347" s="139">
        <v>32</v>
      </c>
      <c r="C347" s="162">
        <v>-0.35925000000000001</v>
      </c>
      <c r="D347" s="162">
        <v>-0.35925000000000001</v>
      </c>
      <c r="E347" s="162">
        <v>-0.36236000000000002</v>
      </c>
      <c r="F347" s="162">
        <v>-0.36092000000000002</v>
      </c>
      <c r="G347" s="162">
        <v>-0.35809999999999997</v>
      </c>
      <c r="H347" s="162">
        <v>-0.35410000000000003</v>
      </c>
      <c r="I347" s="162">
        <v>-0.3599</v>
      </c>
      <c r="J347" s="162">
        <v>-0.35752</v>
      </c>
      <c r="K347" s="162">
        <v>-0.35898000000000002</v>
      </c>
      <c r="L347" s="162">
        <v>-0.35696</v>
      </c>
      <c r="M347" s="162">
        <v>-0.35852000000000001</v>
      </c>
      <c r="N347" s="162">
        <v>-0.35761999999999999</v>
      </c>
      <c r="O347" s="162">
        <v>-0.35720000000000002</v>
      </c>
      <c r="P347" s="162">
        <v>-0.35632000000000003</v>
      </c>
      <c r="Q347" s="162">
        <v>-0.35496</v>
      </c>
      <c r="R347" s="162">
        <v>-0.35293999999999998</v>
      </c>
      <c r="S347" s="162">
        <v>-0.26706000000000002</v>
      </c>
      <c r="T347" s="162">
        <v>-0.12744</v>
      </c>
      <c r="U347" s="162">
        <v>1.7059999999999999E-2</v>
      </c>
      <c r="V347" s="162">
        <v>0.154</v>
      </c>
      <c r="W347" s="162">
        <v>0.28699999999999998</v>
      </c>
      <c r="X347" s="162">
        <v>0.41336000000000001</v>
      </c>
      <c r="Y347" s="162">
        <v>0.53236000000000006</v>
      </c>
      <c r="Z347" s="162">
        <v>0.64326000000000005</v>
      </c>
      <c r="AA347" s="162">
        <v>0.74306000000000005</v>
      </c>
      <c r="AB347" s="162">
        <v>0.83189999999999997</v>
      </c>
      <c r="AC347" s="162">
        <v>0.91159999999999997</v>
      </c>
      <c r="AD347" s="162">
        <v>0.98199999999999998</v>
      </c>
      <c r="AE347" s="162">
        <v>1.0434000000000001</v>
      </c>
      <c r="AF347" s="162">
        <v>1.0952</v>
      </c>
      <c r="AG347" s="162">
        <v>1.12988</v>
      </c>
      <c r="AH347" s="162">
        <v>1.16456</v>
      </c>
      <c r="AI347" s="162">
        <v>1.1992400000000001</v>
      </c>
      <c r="AJ347" s="162">
        <v>1.2339199999999999</v>
      </c>
      <c r="AK347" s="162">
        <v>1.2685999999999999</v>
      </c>
      <c r="AL347" s="162">
        <v>1.281552</v>
      </c>
      <c r="AM347" s="162">
        <v>1.2945040000000001</v>
      </c>
      <c r="AN347" s="162">
        <v>1.307456</v>
      </c>
      <c r="AO347" s="162">
        <v>1.320408</v>
      </c>
      <c r="AP347" s="162">
        <v>1.3333600000000001</v>
      </c>
      <c r="AQ347" s="162">
        <v>1.338328</v>
      </c>
      <c r="AR347" s="162">
        <v>1.343296</v>
      </c>
      <c r="AS347" s="162">
        <v>1.3482639999999999</v>
      </c>
      <c r="AT347" s="162">
        <v>1.353232</v>
      </c>
      <c r="AU347" s="162">
        <v>1.3582000000000001</v>
      </c>
    </row>
    <row r="348" spans="1:47" ht="12.75" customHeight="1">
      <c r="A348" s="459">
        <v>43329</v>
      </c>
      <c r="B348" s="139">
        <v>33</v>
      </c>
      <c r="C348" s="162">
        <v>-0.35775000000000001</v>
      </c>
      <c r="D348" s="162">
        <v>-0.35775000000000001</v>
      </c>
      <c r="E348" s="162">
        <v>-0.36026000000000002</v>
      </c>
      <c r="F348" s="162">
        <v>-0.35804000000000002</v>
      </c>
      <c r="G348" s="162">
        <v>-0.35155999999999998</v>
      </c>
      <c r="H348" s="162">
        <v>-0.3584</v>
      </c>
      <c r="I348" s="162">
        <v>-0.35858000000000001</v>
      </c>
      <c r="J348" s="162">
        <v>-0.35408000000000001</v>
      </c>
      <c r="K348" s="162">
        <v>-0.35827999999999999</v>
      </c>
      <c r="L348" s="162">
        <v>-0.35727999999999999</v>
      </c>
      <c r="M348" s="162">
        <v>-0.35586000000000001</v>
      </c>
      <c r="N348" s="162">
        <v>-0.35520000000000002</v>
      </c>
      <c r="O348" s="162">
        <v>-0.35421999999999998</v>
      </c>
      <c r="P348" s="162">
        <v>-0.35348000000000002</v>
      </c>
      <c r="Q348" s="162">
        <v>-0.35210000000000002</v>
      </c>
      <c r="R348" s="162">
        <v>-0.34845999999999999</v>
      </c>
      <c r="S348" s="162">
        <v>-0.27134000000000003</v>
      </c>
      <c r="T348" s="162">
        <v>-0.1424</v>
      </c>
      <c r="U348" s="162">
        <v>-7.7999999999999996E-3</v>
      </c>
      <c r="V348" s="162">
        <v>0.1234</v>
      </c>
      <c r="W348" s="162">
        <v>0.25262000000000001</v>
      </c>
      <c r="X348" s="162">
        <v>0.37830000000000003</v>
      </c>
      <c r="Y348" s="162">
        <v>0.49740000000000001</v>
      </c>
      <c r="Z348" s="162">
        <v>0.6079</v>
      </c>
      <c r="AA348" s="162">
        <v>0.70809999999999995</v>
      </c>
      <c r="AB348" s="162">
        <v>0.7974</v>
      </c>
      <c r="AC348" s="162">
        <v>0.87890000000000001</v>
      </c>
      <c r="AD348" s="162">
        <v>0.95020000000000004</v>
      </c>
      <c r="AE348" s="162">
        <v>1.012</v>
      </c>
      <c r="AF348" s="162">
        <v>1.0625</v>
      </c>
      <c r="AG348" s="162">
        <v>1.0981799999999999</v>
      </c>
      <c r="AH348" s="162">
        <v>1.1338600000000001</v>
      </c>
      <c r="AI348" s="162">
        <v>1.16954</v>
      </c>
      <c r="AJ348" s="162">
        <v>1.20522</v>
      </c>
      <c r="AK348" s="162">
        <v>1.2408999999999999</v>
      </c>
      <c r="AL348" s="162">
        <v>1.253952</v>
      </c>
      <c r="AM348" s="162">
        <v>1.267004</v>
      </c>
      <c r="AN348" s="162">
        <v>1.2800560000000001</v>
      </c>
      <c r="AO348" s="162">
        <v>1.2931079999999999</v>
      </c>
      <c r="AP348" s="162">
        <v>1.30616</v>
      </c>
      <c r="AQ348" s="162">
        <v>1.3112280000000001</v>
      </c>
      <c r="AR348" s="162">
        <v>1.3162959999999999</v>
      </c>
      <c r="AS348" s="162">
        <v>1.321364</v>
      </c>
      <c r="AT348" s="162">
        <v>1.3264320000000001</v>
      </c>
      <c r="AU348" s="162">
        <v>1.3314999999999999</v>
      </c>
    </row>
    <row r="349" spans="1:47" ht="12.75" customHeight="1">
      <c r="A349" s="459">
        <v>43336</v>
      </c>
      <c r="B349" s="139">
        <v>34</v>
      </c>
      <c r="C349" s="162">
        <v>-0.35925000000000001</v>
      </c>
      <c r="D349" s="162">
        <v>-0.35925000000000001</v>
      </c>
      <c r="E349" s="162">
        <v>-0.35809999999999997</v>
      </c>
      <c r="F349" s="162">
        <v>-0.35765999999999998</v>
      </c>
      <c r="G349" s="162">
        <v>-0.3528</v>
      </c>
      <c r="H349" s="162">
        <v>-0.35704000000000002</v>
      </c>
      <c r="I349" s="162">
        <v>-0.35674</v>
      </c>
      <c r="J349" s="162">
        <v>-0.35505999999999999</v>
      </c>
      <c r="K349" s="162">
        <v>-0.3543</v>
      </c>
      <c r="L349" s="162">
        <v>-0.35614000000000001</v>
      </c>
      <c r="M349" s="162">
        <v>-0.35752</v>
      </c>
      <c r="N349" s="162">
        <v>-0.35624</v>
      </c>
      <c r="O349" s="162">
        <v>-0.35596</v>
      </c>
      <c r="P349" s="162">
        <v>-0.35502</v>
      </c>
      <c r="Q349" s="162">
        <v>-0.35361999999999999</v>
      </c>
      <c r="R349" s="162">
        <v>-0.34877999999999998</v>
      </c>
      <c r="S349" s="162">
        <v>-0.28344000000000003</v>
      </c>
      <c r="T349" s="162">
        <v>-0.16854</v>
      </c>
      <c r="U349" s="162">
        <v>-4.5760000000000002E-2</v>
      </c>
      <c r="V349" s="162">
        <v>7.8600000000000003E-2</v>
      </c>
      <c r="W349" s="162">
        <v>0.20485999999999999</v>
      </c>
      <c r="X349" s="162">
        <v>0.32906000000000002</v>
      </c>
      <c r="Y349" s="162">
        <v>0.44700000000000001</v>
      </c>
      <c r="Z349" s="162">
        <v>0.55696000000000001</v>
      </c>
      <c r="AA349" s="162">
        <v>0.65690000000000004</v>
      </c>
      <c r="AB349" s="162">
        <v>0.74729999999999996</v>
      </c>
      <c r="AC349" s="162">
        <v>0.82869999999999999</v>
      </c>
      <c r="AD349" s="162">
        <v>0.90025999999999995</v>
      </c>
      <c r="AE349" s="162">
        <v>0.96309999999999996</v>
      </c>
      <c r="AF349" s="162">
        <v>1.0183599999999999</v>
      </c>
      <c r="AG349" s="162">
        <v>1.0534079999999999</v>
      </c>
      <c r="AH349" s="162">
        <v>1.0884560000000001</v>
      </c>
      <c r="AI349" s="162">
        <v>1.1235040000000001</v>
      </c>
      <c r="AJ349" s="162">
        <v>1.158552</v>
      </c>
      <c r="AK349" s="162">
        <v>1.1936</v>
      </c>
      <c r="AL349" s="162">
        <v>1.2070399999999999</v>
      </c>
      <c r="AM349" s="162">
        <v>1.22048</v>
      </c>
      <c r="AN349" s="162">
        <v>1.2339199999999999</v>
      </c>
      <c r="AO349" s="162">
        <v>1.24736</v>
      </c>
      <c r="AP349" s="162">
        <v>1.2607999999999999</v>
      </c>
      <c r="AQ349" s="162">
        <v>1.2660199999999999</v>
      </c>
      <c r="AR349" s="162">
        <v>1.2712399999999999</v>
      </c>
      <c r="AS349" s="162">
        <v>1.2764599999999999</v>
      </c>
      <c r="AT349" s="162">
        <v>1.2816799999999999</v>
      </c>
      <c r="AU349" s="162">
        <v>1.2868999999999999</v>
      </c>
    </row>
    <row r="350" spans="1:47" ht="12.75" customHeight="1">
      <c r="A350" s="459">
        <v>43343</v>
      </c>
      <c r="B350" s="139">
        <v>35</v>
      </c>
      <c r="C350" s="162">
        <v>-0.36249999999999999</v>
      </c>
      <c r="D350" s="162">
        <v>-0.36249999999999999</v>
      </c>
      <c r="E350" s="162">
        <v>-0.35655999999999999</v>
      </c>
      <c r="F350" s="162">
        <v>-0.35308</v>
      </c>
      <c r="G350" s="162">
        <v>-0.35780000000000001</v>
      </c>
      <c r="H350" s="162">
        <v>-0.35624</v>
      </c>
      <c r="I350" s="162">
        <v>-0.35804000000000002</v>
      </c>
      <c r="J350" s="162">
        <v>-0.35782000000000003</v>
      </c>
      <c r="K350" s="162">
        <v>-0.35733999999999999</v>
      </c>
      <c r="L350" s="162">
        <v>-0.35587999999999997</v>
      </c>
      <c r="M350" s="162">
        <v>-0.35721999999999998</v>
      </c>
      <c r="N350" s="162">
        <v>-0.35620000000000002</v>
      </c>
      <c r="O350" s="162">
        <v>-0.35621999999999998</v>
      </c>
      <c r="P350" s="162">
        <v>-0.35511999999999999</v>
      </c>
      <c r="Q350" s="162">
        <v>-0.35374</v>
      </c>
      <c r="R350" s="162">
        <v>-0.35161999999999999</v>
      </c>
      <c r="S350" s="162">
        <v>-0.28004000000000001</v>
      </c>
      <c r="T350" s="162">
        <v>-0.16367999999999999</v>
      </c>
      <c r="U350" s="162">
        <v>-3.6799999999999999E-2</v>
      </c>
      <c r="V350" s="162">
        <v>8.6800000000000002E-2</v>
      </c>
      <c r="W350" s="162">
        <v>0.21460000000000001</v>
      </c>
      <c r="X350" s="162">
        <v>0.33439999999999998</v>
      </c>
      <c r="Y350" s="162">
        <v>0.45119999999999999</v>
      </c>
      <c r="Z350" s="162">
        <v>0.56059999999999999</v>
      </c>
      <c r="AA350" s="162">
        <v>0.66010000000000002</v>
      </c>
      <c r="AB350" s="162">
        <v>0.75019999999999998</v>
      </c>
      <c r="AC350" s="162">
        <v>0.83169999999999999</v>
      </c>
      <c r="AD350" s="162">
        <v>0.90280000000000005</v>
      </c>
      <c r="AE350" s="162">
        <v>0.96550000000000002</v>
      </c>
      <c r="AF350" s="162">
        <v>1.0225</v>
      </c>
      <c r="AG350" s="162">
        <v>1.0570200000000001</v>
      </c>
      <c r="AH350" s="162">
        <v>1.09154</v>
      </c>
      <c r="AI350" s="162">
        <v>1.1260600000000001</v>
      </c>
      <c r="AJ350" s="162">
        <v>1.1605799999999999</v>
      </c>
      <c r="AK350" s="162">
        <v>1.1951000000000001</v>
      </c>
      <c r="AL350" s="162">
        <v>1.20828</v>
      </c>
      <c r="AM350" s="162">
        <v>1.22146</v>
      </c>
      <c r="AN350" s="162">
        <v>1.23464</v>
      </c>
      <c r="AO350" s="162">
        <v>1.2478199999999999</v>
      </c>
      <c r="AP350" s="162">
        <v>1.2609999999999999</v>
      </c>
      <c r="AQ350" s="162">
        <v>1.26614</v>
      </c>
      <c r="AR350" s="162">
        <v>1.27128</v>
      </c>
      <c r="AS350" s="162">
        <v>1.2764200000000001</v>
      </c>
      <c r="AT350" s="162">
        <v>1.28156</v>
      </c>
      <c r="AU350" s="162">
        <v>1.2867</v>
      </c>
    </row>
    <row r="351" spans="1:47" ht="12.75" customHeight="1">
      <c r="A351" s="459">
        <v>43350</v>
      </c>
      <c r="B351" s="139">
        <v>36</v>
      </c>
      <c r="C351" s="162">
        <v>-0.36225000000000002</v>
      </c>
      <c r="D351" s="162">
        <v>-0.36225000000000002</v>
      </c>
      <c r="E351" s="162">
        <v>-0.35636000000000001</v>
      </c>
      <c r="F351" s="162">
        <v>-0.35742000000000002</v>
      </c>
      <c r="G351" s="162">
        <v>-0.35833999999999999</v>
      </c>
      <c r="H351" s="162">
        <v>-0.35686000000000001</v>
      </c>
      <c r="I351" s="162">
        <v>-0.35508000000000001</v>
      </c>
      <c r="J351" s="162">
        <v>-0.35492000000000001</v>
      </c>
      <c r="K351" s="162">
        <v>-0.35338000000000003</v>
      </c>
      <c r="L351" s="162">
        <v>-0.35648000000000002</v>
      </c>
      <c r="M351" s="162">
        <v>-0.35709999999999997</v>
      </c>
      <c r="N351" s="162">
        <v>-0.35568</v>
      </c>
      <c r="O351" s="162">
        <v>-0.35289999999999999</v>
      </c>
      <c r="P351" s="162">
        <v>-0.35392000000000001</v>
      </c>
      <c r="Q351" s="162">
        <v>-0.35177999999999998</v>
      </c>
      <c r="R351" s="162">
        <v>-0.34995999999999999</v>
      </c>
      <c r="S351" s="162">
        <v>-0.27179999999999999</v>
      </c>
      <c r="T351" s="162">
        <v>-0.14906</v>
      </c>
      <c r="U351" s="162">
        <v>-1.6559999999999998E-2</v>
      </c>
      <c r="V351" s="162">
        <v>0.1118</v>
      </c>
      <c r="W351" s="162">
        <v>0.2397</v>
      </c>
      <c r="X351" s="162">
        <v>0.36149999999999999</v>
      </c>
      <c r="Y351" s="162">
        <v>0.47839999999999999</v>
      </c>
      <c r="Z351" s="162">
        <v>0.58840000000000003</v>
      </c>
      <c r="AA351" s="162">
        <v>0.68759999999999999</v>
      </c>
      <c r="AB351" s="162">
        <v>0.78025999999999995</v>
      </c>
      <c r="AC351" s="162">
        <v>0.86009999999999998</v>
      </c>
      <c r="AD351" s="162">
        <v>0.93200000000000005</v>
      </c>
      <c r="AE351" s="162">
        <v>0.99470000000000003</v>
      </c>
      <c r="AF351" s="162">
        <v>1.0509999999999999</v>
      </c>
      <c r="AG351" s="162">
        <v>1.0861400000000001</v>
      </c>
      <c r="AH351" s="162">
        <v>1.1212800000000001</v>
      </c>
      <c r="AI351" s="162">
        <v>1.15642</v>
      </c>
      <c r="AJ351" s="162">
        <v>1.19156</v>
      </c>
      <c r="AK351" s="162">
        <v>1.2266999999999999</v>
      </c>
      <c r="AL351" s="162">
        <v>1.2398199999999999</v>
      </c>
      <c r="AM351" s="162">
        <v>1.2529399999999999</v>
      </c>
      <c r="AN351" s="162">
        <v>1.26606</v>
      </c>
      <c r="AO351" s="162">
        <v>1.27918</v>
      </c>
      <c r="AP351" s="162">
        <v>1.2923</v>
      </c>
      <c r="AQ351" s="162">
        <v>1.29732</v>
      </c>
      <c r="AR351" s="162">
        <v>1.3023400000000001</v>
      </c>
      <c r="AS351" s="162">
        <v>1.3073600000000001</v>
      </c>
      <c r="AT351" s="162">
        <v>1.3123800000000001</v>
      </c>
      <c r="AU351" s="162">
        <v>1.3173999999999999</v>
      </c>
    </row>
    <row r="352" spans="1:47" ht="12.75" customHeight="1">
      <c r="A352" s="459">
        <v>43357</v>
      </c>
      <c r="B352" s="139">
        <v>37</v>
      </c>
      <c r="C352" s="162">
        <v>-0.35549999999999998</v>
      </c>
      <c r="D352" s="162">
        <v>-0.35549999999999998</v>
      </c>
      <c r="E352" s="162">
        <v>-0.3574</v>
      </c>
      <c r="F352" s="162">
        <v>-0.3589</v>
      </c>
      <c r="G352" s="162">
        <v>-0.35718</v>
      </c>
      <c r="H352" s="162">
        <v>-0.35827999999999999</v>
      </c>
      <c r="I352" s="162">
        <v>-0.35787999999999998</v>
      </c>
      <c r="J352" s="162">
        <v>-0.35554000000000002</v>
      </c>
      <c r="K352" s="162">
        <v>-0.35746</v>
      </c>
      <c r="L352" s="162">
        <v>-0.35511999999999999</v>
      </c>
      <c r="M352" s="162">
        <v>-0.35587999999999997</v>
      </c>
      <c r="N352" s="162">
        <v>-0.35502</v>
      </c>
      <c r="O352" s="162">
        <v>-0.35692000000000002</v>
      </c>
      <c r="P352" s="162">
        <v>-0.35346</v>
      </c>
      <c r="Q352" s="162">
        <v>-0.35136000000000001</v>
      </c>
      <c r="R352" s="162">
        <v>-0.34942000000000001</v>
      </c>
      <c r="S352" s="162">
        <v>-0.2707</v>
      </c>
      <c r="T352" s="162">
        <v>-0.14782000000000001</v>
      </c>
      <c r="U352" s="162">
        <v>-1.286E-2</v>
      </c>
      <c r="V352" s="162">
        <v>0.1139</v>
      </c>
      <c r="W352" s="162">
        <v>0.24265999999999999</v>
      </c>
      <c r="X352" s="162">
        <v>0.36120000000000002</v>
      </c>
      <c r="Y352" s="162">
        <v>0.47799999999999998</v>
      </c>
      <c r="Z352" s="162">
        <v>0.58635999999999999</v>
      </c>
      <c r="AA352" s="162">
        <v>0.68610000000000004</v>
      </c>
      <c r="AB352" s="162">
        <v>0.77600000000000002</v>
      </c>
      <c r="AC352" s="162">
        <v>0.85750000000000004</v>
      </c>
      <c r="AD352" s="162">
        <v>0.93020000000000003</v>
      </c>
      <c r="AE352" s="162">
        <v>0.99356</v>
      </c>
      <c r="AF352" s="162">
        <v>1.0472999999999999</v>
      </c>
      <c r="AG352" s="162">
        <v>1.0827800000000001</v>
      </c>
      <c r="AH352" s="162">
        <v>1.11826</v>
      </c>
      <c r="AI352" s="162">
        <v>1.15374</v>
      </c>
      <c r="AJ352" s="162">
        <v>1.1892199999999999</v>
      </c>
      <c r="AK352" s="162">
        <v>1.2246999999999999</v>
      </c>
      <c r="AL352" s="162">
        <v>1.2378800000000001</v>
      </c>
      <c r="AM352" s="162">
        <v>1.2510600000000001</v>
      </c>
      <c r="AN352" s="162">
        <v>1.26424</v>
      </c>
      <c r="AO352" s="162">
        <v>1.27742</v>
      </c>
      <c r="AP352" s="162">
        <v>1.2906</v>
      </c>
      <c r="AQ352" s="162">
        <v>1.2956799999999999</v>
      </c>
      <c r="AR352" s="162">
        <v>1.3007599999999999</v>
      </c>
      <c r="AS352" s="162">
        <v>1.3058399999999999</v>
      </c>
      <c r="AT352" s="162">
        <v>1.3109200000000001</v>
      </c>
      <c r="AU352" s="162">
        <v>1.3160000000000001</v>
      </c>
    </row>
    <row r="353" spans="1:47" ht="12.75" customHeight="1">
      <c r="A353" s="459">
        <v>43364</v>
      </c>
      <c r="B353" s="139">
        <v>38</v>
      </c>
      <c r="C353" s="162">
        <v>-0.36449999999999999</v>
      </c>
      <c r="D353" s="162">
        <v>-0.36449999999999999</v>
      </c>
      <c r="E353" s="162">
        <v>-0.35724</v>
      </c>
      <c r="F353" s="162">
        <v>-0.35786000000000001</v>
      </c>
      <c r="G353" s="162">
        <v>-0.35442000000000001</v>
      </c>
      <c r="H353" s="162">
        <v>-0.3548</v>
      </c>
      <c r="I353" s="162">
        <v>-0.35326000000000002</v>
      </c>
      <c r="J353" s="162">
        <v>-0.35637999999999997</v>
      </c>
      <c r="K353" s="162">
        <v>-0.35536000000000001</v>
      </c>
      <c r="L353" s="162">
        <v>-0.35421999999999998</v>
      </c>
      <c r="M353" s="162">
        <v>-0.35527999999999998</v>
      </c>
      <c r="N353" s="162">
        <v>-0.35389999999999999</v>
      </c>
      <c r="O353" s="162">
        <v>-0.35286000000000001</v>
      </c>
      <c r="P353" s="162">
        <v>-0.35145999999999999</v>
      </c>
      <c r="Q353" s="162">
        <v>-0.34967999999999999</v>
      </c>
      <c r="R353" s="162">
        <v>-0.34727999999999998</v>
      </c>
      <c r="S353" s="162">
        <v>-0.25675999999999999</v>
      </c>
      <c r="T353" s="162">
        <v>-0.1229</v>
      </c>
      <c r="U353" s="162">
        <v>2.4199999999999999E-2</v>
      </c>
      <c r="V353" s="162">
        <v>0.16300000000000001</v>
      </c>
      <c r="W353" s="162">
        <v>0.29499999999999998</v>
      </c>
      <c r="X353" s="162">
        <v>0.42176000000000002</v>
      </c>
      <c r="Y353" s="162">
        <v>0.54059999999999997</v>
      </c>
      <c r="Z353" s="162">
        <v>0.6512</v>
      </c>
      <c r="AA353" s="162">
        <v>0.75205999999999995</v>
      </c>
      <c r="AB353" s="162">
        <v>0.84265999999999996</v>
      </c>
      <c r="AC353" s="162">
        <v>0.92459999999999998</v>
      </c>
      <c r="AD353" s="162">
        <v>0.99616000000000005</v>
      </c>
      <c r="AE353" s="162">
        <v>1.0593600000000001</v>
      </c>
      <c r="AF353" s="162">
        <v>1.1137999999999999</v>
      </c>
      <c r="AG353" s="162">
        <v>1.14944</v>
      </c>
      <c r="AH353" s="162">
        <v>1.1850799999999999</v>
      </c>
      <c r="AI353" s="162">
        <v>1.22072</v>
      </c>
      <c r="AJ353" s="162">
        <v>1.2563599999999999</v>
      </c>
      <c r="AK353" s="162">
        <v>1.292</v>
      </c>
      <c r="AL353" s="162">
        <v>1.3049999999999999</v>
      </c>
      <c r="AM353" s="162">
        <v>1.3180000000000001</v>
      </c>
      <c r="AN353" s="162">
        <v>1.331</v>
      </c>
      <c r="AO353" s="162">
        <v>1.3440000000000001</v>
      </c>
      <c r="AP353" s="162">
        <v>1.357</v>
      </c>
      <c r="AQ353" s="162">
        <v>1.3614599999999999</v>
      </c>
      <c r="AR353" s="162">
        <v>1.36592</v>
      </c>
      <c r="AS353" s="162">
        <v>1.3703799999999999</v>
      </c>
      <c r="AT353" s="162">
        <v>1.3748400000000001</v>
      </c>
      <c r="AU353" s="162">
        <v>1.3793</v>
      </c>
    </row>
    <row r="354" spans="1:47" ht="12.75" customHeight="1">
      <c r="A354" s="459">
        <v>43371</v>
      </c>
      <c r="B354" s="139">
        <v>39</v>
      </c>
      <c r="C354" s="162">
        <v>-0.36599999999999999</v>
      </c>
      <c r="D354" s="162">
        <v>-0.36599999999999999</v>
      </c>
      <c r="E354" s="162">
        <v>-0.35852000000000001</v>
      </c>
      <c r="F354" s="162">
        <v>-0.3553</v>
      </c>
      <c r="G354" s="162">
        <v>-0.35570000000000002</v>
      </c>
      <c r="H354" s="162">
        <v>-0.35326000000000002</v>
      </c>
      <c r="I354" s="162">
        <v>-0.35496</v>
      </c>
      <c r="J354" s="162">
        <v>-0.35358000000000001</v>
      </c>
      <c r="K354" s="162">
        <v>-0.35374</v>
      </c>
      <c r="L354" s="162">
        <v>-0.35599999999999998</v>
      </c>
      <c r="M354" s="162">
        <v>-0.35471999999999998</v>
      </c>
      <c r="N354" s="162">
        <v>-0.35555999999999999</v>
      </c>
      <c r="O354" s="162">
        <v>-0.35236000000000001</v>
      </c>
      <c r="P354" s="162">
        <v>-0.35054000000000002</v>
      </c>
      <c r="Q354" s="162">
        <v>-0.3483</v>
      </c>
      <c r="R354" s="162">
        <v>-0.34516000000000002</v>
      </c>
      <c r="S354" s="162">
        <v>-0.24002000000000001</v>
      </c>
      <c r="T354" s="162">
        <v>-9.3939999999999996E-2</v>
      </c>
      <c r="U354" s="162">
        <v>6.08E-2</v>
      </c>
      <c r="V354" s="162">
        <v>0.20469999999999999</v>
      </c>
      <c r="W354" s="162">
        <v>0.33916000000000002</v>
      </c>
      <c r="X354" s="162">
        <v>0.46889999999999998</v>
      </c>
      <c r="Y354" s="162">
        <v>0.58809999999999996</v>
      </c>
      <c r="Z354" s="162">
        <v>0.69850000000000001</v>
      </c>
      <c r="AA354" s="162">
        <v>0.79910000000000003</v>
      </c>
      <c r="AB354" s="162">
        <v>0.88900000000000001</v>
      </c>
      <c r="AC354" s="162">
        <v>0.96989999999999998</v>
      </c>
      <c r="AD354" s="162">
        <v>1.0407999999999999</v>
      </c>
      <c r="AE354" s="162">
        <v>1.1034600000000001</v>
      </c>
      <c r="AF354" s="162">
        <v>1.1547000000000001</v>
      </c>
      <c r="AG354" s="162">
        <v>1.1901120000000001</v>
      </c>
      <c r="AH354" s="162">
        <v>1.2255240000000001</v>
      </c>
      <c r="AI354" s="162">
        <v>1.2609360000000001</v>
      </c>
      <c r="AJ354" s="162">
        <v>1.2963480000000001</v>
      </c>
      <c r="AK354" s="162">
        <v>1.3317600000000001</v>
      </c>
      <c r="AL354" s="162">
        <v>1.344508</v>
      </c>
      <c r="AM354" s="162">
        <v>1.357256</v>
      </c>
      <c r="AN354" s="162">
        <v>1.370004</v>
      </c>
      <c r="AO354" s="162">
        <v>1.382752</v>
      </c>
      <c r="AP354" s="162">
        <v>1.3955</v>
      </c>
      <c r="AQ354" s="162">
        <v>1.3996200000000001</v>
      </c>
      <c r="AR354" s="162">
        <v>1.40374</v>
      </c>
      <c r="AS354" s="162">
        <v>1.4078599999999999</v>
      </c>
      <c r="AT354" s="162">
        <v>1.41198</v>
      </c>
      <c r="AU354" s="162">
        <v>1.4160999999999999</v>
      </c>
    </row>
    <row r="355" spans="1:47" ht="12.75" customHeight="1">
      <c r="A355" s="459">
        <v>43378</v>
      </c>
      <c r="B355" s="139">
        <v>40</v>
      </c>
      <c r="C355" s="162">
        <v>-0.36625000000000002</v>
      </c>
      <c r="D355" s="162">
        <v>-0.36625000000000002</v>
      </c>
      <c r="E355" s="162">
        <v>-0.35436000000000001</v>
      </c>
      <c r="F355" s="162">
        <v>-0.35286000000000001</v>
      </c>
      <c r="G355" s="162">
        <v>-0.35520000000000002</v>
      </c>
      <c r="H355" s="162">
        <v>-0.35477999999999998</v>
      </c>
      <c r="I355" s="162">
        <v>-0.35387999999999997</v>
      </c>
      <c r="J355" s="162">
        <v>-0.35188000000000003</v>
      </c>
      <c r="K355" s="162">
        <v>-0.34961999999999999</v>
      </c>
      <c r="L355" s="162">
        <v>-0.34871999999999997</v>
      </c>
      <c r="M355" s="162">
        <v>-0.35248000000000002</v>
      </c>
      <c r="N355" s="162">
        <v>-0.35145999999999999</v>
      </c>
      <c r="O355" s="162">
        <v>-0.34810000000000002</v>
      </c>
      <c r="P355" s="162">
        <v>-0.34760000000000002</v>
      </c>
      <c r="Q355" s="162">
        <v>-0.34404000000000001</v>
      </c>
      <c r="R355" s="162">
        <v>-0.34039999999999998</v>
      </c>
      <c r="S355" s="162">
        <v>-0.21643999999999999</v>
      </c>
      <c r="T355" s="162">
        <v>-5.3039999999999997E-2</v>
      </c>
      <c r="U355" s="162">
        <v>0.10965999999999999</v>
      </c>
      <c r="V355" s="162">
        <v>0.24610000000000001</v>
      </c>
      <c r="W355" s="162">
        <v>0.39090000000000003</v>
      </c>
      <c r="X355" s="162">
        <v>0.50619999999999998</v>
      </c>
      <c r="Y355" s="162">
        <v>0.621</v>
      </c>
      <c r="Z355" s="162">
        <v>0.72716000000000003</v>
      </c>
      <c r="AA355" s="162">
        <v>0.82416</v>
      </c>
      <c r="AB355" s="162">
        <v>0.91100000000000003</v>
      </c>
      <c r="AC355" s="162">
        <v>0.98855999999999999</v>
      </c>
      <c r="AD355" s="162">
        <v>1.0567</v>
      </c>
      <c r="AE355" s="162">
        <v>1.1165</v>
      </c>
      <c r="AF355" s="162">
        <v>1.1792</v>
      </c>
      <c r="AG355" s="162">
        <v>1.2099519999999999</v>
      </c>
      <c r="AH355" s="162">
        <v>1.240704</v>
      </c>
      <c r="AI355" s="162">
        <v>1.2714559999999999</v>
      </c>
      <c r="AJ355" s="162">
        <v>1.302208</v>
      </c>
      <c r="AK355" s="162">
        <v>1.3329599999999999</v>
      </c>
      <c r="AL355" s="162">
        <v>1.3449880000000001</v>
      </c>
      <c r="AM355" s="162">
        <v>1.357016</v>
      </c>
      <c r="AN355" s="162">
        <v>1.3690439999999999</v>
      </c>
      <c r="AO355" s="162">
        <v>1.3810720000000001</v>
      </c>
      <c r="AP355" s="162">
        <v>1.3931</v>
      </c>
      <c r="AQ355" s="162">
        <v>1.396512</v>
      </c>
      <c r="AR355" s="162">
        <v>1.3999239999999999</v>
      </c>
      <c r="AS355" s="162">
        <v>1.4033359999999999</v>
      </c>
      <c r="AT355" s="162">
        <v>1.4067480000000001</v>
      </c>
      <c r="AU355" s="162">
        <v>1.4101600000000001</v>
      </c>
    </row>
    <row r="356" spans="1:47" ht="12.75" customHeight="1">
      <c r="A356" s="459">
        <v>43385</v>
      </c>
      <c r="B356" s="139">
        <v>41</v>
      </c>
      <c r="C356" s="162">
        <v>-0.36425000000000002</v>
      </c>
      <c r="D356" s="162">
        <v>-0.36425000000000002</v>
      </c>
      <c r="E356" s="162">
        <v>-0.35532000000000002</v>
      </c>
      <c r="F356" s="162">
        <v>-0.35389999999999999</v>
      </c>
      <c r="G356" s="162">
        <v>-0.35621999999999998</v>
      </c>
      <c r="H356" s="162">
        <v>-0.35521999999999998</v>
      </c>
      <c r="I356" s="162">
        <v>-0.35393999999999998</v>
      </c>
      <c r="J356" s="162">
        <v>-0.35027999999999998</v>
      </c>
      <c r="K356" s="162">
        <v>-0.34294000000000002</v>
      </c>
      <c r="L356" s="162">
        <v>-0.34708</v>
      </c>
      <c r="M356" s="162">
        <v>-0.35192000000000001</v>
      </c>
      <c r="N356" s="162">
        <v>-0.35074</v>
      </c>
      <c r="O356" s="162">
        <v>-0.34942000000000001</v>
      </c>
      <c r="P356" s="162">
        <v>-0.34788000000000002</v>
      </c>
      <c r="Q356" s="162">
        <v>-0.34560000000000002</v>
      </c>
      <c r="R356" s="162">
        <v>-0.33842</v>
      </c>
      <c r="S356" s="162">
        <v>-0.21754000000000001</v>
      </c>
      <c r="T356" s="162">
        <v>-4.9779999999999998E-2</v>
      </c>
      <c r="U356" s="162">
        <v>0.11136</v>
      </c>
      <c r="V356" s="162">
        <v>0.26479999999999998</v>
      </c>
      <c r="W356" s="162">
        <v>0.39685999999999999</v>
      </c>
      <c r="X356" s="162">
        <v>0.52859999999999996</v>
      </c>
      <c r="Y356" s="162">
        <v>0.64515999999999996</v>
      </c>
      <c r="Z356" s="162">
        <v>0.75219999999999998</v>
      </c>
      <c r="AA356" s="162">
        <v>0.84875999999999996</v>
      </c>
      <c r="AB356" s="162">
        <v>0.93530000000000002</v>
      </c>
      <c r="AC356" s="162">
        <v>1.0128999999999999</v>
      </c>
      <c r="AD356" s="162">
        <v>1.0809599999999999</v>
      </c>
      <c r="AE356" s="162">
        <v>1.14056</v>
      </c>
      <c r="AF356" s="162">
        <v>1.1857</v>
      </c>
      <c r="AG356" s="162">
        <v>1.2200200000000001</v>
      </c>
      <c r="AH356" s="162">
        <v>1.25434</v>
      </c>
      <c r="AI356" s="162">
        <v>1.2886599999999999</v>
      </c>
      <c r="AJ356" s="162">
        <v>1.32298</v>
      </c>
      <c r="AK356" s="162">
        <v>1.3573</v>
      </c>
      <c r="AL356" s="162">
        <v>1.36876</v>
      </c>
      <c r="AM356" s="162">
        <v>1.38022</v>
      </c>
      <c r="AN356" s="162">
        <v>1.39168</v>
      </c>
      <c r="AO356" s="162">
        <v>1.4031400000000001</v>
      </c>
      <c r="AP356" s="162">
        <v>1.4146000000000001</v>
      </c>
      <c r="AQ356" s="162">
        <v>1.4180200000000001</v>
      </c>
      <c r="AR356" s="162">
        <v>1.42144</v>
      </c>
      <c r="AS356" s="162">
        <v>1.42486</v>
      </c>
      <c r="AT356" s="162">
        <v>1.42828</v>
      </c>
      <c r="AU356" s="162">
        <v>1.4317</v>
      </c>
    </row>
    <row r="357" spans="1:47" ht="12.75" customHeight="1">
      <c r="A357" s="459">
        <v>43392</v>
      </c>
      <c r="B357" s="139">
        <v>42</v>
      </c>
      <c r="C357" s="162">
        <v>-0.36575000000000002</v>
      </c>
      <c r="D357" s="162">
        <v>-0.36575000000000002</v>
      </c>
      <c r="E357" s="162">
        <v>-0.35980000000000001</v>
      </c>
      <c r="F357" s="162">
        <v>-0.35986000000000001</v>
      </c>
      <c r="G357" s="162">
        <v>-0.35502</v>
      </c>
      <c r="H357" s="162">
        <v>-0.35102</v>
      </c>
      <c r="I357" s="162">
        <v>-0.35348000000000002</v>
      </c>
      <c r="J357" s="162">
        <v>-0.3528</v>
      </c>
      <c r="K357" s="162">
        <v>-0.35004000000000002</v>
      </c>
      <c r="L357" s="162">
        <v>-0.35142000000000001</v>
      </c>
      <c r="M357" s="162">
        <v>-0.35021999999999998</v>
      </c>
      <c r="N357" s="162">
        <v>-0.34926000000000001</v>
      </c>
      <c r="O357" s="162">
        <v>-0.3483</v>
      </c>
      <c r="P357" s="162">
        <v>-0.34626000000000001</v>
      </c>
      <c r="Q357" s="162">
        <v>-0.34311999999999998</v>
      </c>
      <c r="R357" s="162">
        <v>-0.33523999999999998</v>
      </c>
      <c r="S357" s="162">
        <v>-0.20932000000000001</v>
      </c>
      <c r="T357" s="162">
        <v>-3.7400000000000003E-2</v>
      </c>
      <c r="U357" s="162">
        <v>0.13456000000000001</v>
      </c>
      <c r="V357" s="162">
        <v>0.28149999999999997</v>
      </c>
      <c r="W357" s="162">
        <v>0.42978</v>
      </c>
      <c r="X357" s="162">
        <v>0.55189999999999995</v>
      </c>
      <c r="Y357" s="162">
        <v>0.67005999999999999</v>
      </c>
      <c r="Z357" s="162">
        <v>0.77780000000000005</v>
      </c>
      <c r="AA357" s="162">
        <v>0.87546000000000002</v>
      </c>
      <c r="AB357" s="162">
        <v>0.9627</v>
      </c>
      <c r="AC357" s="162">
        <v>1.0406</v>
      </c>
      <c r="AD357" s="162">
        <v>1.1091599999999999</v>
      </c>
      <c r="AE357" s="162">
        <v>1.16896</v>
      </c>
      <c r="AF357" s="162">
        <v>1.2262</v>
      </c>
      <c r="AG357" s="162">
        <v>1.2576400000000001</v>
      </c>
      <c r="AH357" s="162">
        <v>1.28908</v>
      </c>
      <c r="AI357" s="162">
        <v>1.3205199999999999</v>
      </c>
      <c r="AJ357" s="162">
        <v>1.3519600000000001</v>
      </c>
      <c r="AK357" s="162">
        <v>1.3834</v>
      </c>
      <c r="AL357" s="162">
        <v>1.39428</v>
      </c>
      <c r="AM357" s="162">
        <v>1.40516</v>
      </c>
      <c r="AN357" s="162">
        <v>1.41604</v>
      </c>
      <c r="AO357" s="162">
        <v>1.42692</v>
      </c>
      <c r="AP357" s="162">
        <v>1.4378</v>
      </c>
      <c r="AQ357" s="162">
        <v>1.441012</v>
      </c>
      <c r="AR357" s="162">
        <v>1.444224</v>
      </c>
      <c r="AS357" s="162">
        <v>1.4474359999999999</v>
      </c>
      <c r="AT357" s="162">
        <v>1.4506479999999999</v>
      </c>
      <c r="AU357" s="162">
        <v>1.4538599999999999</v>
      </c>
    </row>
    <row r="358" spans="1:47" ht="12.75" customHeight="1">
      <c r="A358" s="459">
        <v>43399</v>
      </c>
      <c r="B358" s="139">
        <v>43</v>
      </c>
      <c r="C358" s="162">
        <v>-0.37</v>
      </c>
      <c r="D358" s="162">
        <v>-0.37</v>
      </c>
      <c r="E358" s="162">
        <v>-0.36076000000000003</v>
      </c>
      <c r="F358" s="162">
        <v>-0.36004000000000003</v>
      </c>
      <c r="G358" s="162">
        <v>-0.3589</v>
      </c>
      <c r="H358" s="162">
        <v>-0.35721999999999998</v>
      </c>
      <c r="I358" s="162">
        <v>-0.35705999999999999</v>
      </c>
      <c r="J358" s="162">
        <v>-0.35289999999999999</v>
      </c>
      <c r="K358" s="162">
        <v>-0.35093999999999997</v>
      </c>
      <c r="L358" s="162">
        <v>-0.35074</v>
      </c>
      <c r="M358" s="162">
        <v>-0.35338000000000003</v>
      </c>
      <c r="N358" s="162">
        <v>-0.35093999999999997</v>
      </c>
      <c r="O358" s="162">
        <v>-0.34982000000000002</v>
      </c>
      <c r="P358" s="162">
        <v>-0.34777999999999998</v>
      </c>
      <c r="Q358" s="162">
        <v>-0.34545999999999999</v>
      </c>
      <c r="R358" s="162">
        <v>-0.33960000000000001</v>
      </c>
      <c r="S358" s="162">
        <v>-0.22474</v>
      </c>
      <c r="T358" s="162">
        <v>-6.6739999999999994E-2</v>
      </c>
      <c r="U358" s="162">
        <v>9.1399999999999995E-2</v>
      </c>
      <c r="V358" s="162">
        <v>0.24265999999999999</v>
      </c>
      <c r="W358" s="162">
        <v>0.37966</v>
      </c>
      <c r="X358" s="162">
        <v>0.51195999999999997</v>
      </c>
      <c r="Y358" s="162">
        <v>0.63109999999999999</v>
      </c>
      <c r="Z358" s="162">
        <v>0.74029999999999996</v>
      </c>
      <c r="AA358" s="162">
        <v>0.83840000000000003</v>
      </c>
      <c r="AB358" s="162">
        <v>0.92706</v>
      </c>
      <c r="AC358" s="162">
        <v>1.006</v>
      </c>
      <c r="AD358" s="162">
        <v>1.0753600000000001</v>
      </c>
      <c r="AE358" s="162">
        <v>1.1355599999999999</v>
      </c>
      <c r="AF358" s="162">
        <v>1.1856599999999999</v>
      </c>
      <c r="AG358" s="162">
        <v>1.2188680000000001</v>
      </c>
      <c r="AH358" s="162">
        <v>1.252076</v>
      </c>
      <c r="AI358" s="162">
        <v>1.2852840000000001</v>
      </c>
      <c r="AJ358" s="162">
        <v>1.318492</v>
      </c>
      <c r="AK358" s="162">
        <v>1.3516999999999999</v>
      </c>
      <c r="AL358" s="162">
        <v>1.36286</v>
      </c>
      <c r="AM358" s="162">
        <v>1.37402</v>
      </c>
      <c r="AN358" s="162">
        <v>1.3851800000000001</v>
      </c>
      <c r="AO358" s="162">
        <v>1.3963399999999999</v>
      </c>
      <c r="AP358" s="162">
        <v>1.4075</v>
      </c>
      <c r="AQ358" s="162">
        <v>1.4108719999999999</v>
      </c>
      <c r="AR358" s="162">
        <v>1.4142440000000001</v>
      </c>
      <c r="AS358" s="162">
        <v>1.417616</v>
      </c>
      <c r="AT358" s="162">
        <v>1.4209879999999999</v>
      </c>
      <c r="AU358" s="162">
        <v>1.4243600000000001</v>
      </c>
    </row>
    <row r="359" spans="1:47" ht="12.75" customHeight="1">
      <c r="A359" s="459">
        <v>43406</v>
      </c>
      <c r="B359" s="139">
        <v>44</v>
      </c>
      <c r="C359" s="162">
        <v>-0.36875000000000002</v>
      </c>
      <c r="D359" s="162">
        <v>-0.36875000000000002</v>
      </c>
      <c r="E359" s="162">
        <v>-0.36059999999999998</v>
      </c>
      <c r="F359" s="162">
        <v>-0.35974</v>
      </c>
      <c r="G359" s="162">
        <v>-0.35974</v>
      </c>
      <c r="H359" s="162">
        <v>-0.35687999999999998</v>
      </c>
      <c r="I359" s="162">
        <v>-0.3579</v>
      </c>
      <c r="J359" s="162">
        <v>-0.35752</v>
      </c>
      <c r="K359" s="162">
        <v>-0.35671999999999998</v>
      </c>
      <c r="L359" s="162">
        <v>-0.35574</v>
      </c>
      <c r="M359" s="162">
        <v>-0.35564000000000001</v>
      </c>
      <c r="N359" s="162">
        <v>-0.35421999999999998</v>
      </c>
      <c r="O359" s="162">
        <v>-0.35342000000000001</v>
      </c>
      <c r="P359" s="162">
        <v>-0.35142000000000001</v>
      </c>
      <c r="Q359" s="162">
        <v>-0.34864000000000001</v>
      </c>
      <c r="R359" s="162">
        <v>-0.34354000000000001</v>
      </c>
      <c r="S359" s="162">
        <v>-0.23685999999999999</v>
      </c>
      <c r="T359" s="162">
        <v>-8.7940000000000004E-2</v>
      </c>
      <c r="U359" s="162">
        <v>6.5559999999999993E-2</v>
      </c>
      <c r="V359" s="162">
        <v>0.20985999999999999</v>
      </c>
      <c r="W359" s="162">
        <v>0.34845999999999999</v>
      </c>
      <c r="X359" s="162">
        <v>0.47449999999999998</v>
      </c>
      <c r="Y359" s="162">
        <v>0.59189999999999998</v>
      </c>
      <c r="Z359" s="162">
        <v>0.6996</v>
      </c>
      <c r="AA359" s="162">
        <v>0.7974</v>
      </c>
      <c r="AB359" s="162">
        <v>0.8851</v>
      </c>
      <c r="AC359" s="162">
        <v>0.96399999999999997</v>
      </c>
      <c r="AD359" s="162">
        <v>1.0330999999999999</v>
      </c>
      <c r="AE359" s="162">
        <v>1.0934999999999999</v>
      </c>
      <c r="AF359" s="162">
        <v>1.14436</v>
      </c>
      <c r="AG359" s="162">
        <v>1.176828</v>
      </c>
      <c r="AH359" s="162">
        <v>1.2092959999999999</v>
      </c>
      <c r="AI359" s="162">
        <v>1.2417640000000001</v>
      </c>
      <c r="AJ359" s="162">
        <v>1.274232</v>
      </c>
      <c r="AK359" s="162">
        <v>1.3067</v>
      </c>
      <c r="AL359" s="162">
        <v>1.3177399999999999</v>
      </c>
      <c r="AM359" s="162">
        <v>1.3287800000000001</v>
      </c>
      <c r="AN359" s="162">
        <v>1.33982</v>
      </c>
      <c r="AO359" s="162">
        <v>1.3508599999999999</v>
      </c>
      <c r="AP359" s="162">
        <v>1.3619000000000001</v>
      </c>
      <c r="AQ359" s="162">
        <v>1.36504</v>
      </c>
      <c r="AR359" s="162">
        <v>1.36818</v>
      </c>
      <c r="AS359" s="162">
        <v>1.3713200000000001</v>
      </c>
      <c r="AT359" s="162">
        <v>1.37446</v>
      </c>
      <c r="AU359" s="162">
        <v>1.3775999999999999</v>
      </c>
    </row>
    <row r="360" spans="1:47" ht="12.75" customHeight="1">
      <c r="A360" s="459">
        <v>43413</v>
      </c>
      <c r="B360" s="139">
        <v>45</v>
      </c>
      <c r="C360" s="162">
        <v>-0.35749999999999998</v>
      </c>
      <c r="D360" s="162">
        <v>-0.35749999999999998</v>
      </c>
      <c r="E360" s="162">
        <v>-0.3604</v>
      </c>
      <c r="F360" s="162">
        <v>-0.36020000000000002</v>
      </c>
      <c r="G360" s="162">
        <v>-0.35680000000000001</v>
      </c>
      <c r="H360" s="162">
        <v>-0.35493999999999998</v>
      </c>
      <c r="I360" s="162">
        <v>-0.35618</v>
      </c>
      <c r="J360" s="162">
        <v>-0.35598000000000002</v>
      </c>
      <c r="K360" s="162">
        <v>-0.35442000000000001</v>
      </c>
      <c r="L360" s="162">
        <v>-0.35474</v>
      </c>
      <c r="M360" s="162">
        <v>-0.35668</v>
      </c>
      <c r="N360" s="162">
        <v>-0.35648000000000002</v>
      </c>
      <c r="O360" s="162">
        <v>-0.35592000000000001</v>
      </c>
      <c r="P360" s="162">
        <v>-0.35468</v>
      </c>
      <c r="Q360" s="162">
        <v>-0.35145999999999999</v>
      </c>
      <c r="R360" s="162">
        <v>-0.34677999999999998</v>
      </c>
      <c r="S360" s="162">
        <v>-0.2404</v>
      </c>
      <c r="T360" s="162">
        <v>-9.4020000000000006E-2</v>
      </c>
      <c r="U360" s="162">
        <v>5.6000000000000001E-2</v>
      </c>
      <c r="V360" s="162">
        <v>0.1966</v>
      </c>
      <c r="W360" s="162">
        <v>0.33229999999999998</v>
      </c>
      <c r="X360" s="162">
        <v>0.45950000000000002</v>
      </c>
      <c r="Y360" s="162">
        <v>0.57699999999999996</v>
      </c>
      <c r="Z360" s="162">
        <v>0.68576000000000004</v>
      </c>
      <c r="AA360" s="162">
        <v>0.78359999999999996</v>
      </c>
      <c r="AB360" s="162">
        <v>0.87190000000000001</v>
      </c>
      <c r="AC360" s="162">
        <v>0.95106000000000002</v>
      </c>
      <c r="AD360" s="162">
        <v>1.0207999999999999</v>
      </c>
      <c r="AE360" s="162">
        <v>1.0808599999999999</v>
      </c>
      <c r="AF360" s="162">
        <v>1.1321600000000001</v>
      </c>
      <c r="AG360" s="162">
        <v>1.165108</v>
      </c>
      <c r="AH360" s="162">
        <v>1.198056</v>
      </c>
      <c r="AI360" s="162">
        <v>1.231004</v>
      </c>
      <c r="AJ360" s="162">
        <v>1.263952</v>
      </c>
      <c r="AK360" s="162">
        <v>1.2968999999999999</v>
      </c>
      <c r="AL360" s="162">
        <v>1.3081400000000001</v>
      </c>
      <c r="AM360" s="162">
        <v>1.31938</v>
      </c>
      <c r="AN360" s="162">
        <v>1.3306199999999999</v>
      </c>
      <c r="AO360" s="162">
        <v>1.3418600000000001</v>
      </c>
      <c r="AP360" s="162">
        <v>1.3531</v>
      </c>
      <c r="AQ360" s="162">
        <v>1.3561920000000001</v>
      </c>
      <c r="AR360" s="162">
        <v>1.3592839999999999</v>
      </c>
      <c r="AS360" s="162">
        <v>1.362376</v>
      </c>
      <c r="AT360" s="162">
        <v>1.3654679999999999</v>
      </c>
      <c r="AU360" s="162">
        <v>1.36856</v>
      </c>
    </row>
    <row r="361" spans="1:47" ht="12.75" customHeight="1">
      <c r="A361" s="459">
        <v>43420</v>
      </c>
      <c r="B361" s="139">
        <v>46</v>
      </c>
      <c r="C361" s="162">
        <v>-0.36225000000000002</v>
      </c>
      <c r="D361" s="162">
        <v>-0.36225000000000002</v>
      </c>
      <c r="E361" s="162">
        <v>-0.3614</v>
      </c>
      <c r="F361" s="162">
        <v>-0.36099999999999999</v>
      </c>
      <c r="G361" s="162">
        <v>-0.35408000000000001</v>
      </c>
      <c r="H361" s="162">
        <v>-0.35589999999999999</v>
      </c>
      <c r="I361" s="162">
        <v>-0.35498000000000002</v>
      </c>
      <c r="J361" s="162">
        <v>-0.35286000000000001</v>
      </c>
      <c r="K361" s="162">
        <v>-0.35454000000000002</v>
      </c>
      <c r="L361" s="162">
        <v>-0.35493999999999998</v>
      </c>
      <c r="M361" s="162">
        <v>-0.35808000000000001</v>
      </c>
      <c r="N361" s="162">
        <v>-0.3569</v>
      </c>
      <c r="O361" s="162">
        <v>-0.35674</v>
      </c>
      <c r="P361" s="162">
        <v>-0.35539999999999999</v>
      </c>
      <c r="Q361" s="162">
        <v>-0.35196</v>
      </c>
      <c r="R361" s="162">
        <v>-0.34721999999999997</v>
      </c>
      <c r="S361" s="162">
        <v>-0.23472000000000001</v>
      </c>
      <c r="T361" s="162">
        <v>-8.1780000000000005E-2</v>
      </c>
      <c r="U361" s="162">
        <v>7.1499999999999994E-2</v>
      </c>
      <c r="V361" s="162">
        <v>0.21959999999999999</v>
      </c>
      <c r="W361" s="162">
        <v>0.3538</v>
      </c>
      <c r="X361" s="162">
        <v>0.48620000000000002</v>
      </c>
      <c r="Y361" s="162">
        <v>0.60546</v>
      </c>
      <c r="Z361" s="162">
        <v>0.71596000000000004</v>
      </c>
      <c r="AA361" s="162">
        <v>0.81430000000000002</v>
      </c>
      <c r="AB361" s="162">
        <v>0.90259999999999996</v>
      </c>
      <c r="AC361" s="162">
        <v>0.98136000000000001</v>
      </c>
      <c r="AD361" s="162">
        <v>1.0507599999999999</v>
      </c>
      <c r="AE361" s="162">
        <v>1.11066</v>
      </c>
      <c r="AF361" s="162">
        <v>1.1601600000000001</v>
      </c>
      <c r="AG361" s="162">
        <v>1.192968</v>
      </c>
      <c r="AH361" s="162">
        <v>1.225776</v>
      </c>
      <c r="AI361" s="162">
        <v>1.2585839999999999</v>
      </c>
      <c r="AJ361" s="162">
        <v>1.2913920000000001</v>
      </c>
      <c r="AK361" s="162">
        <v>1.3242</v>
      </c>
      <c r="AL361" s="162">
        <v>1.3350200000000001</v>
      </c>
      <c r="AM361" s="162">
        <v>1.3458399999999999</v>
      </c>
      <c r="AN361" s="162">
        <v>1.35666</v>
      </c>
      <c r="AO361" s="162">
        <v>1.36748</v>
      </c>
      <c r="AP361" s="162">
        <v>1.3783000000000001</v>
      </c>
      <c r="AQ361" s="162">
        <v>1.3811800000000001</v>
      </c>
      <c r="AR361" s="162">
        <v>1.3840600000000001</v>
      </c>
      <c r="AS361" s="162">
        <v>1.3869400000000001</v>
      </c>
      <c r="AT361" s="162">
        <v>1.3898200000000001</v>
      </c>
      <c r="AU361" s="162">
        <v>1.3927</v>
      </c>
    </row>
    <row r="362" spans="1:47" ht="12.75" customHeight="1">
      <c r="A362" s="459">
        <v>43427</v>
      </c>
      <c r="B362" s="139">
        <v>47</v>
      </c>
      <c r="C362" s="162">
        <v>-0.36249999999999999</v>
      </c>
      <c r="D362" s="162">
        <v>-0.36249999999999999</v>
      </c>
      <c r="E362" s="162">
        <v>-0.36130000000000001</v>
      </c>
      <c r="F362" s="162">
        <v>-0.35770000000000002</v>
      </c>
      <c r="G362" s="162">
        <v>-0.35520000000000002</v>
      </c>
      <c r="H362" s="162">
        <v>-0.35576000000000002</v>
      </c>
      <c r="I362" s="162">
        <v>-0.35737999999999998</v>
      </c>
      <c r="J362" s="162">
        <v>-0.35676000000000002</v>
      </c>
      <c r="K362" s="162">
        <v>-0.35693999999999998</v>
      </c>
      <c r="L362" s="162">
        <v>-0.35474</v>
      </c>
      <c r="M362" s="162">
        <v>-0.35793999999999998</v>
      </c>
      <c r="N362" s="162">
        <v>-0.35737999999999998</v>
      </c>
      <c r="O362" s="162">
        <v>-0.35621999999999998</v>
      </c>
      <c r="P362" s="162">
        <v>-0.35411999999999999</v>
      </c>
      <c r="Q362" s="162">
        <v>-0.35049999999999998</v>
      </c>
      <c r="R362" s="162">
        <v>-0.34539999999999998</v>
      </c>
      <c r="S362" s="162">
        <v>-0.24048</v>
      </c>
      <c r="T362" s="162">
        <v>-9.9059999999999995E-2</v>
      </c>
      <c r="U362" s="162">
        <v>4.53E-2</v>
      </c>
      <c r="V362" s="162">
        <v>0.18496000000000001</v>
      </c>
      <c r="W362" s="162">
        <v>0.32129999999999997</v>
      </c>
      <c r="X362" s="162">
        <v>0.44629999999999997</v>
      </c>
      <c r="Y362" s="162">
        <v>0.56496000000000002</v>
      </c>
      <c r="Z362" s="162">
        <v>0.67456000000000005</v>
      </c>
      <c r="AA362" s="162">
        <v>0.77349999999999997</v>
      </c>
      <c r="AB362" s="162">
        <v>0.86339999999999995</v>
      </c>
      <c r="AC362" s="162">
        <v>0.94410000000000005</v>
      </c>
      <c r="AD362" s="162">
        <v>1.0149999999999999</v>
      </c>
      <c r="AE362" s="162">
        <v>1.07666</v>
      </c>
      <c r="AF362" s="162">
        <v>1.1312</v>
      </c>
      <c r="AG362" s="162">
        <v>1.16428</v>
      </c>
      <c r="AH362" s="162">
        <v>1.19736</v>
      </c>
      <c r="AI362" s="162">
        <v>1.23044</v>
      </c>
      <c r="AJ362" s="162">
        <v>1.26352</v>
      </c>
      <c r="AK362" s="162">
        <v>1.2966</v>
      </c>
      <c r="AL362" s="162">
        <v>1.3080799999999999</v>
      </c>
      <c r="AM362" s="162">
        <v>1.3195600000000001</v>
      </c>
      <c r="AN362" s="162">
        <v>1.33104</v>
      </c>
      <c r="AO362" s="162">
        <v>1.3425199999999999</v>
      </c>
      <c r="AP362" s="162">
        <v>1.3540000000000001</v>
      </c>
      <c r="AQ362" s="162">
        <v>1.3575200000000001</v>
      </c>
      <c r="AR362" s="162">
        <v>1.36104</v>
      </c>
      <c r="AS362" s="162">
        <v>1.36456</v>
      </c>
      <c r="AT362" s="162">
        <v>1.36808</v>
      </c>
      <c r="AU362" s="162">
        <v>1.3715999999999999</v>
      </c>
    </row>
    <row r="363" spans="1:47" ht="12.75" customHeight="1">
      <c r="A363" s="459">
        <v>43434</v>
      </c>
      <c r="B363" s="139">
        <v>48</v>
      </c>
      <c r="C363" s="162">
        <v>-0.36225000000000002</v>
      </c>
      <c r="D363" s="162">
        <v>-0.36225000000000002</v>
      </c>
      <c r="E363" s="162">
        <v>-0.35787999999999998</v>
      </c>
      <c r="F363" s="162">
        <v>-0.35386000000000001</v>
      </c>
      <c r="G363" s="162">
        <v>-0.35561999999999999</v>
      </c>
      <c r="H363" s="162">
        <v>-0.35561999999999999</v>
      </c>
      <c r="I363" s="162">
        <v>-0.35308</v>
      </c>
      <c r="J363" s="162">
        <v>-0.35</v>
      </c>
      <c r="K363" s="162">
        <v>-0.35252</v>
      </c>
      <c r="L363" s="162">
        <v>-0.35474</v>
      </c>
      <c r="M363" s="162">
        <v>-0.35749999999999998</v>
      </c>
      <c r="N363" s="162">
        <v>-0.35711999999999999</v>
      </c>
      <c r="O363" s="162">
        <v>-0.35618</v>
      </c>
      <c r="P363" s="162">
        <v>-0.35454000000000002</v>
      </c>
      <c r="Q363" s="162">
        <v>-0.35070000000000001</v>
      </c>
      <c r="R363" s="162">
        <v>-0.34766000000000002</v>
      </c>
      <c r="S363" s="162">
        <v>-0.25109999999999999</v>
      </c>
      <c r="T363" s="162">
        <v>-0.1142</v>
      </c>
      <c r="U363" s="162">
        <v>2.6960000000000001E-2</v>
      </c>
      <c r="V363" s="162">
        <v>0.16236</v>
      </c>
      <c r="W363" s="162">
        <v>0.29809999999999998</v>
      </c>
      <c r="X363" s="162">
        <v>0.42346</v>
      </c>
      <c r="Y363" s="162">
        <v>0.54205999999999999</v>
      </c>
      <c r="Z363" s="162">
        <v>0.65166000000000002</v>
      </c>
      <c r="AA363" s="162">
        <v>0.75116000000000005</v>
      </c>
      <c r="AB363" s="162">
        <v>0.84140000000000004</v>
      </c>
      <c r="AC363" s="162">
        <v>0.92235999999999996</v>
      </c>
      <c r="AD363" s="162">
        <v>0.99350000000000005</v>
      </c>
      <c r="AE363" s="162">
        <v>1.0553999999999999</v>
      </c>
      <c r="AF363" s="162">
        <v>1.1104000000000001</v>
      </c>
      <c r="AG363" s="162">
        <v>1.1434800000000001</v>
      </c>
      <c r="AH363" s="162">
        <v>1.1765600000000001</v>
      </c>
      <c r="AI363" s="162">
        <v>1.20964</v>
      </c>
      <c r="AJ363" s="162">
        <v>1.24272</v>
      </c>
      <c r="AK363" s="162">
        <v>1.2758</v>
      </c>
      <c r="AL363" s="162">
        <v>1.2873000000000001</v>
      </c>
      <c r="AM363" s="162">
        <v>1.2988</v>
      </c>
      <c r="AN363" s="162">
        <v>1.3103</v>
      </c>
      <c r="AO363" s="162">
        <v>1.3218000000000001</v>
      </c>
      <c r="AP363" s="162">
        <v>1.3332999999999999</v>
      </c>
      <c r="AQ363" s="162">
        <v>1.3368519999999999</v>
      </c>
      <c r="AR363" s="162">
        <v>1.3404039999999999</v>
      </c>
      <c r="AS363" s="162">
        <v>1.3439559999999999</v>
      </c>
      <c r="AT363" s="162">
        <v>1.3475079999999999</v>
      </c>
      <c r="AU363" s="162">
        <v>1.3510599999999999</v>
      </c>
    </row>
    <row r="364" spans="1:47" ht="12.75" customHeight="1">
      <c r="A364" s="459">
        <v>43441</v>
      </c>
      <c r="B364" s="139">
        <v>49</v>
      </c>
      <c r="C364" s="162">
        <v>-0.36299999999999999</v>
      </c>
      <c r="D364" s="162">
        <v>-0.36299999999999999</v>
      </c>
      <c r="E364" s="162">
        <v>-0.35733999999999999</v>
      </c>
      <c r="F364" s="162">
        <v>-0.35761999999999999</v>
      </c>
      <c r="G364" s="162">
        <v>-0.35552</v>
      </c>
      <c r="H364" s="162">
        <v>-0.35454000000000002</v>
      </c>
      <c r="I364" s="162">
        <v>-0.35604000000000002</v>
      </c>
      <c r="J364" s="162">
        <v>-0.35768</v>
      </c>
      <c r="K364" s="162">
        <v>-0.35748000000000002</v>
      </c>
      <c r="L364" s="162">
        <v>-0.35758000000000001</v>
      </c>
      <c r="M364" s="162">
        <v>-0.35761999999999999</v>
      </c>
      <c r="N364" s="162">
        <v>-0.35733999999999999</v>
      </c>
      <c r="O364" s="162">
        <v>-0.35699999999999998</v>
      </c>
      <c r="P364" s="162">
        <v>-0.35537999999999997</v>
      </c>
      <c r="Q364" s="162">
        <v>-0.35271999999999998</v>
      </c>
      <c r="R364" s="162">
        <v>-0.34742000000000001</v>
      </c>
      <c r="S364" s="162">
        <v>-0.25982</v>
      </c>
      <c r="T364" s="162">
        <v>-0.13200000000000001</v>
      </c>
      <c r="U364" s="162">
        <v>1.01E-2</v>
      </c>
      <c r="V364" s="162">
        <v>0.1474</v>
      </c>
      <c r="W364" s="162">
        <v>0.27929999999999999</v>
      </c>
      <c r="X364" s="162">
        <v>0.40516000000000002</v>
      </c>
      <c r="Y364" s="162">
        <v>0.52470000000000006</v>
      </c>
      <c r="Z364" s="162">
        <v>0.6351</v>
      </c>
      <c r="AA364" s="162">
        <v>0.7359</v>
      </c>
      <c r="AB364" s="162">
        <v>0.82665999999999995</v>
      </c>
      <c r="AC364" s="162">
        <v>0.90786</v>
      </c>
      <c r="AD364" s="162">
        <v>0.97909999999999997</v>
      </c>
      <c r="AE364" s="162">
        <v>1.0407999999999999</v>
      </c>
      <c r="AF364" s="162">
        <v>1.0924</v>
      </c>
      <c r="AG364" s="162">
        <v>1.12632</v>
      </c>
      <c r="AH364" s="162">
        <v>1.1602399999999999</v>
      </c>
      <c r="AI364" s="162">
        <v>1.1941600000000001</v>
      </c>
      <c r="AJ364" s="162">
        <v>1.2280800000000001</v>
      </c>
      <c r="AK364" s="162">
        <v>1.262</v>
      </c>
      <c r="AL364" s="162">
        <v>1.27376</v>
      </c>
      <c r="AM364" s="162">
        <v>1.28552</v>
      </c>
      <c r="AN364" s="162">
        <v>1.29728</v>
      </c>
      <c r="AO364" s="162">
        <v>1.30904</v>
      </c>
      <c r="AP364" s="162">
        <v>1.3208</v>
      </c>
      <c r="AQ364" s="162">
        <v>1.3246199999999999</v>
      </c>
      <c r="AR364" s="162">
        <v>1.3284400000000001</v>
      </c>
      <c r="AS364" s="162">
        <v>1.33226</v>
      </c>
      <c r="AT364" s="162">
        <v>1.3360799999999999</v>
      </c>
      <c r="AU364" s="162">
        <v>1.3399000000000001</v>
      </c>
    </row>
    <row r="365" spans="1:47" ht="12.75" customHeight="1">
      <c r="A365" s="459">
        <v>43448</v>
      </c>
      <c r="B365" s="139">
        <v>50</v>
      </c>
      <c r="C365" s="162">
        <v>-0.36025000000000001</v>
      </c>
      <c r="D365" s="162">
        <v>-0.36025000000000001</v>
      </c>
      <c r="E365" s="162">
        <v>-0.3594</v>
      </c>
      <c r="F365" s="162">
        <v>-0.35930000000000001</v>
      </c>
      <c r="G365" s="162">
        <v>-0.35360000000000003</v>
      </c>
      <c r="H365" s="162">
        <v>-0.35593999999999998</v>
      </c>
      <c r="I365" s="162">
        <v>-0.35476000000000002</v>
      </c>
      <c r="J365" s="162">
        <v>-0.35646</v>
      </c>
      <c r="K365" s="162">
        <v>-0.35804000000000002</v>
      </c>
      <c r="L365" s="162">
        <v>-0.35665999999999998</v>
      </c>
      <c r="M365" s="162">
        <v>-0.35780000000000001</v>
      </c>
      <c r="N365" s="162">
        <v>-0.35811999999999999</v>
      </c>
      <c r="O365" s="162">
        <v>-0.35730000000000001</v>
      </c>
      <c r="P365" s="162">
        <v>-0.3553</v>
      </c>
      <c r="Q365" s="162">
        <v>-0.35210000000000002</v>
      </c>
      <c r="R365" s="162">
        <v>-0.34836</v>
      </c>
      <c r="S365" s="162">
        <v>-0.26994000000000001</v>
      </c>
      <c r="T365" s="162">
        <v>-0.14921999999999999</v>
      </c>
      <c r="U365" s="162">
        <v>-1.9460000000000002E-2</v>
      </c>
      <c r="V365" s="162">
        <v>0.11176</v>
      </c>
      <c r="W365" s="162">
        <v>0.24160000000000001</v>
      </c>
      <c r="X365" s="162">
        <v>0.36346000000000001</v>
      </c>
      <c r="Y365" s="162">
        <v>0.48010000000000003</v>
      </c>
      <c r="Z365" s="162">
        <v>0.58989999999999998</v>
      </c>
      <c r="AA365" s="162">
        <v>0.68979999999999997</v>
      </c>
      <c r="AB365" s="162">
        <v>0.77995999999999999</v>
      </c>
      <c r="AC365" s="162">
        <v>0.86119999999999997</v>
      </c>
      <c r="AD365" s="162">
        <v>0.93240000000000001</v>
      </c>
      <c r="AE365" s="162">
        <v>0.99429999999999996</v>
      </c>
      <c r="AF365" s="162">
        <v>1.0451999999999999</v>
      </c>
      <c r="AG365" s="162">
        <v>1.07864</v>
      </c>
      <c r="AH365" s="162">
        <v>1.11208</v>
      </c>
      <c r="AI365" s="162">
        <v>1.1455200000000001</v>
      </c>
      <c r="AJ365" s="162">
        <v>1.17896</v>
      </c>
      <c r="AK365" s="162">
        <v>1.2123999999999999</v>
      </c>
      <c r="AL365" s="162">
        <v>1.2238599999999999</v>
      </c>
      <c r="AM365" s="162">
        <v>1.23532</v>
      </c>
      <c r="AN365" s="162">
        <v>1.24678</v>
      </c>
      <c r="AO365" s="162">
        <v>1.25824</v>
      </c>
      <c r="AP365" s="162">
        <v>1.2697000000000001</v>
      </c>
      <c r="AQ365" s="162">
        <v>1.2732399999999999</v>
      </c>
      <c r="AR365" s="162">
        <v>1.27678</v>
      </c>
      <c r="AS365" s="162">
        <v>1.2803199999999999</v>
      </c>
      <c r="AT365" s="162">
        <v>1.28386</v>
      </c>
      <c r="AU365" s="162">
        <v>1.2874000000000001</v>
      </c>
    </row>
    <row r="366" spans="1:47" ht="12.75" customHeight="1">
      <c r="A366" s="459">
        <v>43455</v>
      </c>
      <c r="B366" s="139">
        <v>51</v>
      </c>
      <c r="C366" s="162">
        <v>-0.35975000000000001</v>
      </c>
      <c r="D366" s="162">
        <v>-0.35975000000000001</v>
      </c>
      <c r="E366" s="162">
        <v>-0.35881999999999997</v>
      </c>
      <c r="F366" s="162">
        <v>-0.35774</v>
      </c>
      <c r="G366" s="162">
        <v>-0.35452</v>
      </c>
      <c r="H366" s="162">
        <v>-0.35561999999999999</v>
      </c>
      <c r="I366" s="162">
        <v>-0.35761999999999999</v>
      </c>
      <c r="J366" s="162">
        <v>-0.35746</v>
      </c>
      <c r="K366" s="162">
        <v>-0.35580000000000001</v>
      </c>
      <c r="L366" s="162">
        <v>-0.35302</v>
      </c>
      <c r="M366" s="162">
        <v>-0.35727999999999999</v>
      </c>
      <c r="N366" s="162">
        <v>-0.35696</v>
      </c>
      <c r="O366" s="162">
        <v>-0.35752</v>
      </c>
      <c r="P366" s="162">
        <v>-0.35410000000000003</v>
      </c>
      <c r="Q366" s="162">
        <v>-0.35116000000000003</v>
      </c>
      <c r="R366" s="162">
        <v>-0.34771999999999997</v>
      </c>
      <c r="S366" s="162">
        <v>-0.26588000000000001</v>
      </c>
      <c r="T366" s="162">
        <v>-0.14485999999999999</v>
      </c>
      <c r="U366" s="162">
        <v>-1.1599999999999999E-2</v>
      </c>
      <c r="V366" s="162">
        <v>0.1206</v>
      </c>
      <c r="W366" s="162">
        <v>0.25159999999999999</v>
      </c>
      <c r="X366" s="162">
        <v>0.37740000000000001</v>
      </c>
      <c r="Y366" s="162">
        <v>0.49399999999999999</v>
      </c>
      <c r="Z366" s="162">
        <v>0.60609999999999997</v>
      </c>
      <c r="AA366" s="162">
        <v>0.70520000000000005</v>
      </c>
      <c r="AB366" s="162">
        <v>0.79569999999999996</v>
      </c>
      <c r="AC366" s="162">
        <v>0.87619999999999998</v>
      </c>
      <c r="AD366" s="162">
        <v>0.94630000000000003</v>
      </c>
      <c r="AE366" s="162">
        <v>1.0066999999999999</v>
      </c>
      <c r="AF366" s="162">
        <v>1.0581</v>
      </c>
      <c r="AG366" s="162">
        <v>1.0900799999999999</v>
      </c>
      <c r="AH366" s="162">
        <v>1.1220600000000001</v>
      </c>
      <c r="AI366" s="162">
        <v>1.15404</v>
      </c>
      <c r="AJ366" s="162">
        <v>1.1860200000000001</v>
      </c>
      <c r="AK366" s="162">
        <v>1.218</v>
      </c>
      <c r="AL366" s="162">
        <v>1.2279</v>
      </c>
      <c r="AM366" s="162">
        <v>1.2378</v>
      </c>
      <c r="AN366" s="162">
        <v>1.2477</v>
      </c>
      <c r="AO366" s="162">
        <v>1.2576000000000001</v>
      </c>
      <c r="AP366" s="162">
        <v>1.2675000000000001</v>
      </c>
      <c r="AQ366" s="162">
        <v>1.2707200000000001</v>
      </c>
      <c r="AR366" s="162">
        <v>1.2739400000000001</v>
      </c>
      <c r="AS366" s="162">
        <v>1.2771600000000001</v>
      </c>
      <c r="AT366" s="162">
        <v>1.2803800000000001</v>
      </c>
      <c r="AU366" s="162">
        <v>1.2836000000000001</v>
      </c>
    </row>
    <row r="367" spans="1:47" ht="12.75" customHeight="1">
      <c r="A367" s="459">
        <v>43462</v>
      </c>
      <c r="B367" s="139">
        <v>52</v>
      </c>
      <c r="C367" s="162">
        <v>-0.36475000000000002</v>
      </c>
      <c r="D367" s="162">
        <v>-0.36475000000000002</v>
      </c>
      <c r="E367" s="162">
        <v>-0.35449999999999998</v>
      </c>
      <c r="F367" s="162">
        <v>-0.34899999999999998</v>
      </c>
      <c r="G367" s="162">
        <v>-0.34720000000000001</v>
      </c>
      <c r="H367" s="162">
        <v>-0.35558000000000001</v>
      </c>
      <c r="I367" s="162">
        <v>-0.35615999999999998</v>
      </c>
      <c r="J367" s="162">
        <v>-0.3574</v>
      </c>
      <c r="K367" s="162">
        <v>-0.35592000000000001</v>
      </c>
      <c r="L367" s="162">
        <v>-0.35836000000000001</v>
      </c>
      <c r="M367" s="162">
        <v>-0.35824</v>
      </c>
      <c r="N367" s="162">
        <v>-0.35777999999999999</v>
      </c>
      <c r="O367" s="162">
        <v>-0.35714000000000001</v>
      </c>
      <c r="P367" s="162">
        <v>-0.35524</v>
      </c>
      <c r="Q367" s="162">
        <v>-0.35288000000000003</v>
      </c>
      <c r="R367" s="162">
        <v>-0.34927999999999998</v>
      </c>
      <c r="S367" s="162">
        <v>-0.28483999999999998</v>
      </c>
      <c r="T367" s="162">
        <v>-0.17147999999999999</v>
      </c>
      <c r="U367" s="162">
        <v>-4.2099999999999999E-2</v>
      </c>
      <c r="V367" s="162">
        <v>8.7900000000000006E-2</v>
      </c>
      <c r="W367" s="162">
        <v>0.22217999999999999</v>
      </c>
      <c r="X367" s="162">
        <v>0.34420000000000001</v>
      </c>
      <c r="Y367" s="162">
        <v>0.46289999999999998</v>
      </c>
      <c r="Z367" s="162">
        <v>0.57299999999999995</v>
      </c>
      <c r="AA367" s="162">
        <v>0.67386000000000001</v>
      </c>
      <c r="AB367" s="162">
        <v>0.76380000000000003</v>
      </c>
      <c r="AC367" s="162">
        <v>0.84409999999999996</v>
      </c>
      <c r="AD367" s="162">
        <v>0.9143</v>
      </c>
      <c r="AE367" s="162">
        <v>0.97540000000000004</v>
      </c>
      <c r="AF367" s="162">
        <v>1.0315000000000001</v>
      </c>
      <c r="AG367" s="162">
        <v>1.0630200000000001</v>
      </c>
      <c r="AH367" s="162">
        <v>1.0945400000000001</v>
      </c>
      <c r="AI367" s="162">
        <v>1.1260600000000001</v>
      </c>
      <c r="AJ367" s="162">
        <v>1.1575800000000001</v>
      </c>
      <c r="AK367" s="162">
        <v>1.1891</v>
      </c>
      <c r="AL367" s="162">
        <v>1.19994</v>
      </c>
      <c r="AM367" s="162">
        <v>1.21078</v>
      </c>
      <c r="AN367" s="162">
        <v>1.2216199999999999</v>
      </c>
      <c r="AO367" s="162">
        <v>1.2324600000000001</v>
      </c>
      <c r="AP367" s="162">
        <v>1.2433000000000001</v>
      </c>
      <c r="AQ367" s="162">
        <v>1.2465999999999999</v>
      </c>
      <c r="AR367" s="162">
        <v>1.2499</v>
      </c>
      <c r="AS367" s="162">
        <v>1.2532000000000001</v>
      </c>
      <c r="AT367" s="162">
        <v>1.2565</v>
      </c>
      <c r="AU367" s="162">
        <v>1.2598</v>
      </c>
    </row>
    <row r="368" spans="1:47" ht="12.75" customHeight="1">
      <c r="A368" s="459">
        <v>43469</v>
      </c>
      <c r="B368" s="139">
        <v>1</v>
      </c>
      <c r="C368" s="162">
        <v>-0.35199999999999998</v>
      </c>
      <c r="D368" s="162">
        <v>-0.35199999999999998</v>
      </c>
      <c r="E368" s="162">
        <v>-0.34816000000000003</v>
      </c>
      <c r="F368" s="162">
        <v>-0.34892000000000001</v>
      </c>
      <c r="G368" s="162">
        <v>-0.35477999999999998</v>
      </c>
      <c r="H368" s="162">
        <v>-0.35417999999999999</v>
      </c>
      <c r="I368" s="162">
        <v>-0.34548000000000001</v>
      </c>
      <c r="J368" s="162">
        <v>-0.35526000000000002</v>
      </c>
      <c r="K368" s="162">
        <v>-0.35399999999999998</v>
      </c>
      <c r="L368" s="162">
        <v>-0.35615999999999998</v>
      </c>
      <c r="M368" s="162">
        <v>-0.35793999999999998</v>
      </c>
      <c r="N368" s="162">
        <v>-0.35771999999999998</v>
      </c>
      <c r="O368" s="162">
        <v>-0.35705999999999999</v>
      </c>
      <c r="P368" s="162">
        <v>-0.35505999999999999</v>
      </c>
      <c r="Q368" s="162">
        <v>-0.35360000000000003</v>
      </c>
      <c r="R368" s="162">
        <v>-0.35155999999999998</v>
      </c>
      <c r="S368" s="162">
        <v>-0.29533999999999999</v>
      </c>
      <c r="T368" s="162">
        <v>-0.19475999999999999</v>
      </c>
      <c r="U368" s="162">
        <v>-6.8760000000000002E-2</v>
      </c>
      <c r="V368" s="162">
        <v>6.7400000000000002E-2</v>
      </c>
      <c r="W368" s="162">
        <v>0.19796</v>
      </c>
      <c r="X368" s="162">
        <v>0.33076</v>
      </c>
      <c r="Y368" s="162">
        <v>0.45129999999999998</v>
      </c>
      <c r="Z368" s="162">
        <v>0.56525999999999998</v>
      </c>
      <c r="AA368" s="162">
        <v>0.66720000000000002</v>
      </c>
      <c r="AB368" s="162">
        <v>0.75805999999999996</v>
      </c>
      <c r="AC368" s="162">
        <v>0.83935999999999999</v>
      </c>
      <c r="AD368" s="162">
        <v>0.91025999999999996</v>
      </c>
      <c r="AE368" s="162">
        <v>0.97216000000000002</v>
      </c>
      <c r="AF368" s="162">
        <v>1.0219</v>
      </c>
      <c r="AG368" s="162">
        <v>1.0550999999999999</v>
      </c>
      <c r="AH368" s="162">
        <v>1.0883</v>
      </c>
      <c r="AI368" s="162">
        <v>1.1214999999999999</v>
      </c>
      <c r="AJ368" s="162">
        <v>1.1547000000000001</v>
      </c>
      <c r="AK368" s="162">
        <v>1.1879</v>
      </c>
      <c r="AL368" s="162">
        <v>1.1988399999999999</v>
      </c>
      <c r="AM368" s="162">
        <v>1.2097800000000001</v>
      </c>
      <c r="AN368" s="162">
        <v>1.22072</v>
      </c>
      <c r="AO368" s="162">
        <v>1.23166</v>
      </c>
      <c r="AP368" s="162">
        <v>1.2425999999999999</v>
      </c>
      <c r="AQ368" s="162">
        <v>1.2457400000000001</v>
      </c>
      <c r="AR368" s="162">
        <v>1.24888</v>
      </c>
      <c r="AS368" s="162">
        <v>1.2520199999999999</v>
      </c>
      <c r="AT368" s="162">
        <v>1.2551600000000001</v>
      </c>
      <c r="AU368" s="162">
        <v>1.2583</v>
      </c>
    </row>
    <row r="369" spans="1:47" ht="12.75" customHeight="1">
      <c r="A369" s="459">
        <v>43476</v>
      </c>
      <c r="B369" s="139">
        <v>2</v>
      </c>
      <c r="C369" s="162">
        <v>-0.36333333000000001</v>
      </c>
      <c r="D369" s="162">
        <v>-0.36333333000000001</v>
      </c>
      <c r="E369" s="162">
        <v>-0.3569</v>
      </c>
      <c r="F369" s="162">
        <v>-0.35349999999999998</v>
      </c>
      <c r="G369" s="162">
        <v>-0.35508000000000001</v>
      </c>
      <c r="H369" s="162">
        <v>-0.35602</v>
      </c>
      <c r="I369" s="162">
        <v>-0.35111999999999999</v>
      </c>
      <c r="J369" s="162">
        <v>-0.35602</v>
      </c>
      <c r="K369" s="162">
        <v>-0.35264000000000001</v>
      </c>
      <c r="L369" s="162">
        <v>-0.35796</v>
      </c>
      <c r="M369" s="162">
        <v>-0.35809999999999997</v>
      </c>
      <c r="N369" s="162">
        <v>-0.35776000000000002</v>
      </c>
      <c r="O369" s="162">
        <v>-0.35737999999999998</v>
      </c>
      <c r="P369" s="162">
        <v>-0.35537999999999997</v>
      </c>
      <c r="Q369" s="162">
        <v>-0.35474</v>
      </c>
      <c r="R369" s="162">
        <v>-0.34782000000000002</v>
      </c>
      <c r="S369" s="162">
        <v>-0.30542000000000002</v>
      </c>
      <c r="T369" s="162">
        <v>-0.21976000000000001</v>
      </c>
      <c r="U369" s="162">
        <v>-0.1037</v>
      </c>
      <c r="V369" s="162">
        <v>2.0760000000000001E-2</v>
      </c>
      <c r="W369" s="162">
        <v>0.15365999999999999</v>
      </c>
      <c r="X369" s="162">
        <v>0.27716000000000002</v>
      </c>
      <c r="Y369" s="162">
        <v>0.39866000000000001</v>
      </c>
      <c r="Z369" s="162">
        <v>0.51129999999999998</v>
      </c>
      <c r="AA369" s="162">
        <v>0.61439999999999995</v>
      </c>
      <c r="AB369" s="162">
        <v>0.70635999999999999</v>
      </c>
      <c r="AC369" s="162">
        <v>0.78890000000000005</v>
      </c>
      <c r="AD369" s="162">
        <v>0.8609</v>
      </c>
      <c r="AE369" s="162">
        <v>0.92369999999999997</v>
      </c>
      <c r="AF369" s="162">
        <v>0.98119999999999996</v>
      </c>
      <c r="AG369" s="162">
        <v>1.0137400000000001</v>
      </c>
      <c r="AH369" s="162">
        <v>1.0462800000000001</v>
      </c>
      <c r="AI369" s="162">
        <v>1.0788199999999999</v>
      </c>
      <c r="AJ369" s="162">
        <v>1.1113599999999999</v>
      </c>
      <c r="AK369" s="162">
        <v>1.1438999999999999</v>
      </c>
      <c r="AL369" s="162">
        <v>1.1551800000000001</v>
      </c>
      <c r="AM369" s="162">
        <v>1.1664600000000001</v>
      </c>
      <c r="AN369" s="162">
        <v>1.17774</v>
      </c>
      <c r="AO369" s="162">
        <v>1.18902</v>
      </c>
      <c r="AP369" s="162">
        <v>1.2002999999999999</v>
      </c>
      <c r="AQ369" s="162">
        <v>1.2038199999999999</v>
      </c>
      <c r="AR369" s="162">
        <v>1.2073400000000001</v>
      </c>
      <c r="AS369" s="162">
        <v>1.21086</v>
      </c>
      <c r="AT369" s="162">
        <v>1.21438</v>
      </c>
      <c r="AU369" s="162">
        <v>1.2179</v>
      </c>
    </row>
    <row r="370" spans="1:47" ht="12.75" customHeight="1">
      <c r="A370" s="459">
        <v>43483</v>
      </c>
      <c r="B370" s="139">
        <v>3</v>
      </c>
      <c r="C370" s="162">
        <v>-0.36449999999999999</v>
      </c>
      <c r="D370" s="162">
        <v>-0.36449999999999999</v>
      </c>
      <c r="E370" s="162">
        <v>-0.35980000000000001</v>
      </c>
      <c r="F370" s="162">
        <v>-0.3594</v>
      </c>
      <c r="G370" s="162">
        <v>-0.35930000000000001</v>
      </c>
      <c r="H370" s="162">
        <v>-0.3538</v>
      </c>
      <c r="I370" s="162">
        <v>-0.35570000000000002</v>
      </c>
      <c r="J370" s="162">
        <v>-0.35809999999999997</v>
      </c>
      <c r="K370" s="162">
        <v>-0.35799999999999998</v>
      </c>
      <c r="L370" s="162">
        <v>-0.3599</v>
      </c>
      <c r="M370" s="162">
        <v>-0.35949999999999999</v>
      </c>
      <c r="N370" s="162">
        <v>-0.35980000000000001</v>
      </c>
      <c r="O370" s="162">
        <v>-0.35849999999999999</v>
      </c>
      <c r="P370" s="162">
        <v>-0.35659999999999997</v>
      </c>
      <c r="Q370" s="162">
        <v>-0.35460000000000003</v>
      </c>
      <c r="R370" s="162">
        <v>-0.35</v>
      </c>
      <c r="S370" s="162">
        <v>-0.28620000000000001</v>
      </c>
      <c r="T370" s="162">
        <v>-0.18410000000000001</v>
      </c>
      <c r="U370" s="162">
        <v>-6.9000000000000006E-2</v>
      </c>
      <c r="V370" s="162">
        <v>5.7200000000000001E-2</v>
      </c>
      <c r="W370" s="162">
        <v>0.18390000000000001</v>
      </c>
      <c r="X370" s="162">
        <v>0.31340000000000001</v>
      </c>
      <c r="Y370" s="162">
        <v>0.43430000000000002</v>
      </c>
      <c r="Z370" s="162">
        <v>0.54820000000000002</v>
      </c>
      <c r="AA370" s="162">
        <v>0.65159999999999996</v>
      </c>
      <c r="AB370" s="162">
        <v>0.745</v>
      </c>
      <c r="AC370" s="162">
        <v>0.82920000000000005</v>
      </c>
      <c r="AD370" s="162">
        <v>0.9032</v>
      </c>
      <c r="AE370" s="162">
        <v>0.96699999999999997</v>
      </c>
      <c r="AF370" s="162">
        <v>1.0194000000000001</v>
      </c>
      <c r="AG370" s="162">
        <v>1.0539000000000001</v>
      </c>
      <c r="AH370" s="162">
        <v>1.0883</v>
      </c>
      <c r="AI370" s="162">
        <v>1.1228</v>
      </c>
      <c r="AJ370" s="162">
        <v>1.1573</v>
      </c>
      <c r="AK370" s="162">
        <v>1.1918</v>
      </c>
      <c r="AL370" s="162">
        <v>1.2033</v>
      </c>
      <c r="AM370" s="162">
        <v>1.2149000000000001</v>
      </c>
      <c r="AN370" s="162">
        <v>1.2264999999999999</v>
      </c>
      <c r="AO370" s="162">
        <v>1.238</v>
      </c>
      <c r="AP370" s="162">
        <v>1.2496</v>
      </c>
      <c r="AQ370" s="162">
        <v>1.2532000000000001</v>
      </c>
      <c r="AR370" s="162">
        <v>1.2567999999999999</v>
      </c>
      <c r="AS370" s="162">
        <v>1.2604</v>
      </c>
      <c r="AT370" s="162">
        <v>1.264</v>
      </c>
      <c r="AU370" s="162">
        <v>1.2676000000000001</v>
      </c>
    </row>
    <row r="371" spans="1:47" ht="12.75" customHeight="1">
      <c r="A371" s="459">
        <v>43490</v>
      </c>
      <c r="B371" s="139">
        <v>4</v>
      </c>
      <c r="C371" s="162">
        <v>-0.36849999999999999</v>
      </c>
      <c r="D371" s="162">
        <v>-0.36849999999999999</v>
      </c>
      <c r="E371" s="162">
        <v>-0.36120000000000002</v>
      </c>
      <c r="F371" s="162">
        <v>-0.36059999999999998</v>
      </c>
      <c r="G371" s="162">
        <v>-0.3604</v>
      </c>
      <c r="H371" s="162">
        <v>-0.35899999999999999</v>
      </c>
      <c r="I371" s="162">
        <v>-0.3543</v>
      </c>
      <c r="J371" s="162">
        <v>-0.35870000000000002</v>
      </c>
      <c r="K371" s="162">
        <v>-0.35670000000000002</v>
      </c>
      <c r="L371" s="162">
        <v>-0.36149999999999999</v>
      </c>
      <c r="M371" s="162">
        <v>-0.3609</v>
      </c>
      <c r="N371" s="162">
        <v>-0.36030000000000001</v>
      </c>
      <c r="O371" s="162">
        <v>-0.35870000000000002</v>
      </c>
      <c r="P371" s="162">
        <v>-0.35680000000000001</v>
      </c>
      <c r="Q371" s="162">
        <v>-0.35560000000000003</v>
      </c>
      <c r="R371" s="162">
        <v>-0.35270000000000001</v>
      </c>
      <c r="S371" s="162">
        <v>-0.29820000000000002</v>
      </c>
      <c r="T371" s="162">
        <v>-0.2039</v>
      </c>
      <c r="U371" s="162">
        <v>-9.4200000000000006E-2</v>
      </c>
      <c r="V371" s="162">
        <v>2.9600000000000001E-2</v>
      </c>
      <c r="W371" s="162">
        <v>0.157</v>
      </c>
      <c r="X371" s="162">
        <v>0.28570000000000001</v>
      </c>
      <c r="Y371" s="162">
        <v>0.40870000000000001</v>
      </c>
      <c r="Z371" s="162">
        <v>0.52470000000000006</v>
      </c>
      <c r="AA371" s="162">
        <v>0.63019999999999998</v>
      </c>
      <c r="AB371" s="162">
        <v>0.72570000000000001</v>
      </c>
      <c r="AC371" s="162">
        <v>0.81179999999999997</v>
      </c>
      <c r="AD371" s="162">
        <v>0.8871</v>
      </c>
      <c r="AE371" s="162">
        <v>0.95230000000000004</v>
      </c>
      <c r="AF371" s="162">
        <v>1.0066999999999999</v>
      </c>
      <c r="AG371" s="162">
        <v>1.0419</v>
      </c>
      <c r="AH371" s="162">
        <v>1.0770999999999999</v>
      </c>
      <c r="AI371" s="162">
        <v>1.1123000000000001</v>
      </c>
      <c r="AJ371" s="162">
        <v>1.1475</v>
      </c>
      <c r="AK371" s="162">
        <v>1.1827000000000001</v>
      </c>
      <c r="AL371" s="162">
        <v>1.1946000000000001</v>
      </c>
      <c r="AM371" s="162">
        <v>1.2064999999999999</v>
      </c>
      <c r="AN371" s="162">
        <v>1.2182999999999999</v>
      </c>
      <c r="AO371" s="162">
        <v>1.2302</v>
      </c>
      <c r="AP371" s="162">
        <v>1.2421</v>
      </c>
      <c r="AQ371" s="162">
        <v>1.2459</v>
      </c>
      <c r="AR371" s="162">
        <v>1.2497</v>
      </c>
      <c r="AS371" s="162">
        <v>1.2534000000000001</v>
      </c>
      <c r="AT371" s="162">
        <v>1.2572000000000001</v>
      </c>
      <c r="AU371" s="162">
        <v>1.2609999999999999</v>
      </c>
    </row>
    <row r="372" spans="1:47" ht="12.75" customHeight="1">
      <c r="A372" s="459">
        <v>43497</v>
      </c>
      <c r="B372" s="139">
        <v>5</v>
      </c>
      <c r="C372" s="162">
        <v>-0.36849999999999999</v>
      </c>
      <c r="D372" s="162">
        <v>-0.36849999999999999</v>
      </c>
      <c r="E372" s="162">
        <v>-0.36109999999999998</v>
      </c>
      <c r="F372" s="162">
        <v>-0.3614</v>
      </c>
      <c r="G372" s="162">
        <v>-0.36220000000000002</v>
      </c>
      <c r="H372" s="162">
        <v>-0.36230000000000001</v>
      </c>
      <c r="I372" s="162">
        <v>-0.3589</v>
      </c>
      <c r="J372" s="162">
        <v>-0.35699999999999998</v>
      </c>
      <c r="K372" s="162">
        <v>-0.36120000000000002</v>
      </c>
      <c r="L372" s="162">
        <v>-0.35880000000000001</v>
      </c>
      <c r="M372" s="162">
        <v>-0.36130000000000001</v>
      </c>
      <c r="N372" s="162">
        <v>-0.35970000000000002</v>
      </c>
      <c r="O372" s="162">
        <v>-0.3579</v>
      </c>
      <c r="P372" s="162">
        <v>-0.35599999999999998</v>
      </c>
      <c r="Q372" s="162">
        <v>-0.35360000000000003</v>
      </c>
      <c r="R372" s="162">
        <v>-0.34989999999999999</v>
      </c>
      <c r="S372" s="162">
        <v>-0.29220000000000002</v>
      </c>
      <c r="T372" s="162">
        <v>-0.19989999999999999</v>
      </c>
      <c r="U372" s="162">
        <v>-9.3799999999999994E-2</v>
      </c>
      <c r="V372" s="162">
        <v>2.06E-2</v>
      </c>
      <c r="W372" s="162">
        <v>0.14269999999999999</v>
      </c>
      <c r="X372" s="162">
        <v>0.26179999999999998</v>
      </c>
      <c r="Y372" s="162">
        <v>0.37909999999999999</v>
      </c>
      <c r="Z372" s="162">
        <v>0.49049999999999999</v>
      </c>
      <c r="AA372" s="162">
        <v>0.59179999999999999</v>
      </c>
      <c r="AB372" s="162">
        <v>0.68540000000000001</v>
      </c>
      <c r="AC372" s="162">
        <v>0.76900000000000002</v>
      </c>
      <c r="AD372" s="162">
        <v>0.84260000000000002</v>
      </c>
      <c r="AE372" s="162">
        <v>0.90620000000000001</v>
      </c>
      <c r="AF372" s="162">
        <v>0.96189999999999998</v>
      </c>
      <c r="AG372" s="162">
        <v>0.996</v>
      </c>
      <c r="AH372" s="162">
        <v>1.0302</v>
      </c>
      <c r="AI372" s="162">
        <v>1.0643</v>
      </c>
      <c r="AJ372" s="162">
        <v>1.0985</v>
      </c>
      <c r="AK372" s="162">
        <v>1.1326000000000001</v>
      </c>
      <c r="AL372" s="162">
        <v>1.1445000000000001</v>
      </c>
      <c r="AM372" s="162">
        <v>1.1564000000000001</v>
      </c>
      <c r="AN372" s="162">
        <v>1.1684000000000001</v>
      </c>
      <c r="AO372" s="162">
        <v>1.1802999999999999</v>
      </c>
      <c r="AP372" s="162">
        <v>1.1921999999999999</v>
      </c>
      <c r="AQ372" s="162">
        <v>1.1957</v>
      </c>
      <c r="AR372" s="162">
        <v>1.1991000000000001</v>
      </c>
      <c r="AS372" s="162">
        <v>1.2025999999999999</v>
      </c>
      <c r="AT372" s="162">
        <v>1.206</v>
      </c>
      <c r="AU372" s="162">
        <v>1.2095</v>
      </c>
    </row>
    <row r="373" spans="1:47" ht="12.75" customHeight="1">
      <c r="A373" s="459">
        <v>43504</v>
      </c>
      <c r="B373" s="139">
        <v>6</v>
      </c>
      <c r="C373" s="162">
        <v>-0.36580000000000001</v>
      </c>
      <c r="D373" s="162">
        <v>-0.36580000000000001</v>
      </c>
      <c r="E373" s="162">
        <v>-0.36159999999999998</v>
      </c>
      <c r="F373" s="162">
        <v>-0.36209999999999998</v>
      </c>
      <c r="G373" s="162">
        <v>-0.3624</v>
      </c>
      <c r="H373" s="162">
        <v>-0.3614</v>
      </c>
      <c r="I373" s="162">
        <v>-0.36130000000000001</v>
      </c>
      <c r="J373" s="162">
        <v>-0.36109999999999998</v>
      </c>
      <c r="K373" s="162">
        <v>-0.36070000000000002</v>
      </c>
      <c r="L373" s="162">
        <v>-0.3604</v>
      </c>
      <c r="M373" s="162">
        <v>-0.36030000000000001</v>
      </c>
      <c r="N373" s="162">
        <v>-0.35880000000000001</v>
      </c>
      <c r="O373" s="162">
        <v>-0.3569</v>
      </c>
      <c r="P373" s="162">
        <v>-0.3548</v>
      </c>
      <c r="Q373" s="162">
        <v>-0.35189999999999999</v>
      </c>
      <c r="R373" s="162">
        <v>-0.34920000000000001</v>
      </c>
      <c r="S373" s="162">
        <v>-0.29389999999999999</v>
      </c>
      <c r="T373" s="162">
        <v>-0.21049999999999999</v>
      </c>
      <c r="U373" s="162">
        <v>-0.1138</v>
      </c>
      <c r="V373" s="162">
        <v>-8.6999999999999994E-3</v>
      </c>
      <c r="W373" s="162">
        <v>0.1033</v>
      </c>
      <c r="X373" s="162">
        <v>0.2177</v>
      </c>
      <c r="Y373" s="162">
        <v>0.3286</v>
      </c>
      <c r="Z373" s="162">
        <v>0.43459999999999999</v>
      </c>
      <c r="AA373" s="162">
        <v>0.5333</v>
      </c>
      <c r="AB373" s="162">
        <v>0.623</v>
      </c>
      <c r="AC373" s="162">
        <v>0.7077</v>
      </c>
      <c r="AD373" s="162">
        <v>0.77270000000000005</v>
      </c>
      <c r="AE373" s="162">
        <v>0.83960000000000001</v>
      </c>
      <c r="AF373" s="162">
        <v>0.89590000000000003</v>
      </c>
      <c r="AG373" s="162">
        <v>0.93010000000000004</v>
      </c>
      <c r="AH373" s="162">
        <v>0.96419999999999995</v>
      </c>
      <c r="AI373" s="162">
        <v>0.99839999999999995</v>
      </c>
      <c r="AJ373" s="162">
        <v>1.0325</v>
      </c>
      <c r="AK373" s="162">
        <v>1.0667</v>
      </c>
      <c r="AL373" s="162">
        <v>1.0787</v>
      </c>
      <c r="AM373" s="162">
        <v>1.0907</v>
      </c>
      <c r="AN373" s="162">
        <v>1.1027</v>
      </c>
      <c r="AO373" s="162">
        <v>1.1147</v>
      </c>
      <c r="AP373" s="162">
        <v>1.1267</v>
      </c>
      <c r="AQ373" s="162">
        <v>1.1296999999999999</v>
      </c>
      <c r="AR373" s="162">
        <v>1.1328</v>
      </c>
      <c r="AS373" s="162">
        <v>1.1357999999999999</v>
      </c>
      <c r="AT373" s="162">
        <v>1.1389</v>
      </c>
      <c r="AU373" s="162">
        <v>1.1418999999999999</v>
      </c>
    </row>
    <row r="374" spans="1:47" ht="12.75" customHeight="1">
      <c r="A374" s="459">
        <v>43511</v>
      </c>
      <c r="B374" s="139">
        <v>7</v>
      </c>
      <c r="C374" s="162">
        <v>-0.36180000000000001</v>
      </c>
      <c r="D374" s="162">
        <v>-0.36180000000000001</v>
      </c>
      <c r="E374" s="162">
        <v>-0.36220000000000002</v>
      </c>
      <c r="F374" s="162">
        <v>-0.36199999999999999</v>
      </c>
      <c r="G374" s="162">
        <v>-0.35820000000000002</v>
      </c>
      <c r="H374" s="162">
        <v>-0.35399999999999998</v>
      </c>
      <c r="I374" s="162">
        <v>-0.35639999999999999</v>
      </c>
      <c r="J374" s="162">
        <v>-0.35649999999999998</v>
      </c>
      <c r="K374" s="162">
        <v>-0.3579</v>
      </c>
      <c r="L374" s="162">
        <v>-0.35160000000000002</v>
      </c>
      <c r="M374" s="162">
        <v>-0.35930000000000001</v>
      </c>
      <c r="N374" s="162">
        <v>-0.35830000000000001</v>
      </c>
      <c r="O374" s="162">
        <v>-0.35570000000000002</v>
      </c>
      <c r="P374" s="162">
        <v>-0.35389999999999999</v>
      </c>
      <c r="Q374" s="162">
        <v>-0.35110000000000002</v>
      </c>
      <c r="R374" s="162">
        <v>-0.3478</v>
      </c>
      <c r="S374" s="162">
        <v>-0.29349999999999998</v>
      </c>
      <c r="T374" s="162">
        <v>-0.21429999999999999</v>
      </c>
      <c r="U374" s="162">
        <v>-0.1237</v>
      </c>
      <c r="V374" s="162">
        <v>-2.18E-2</v>
      </c>
      <c r="W374" s="162">
        <v>8.5500000000000007E-2</v>
      </c>
      <c r="X374" s="162">
        <v>0.1976</v>
      </c>
      <c r="Y374" s="162">
        <v>0.30690000000000001</v>
      </c>
      <c r="Z374" s="162">
        <v>0.41339999999999999</v>
      </c>
      <c r="AA374" s="162">
        <v>0.51129999999999998</v>
      </c>
      <c r="AB374" s="162">
        <v>0.60019999999999996</v>
      </c>
      <c r="AC374" s="162">
        <v>0.68410000000000004</v>
      </c>
      <c r="AD374" s="162">
        <v>0.75680000000000003</v>
      </c>
      <c r="AE374" s="162">
        <v>0.82030000000000003</v>
      </c>
      <c r="AF374" s="162">
        <v>0.87309999999999999</v>
      </c>
      <c r="AG374" s="162">
        <v>0.90790000000000004</v>
      </c>
      <c r="AH374" s="162">
        <v>0.94259999999999999</v>
      </c>
      <c r="AI374" s="162">
        <v>0.97740000000000005</v>
      </c>
      <c r="AJ374" s="162">
        <v>1.0121</v>
      </c>
      <c r="AK374" s="162">
        <v>1.0468999999999999</v>
      </c>
      <c r="AL374" s="162">
        <v>1.0589999999999999</v>
      </c>
      <c r="AM374" s="162">
        <v>1.0710999999999999</v>
      </c>
      <c r="AN374" s="162">
        <v>1.0831</v>
      </c>
      <c r="AO374" s="162">
        <v>1.0952</v>
      </c>
      <c r="AP374" s="162">
        <v>1.1073</v>
      </c>
      <c r="AQ374" s="162">
        <v>1.1105</v>
      </c>
      <c r="AR374" s="162">
        <v>1.1137999999999999</v>
      </c>
      <c r="AS374" s="162">
        <v>1.117</v>
      </c>
      <c r="AT374" s="162">
        <v>1.1203000000000001</v>
      </c>
      <c r="AU374" s="162">
        <v>1.1234999999999999</v>
      </c>
    </row>
    <row r="375" spans="1:47" ht="12.75" customHeight="1">
      <c r="A375" s="459">
        <v>43518</v>
      </c>
      <c r="B375" s="139">
        <v>8</v>
      </c>
      <c r="C375" s="162">
        <v>-0.36799999999999999</v>
      </c>
      <c r="D375" s="162">
        <v>-0.36799999999999999</v>
      </c>
      <c r="E375" s="162">
        <v>-0.3634</v>
      </c>
      <c r="F375" s="162">
        <v>-0.36249999999999999</v>
      </c>
      <c r="G375" s="162">
        <v>-0.36309999999999998</v>
      </c>
      <c r="H375" s="162">
        <v>-0.36220000000000002</v>
      </c>
      <c r="I375" s="162">
        <v>-0.36130000000000001</v>
      </c>
      <c r="J375" s="162">
        <v>-0.36130000000000001</v>
      </c>
      <c r="K375" s="162">
        <v>-0.3609</v>
      </c>
      <c r="L375" s="162">
        <v>-0.36080000000000001</v>
      </c>
      <c r="M375" s="162">
        <v>-0.3604</v>
      </c>
      <c r="N375" s="162">
        <v>-0.3584</v>
      </c>
      <c r="O375" s="162">
        <v>-0.35670000000000002</v>
      </c>
      <c r="P375" s="162">
        <v>-0.35470000000000002</v>
      </c>
      <c r="Q375" s="162">
        <v>-0.35160000000000002</v>
      </c>
      <c r="R375" s="162">
        <v>-0.34849999999999998</v>
      </c>
      <c r="S375" s="162">
        <v>-0.29649999999999999</v>
      </c>
      <c r="T375" s="162">
        <v>-0.21990000000000001</v>
      </c>
      <c r="U375" s="162">
        <v>-0.13189999999999999</v>
      </c>
      <c r="V375" s="162">
        <v>-3.4599999999999999E-2</v>
      </c>
      <c r="W375" s="162">
        <v>7.0999999999999994E-2</v>
      </c>
      <c r="X375" s="162">
        <v>0.17860000000000001</v>
      </c>
      <c r="Y375" s="162">
        <v>0.2878</v>
      </c>
      <c r="Z375" s="162">
        <v>0.39250000000000002</v>
      </c>
      <c r="AA375" s="162">
        <v>0.49080000000000001</v>
      </c>
      <c r="AB375" s="162">
        <v>0.58109999999999995</v>
      </c>
      <c r="AC375" s="162">
        <v>0.6633</v>
      </c>
      <c r="AD375" s="162">
        <v>0.73550000000000004</v>
      </c>
      <c r="AE375" s="162">
        <v>0.79869999999999997</v>
      </c>
      <c r="AF375" s="162">
        <v>0.85470000000000002</v>
      </c>
      <c r="AG375" s="162">
        <v>0.88900000000000001</v>
      </c>
      <c r="AH375" s="162">
        <v>0.92330000000000001</v>
      </c>
      <c r="AI375" s="162">
        <v>0.95760000000000001</v>
      </c>
      <c r="AJ375" s="162">
        <v>0.9919</v>
      </c>
      <c r="AK375" s="162">
        <v>1.0261</v>
      </c>
      <c r="AL375" s="162">
        <v>1.0384</v>
      </c>
      <c r="AM375" s="162">
        <v>1.0507</v>
      </c>
      <c r="AN375" s="162">
        <v>1.0629</v>
      </c>
      <c r="AO375" s="162">
        <v>1.0751999999999999</v>
      </c>
      <c r="AP375" s="162">
        <v>1.0873999999999999</v>
      </c>
      <c r="AQ375" s="162">
        <v>1.0912999999999999</v>
      </c>
      <c r="AR375" s="162">
        <v>1.0952</v>
      </c>
      <c r="AS375" s="162">
        <v>1.0991</v>
      </c>
      <c r="AT375" s="162">
        <v>1.1029</v>
      </c>
      <c r="AU375" s="162">
        <v>1.1068</v>
      </c>
    </row>
    <row r="376" spans="1:47" ht="12.75" customHeight="1">
      <c r="A376" s="459">
        <v>43525</v>
      </c>
      <c r="B376" s="139">
        <v>9</v>
      </c>
      <c r="C376" s="162">
        <v>-0.37</v>
      </c>
      <c r="D376" s="162">
        <v>-0.37</v>
      </c>
      <c r="E376" s="162">
        <v>-0.3629</v>
      </c>
      <c r="F376" s="162">
        <v>-0.36280000000000001</v>
      </c>
      <c r="G376" s="162">
        <v>-0.3629</v>
      </c>
      <c r="H376" s="162">
        <v>-0.36170000000000002</v>
      </c>
      <c r="I376" s="162">
        <v>-0.36149999999999999</v>
      </c>
      <c r="J376" s="162">
        <v>-0.36149999999999999</v>
      </c>
      <c r="K376" s="162">
        <v>-0.36099999999999999</v>
      </c>
      <c r="L376" s="162">
        <v>-0.36070000000000002</v>
      </c>
      <c r="M376" s="162">
        <v>-0.35959999999999998</v>
      </c>
      <c r="N376" s="162">
        <v>-0.3579</v>
      </c>
      <c r="O376" s="162">
        <v>-0.35610000000000003</v>
      </c>
      <c r="P376" s="162">
        <v>-0.35399999999999998</v>
      </c>
      <c r="Q376" s="162">
        <v>-0.3508</v>
      </c>
      <c r="R376" s="162">
        <v>-0.3478</v>
      </c>
      <c r="S376" s="162">
        <v>-0.29480000000000001</v>
      </c>
      <c r="T376" s="162">
        <v>-0.21690000000000001</v>
      </c>
      <c r="U376" s="162">
        <v>-0.127</v>
      </c>
      <c r="V376" s="162">
        <v>-3.1199999999999999E-2</v>
      </c>
      <c r="W376" s="162">
        <v>7.2599999999999998E-2</v>
      </c>
      <c r="X376" s="162">
        <v>0.17860000000000001</v>
      </c>
      <c r="Y376" s="162">
        <v>0.28510000000000002</v>
      </c>
      <c r="Z376" s="162">
        <v>0.38840000000000002</v>
      </c>
      <c r="AA376" s="162">
        <v>0.48670000000000002</v>
      </c>
      <c r="AB376" s="162">
        <v>0.57789999999999997</v>
      </c>
      <c r="AC376" s="162">
        <v>0.66080000000000005</v>
      </c>
      <c r="AD376" s="162">
        <v>0.73360000000000003</v>
      </c>
      <c r="AE376" s="162">
        <v>0.7974</v>
      </c>
      <c r="AF376" s="162">
        <v>0.85270000000000001</v>
      </c>
      <c r="AG376" s="162">
        <v>0.88749999999999996</v>
      </c>
      <c r="AH376" s="162">
        <v>0.92220000000000002</v>
      </c>
      <c r="AI376" s="162">
        <v>0.95699999999999996</v>
      </c>
      <c r="AJ376" s="162">
        <v>0.99170000000000003</v>
      </c>
      <c r="AK376" s="162">
        <v>1.0265</v>
      </c>
      <c r="AL376" s="162">
        <v>1.0394000000000001</v>
      </c>
      <c r="AM376" s="162">
        <v>1.0524</v>
      </c>
      <c r="AN376" s="162">
        <v>1.0653999999999999</v>
      </c>
      <c r="AO376" s="162">
        <v>1.0784</v>
      </c>
      <c r="AP376" s="162">
        <v>1.0913999999999999</v>
      </c>
      <c r="AQ376" s="162">
        <v>1.0953999999999999</v>
      </c>
      <c r="AR376" s="162">
        <v>1.0993999999999999</v>
      </c>
      <c r="AS376" s="162">
        <v>1.1034999999999999</v>
      </c>
      <c r="AT376" s="162">
        <v>1.1074999999999999</v>
      </c>
      <c r="AU376" s="162">
        <v>1.1114999999999999</v>
      </c>
    </row>
    <row r="377" spans="1:47" ht="12.75" customHeight="1">
      <c r="A377" s="459">
        <v>43532</v>
      </c>
      <c r="B377" s="139">
        <v>10</v>
      </c>
      <c r="C377" s="162">
        <v>-0.3695</v>
      </c>
      <c r="D377" s="162">
        <v>-0.3695</v>
      </c>
      <c r="E377" s="162">
        <v>-0.36309999999999998</v>
      </c>
      <c r="F377" s="162">
        <v>-0.3629</v>
      </c>
      <c r="G377" s="162">
        <v>-0.36230000000000001</v>
      </c>
      <c r="H377" s="162">
        <v>-0.36149999999999999</v>
      </c>
      <c r="I377" s="162">
        <v>-0.36099999999999999</v>
      </c>
      <c r="J377" s="162">
        <v>-0.36080000000000001</v>
      </c>
      <c r="K377" s="162">
        <v>-0.36059999999999998</v>
      </c>
      <c r="L377" s="162">
        <v>-0.35980000000000001</v>
      </c>
      <c r="M377" s="162">
        <v>-0.35849999999999999</v>
      </c>
      <c r="N377" s="162">
        <v>-0.35630000000000001</v>
      </c>
      <c r="O377" s="162">
        <v>-0.35349999999999998</v>
      </c>
      <c r="P377" s="162">
        <v>-0.35010000000000002</v>
      </c>
      <c r="Q377" s="162">
        <v>-0.34610000000000002</v>
      </c>
      <c r="R377" s="162">
        <v>-0.34260000000000002</v>
      </c>
      <c r="S377" s="162">
        <v>-0.28270000000000001</v>
      </c>
      <c r="T377" s="162">
        <v>-0.19950000000000001</v>
      </c>
      <c r="U377" s="162">
        <v>-0.10929999999999999</v>
      </c>
      <c r="V377" s="162">
        <v>-1.1900000000000001E-2</v>
      </c>
      <c r="W377" s="162">
        <v>0.09</v>
      </c>
      <c r="X377" s="162">
        <v>0.1993</v>
      </c>
      <c r="Y377" s="162">
        <v>0.30570000000000003</v>
      </c>
      <c r="Z377" s="162">
        <v>0.41039999999999999</v>
      </c>
      <c r="AA377" s="162">
        <v>0.50929999999999997</v>
      </c>
      <c r="AB377" s="162">
        <v>0.60240000000000005</v>
      </c>
      <c r="AC377" s="162">
        <v>0.68220000000000003</v>
      </c>
      <c r="AD377" s="162">
        <v>0.75790000000000002</v>
      </c>
      <c r="AE377" s="162">
        <v>0.82199999999999995</v>
      </c>
      <c r="AF377" s="162">
        <v>0.87619999999999998</v>
      </c>
      <c r="AG377" s="162">
        <v>0.91159999999999997</v>
      </c>
      <c r="AH377" s="162">
        <v>0.94699999999999995</v>
      </c>
      <c r="AI377" s="162">
        <v>0.98229999999999995</v>
      </c>
      <c r="AJ377" s="162">
        <v>1.0177</v>
      </c>
      <c r="AK377" s="162">
        <v>1.0530999999999999</v>
      </c>
      <c r="AL377" s="162">
        <v>1.0663</v>
      </c>
      <c r="AM377" s="162">
        <v>1.0793999999999999</v>
      </c>
      <c r="AN377" s="162">
        <v>1.0926</v>
      </c>
      <c r="AO377" s="162">
        <v>1.1057999999999999</v>
      </c>
      <c r="AP377" s="162">
        <v>1.1189</v>
      </c>
      <c r="AQ377" s="162">
        <v>1.123</v>
      </c>
      <c r="AR377" s="162">
        <v>1.1271</v>
      </c>
      <c r="AS377" s="162">
        <v>1.1312</v>
      </c>
      <c r="AT377" s="162">
        <v>1.1353</v>
      </c>
      <c r="AU377" s="162">
        <v>1.1394</v>
      </c>
    </row>
    <row r="378" spans="1:47" ht="12.75" customHeight="1">
      <c r="A378" s="459">
        <v>43539</v>
      </c>
      <c r="B378" s="139">
        <v>11</v>
      </c>
      <c r="C378" s="162">
        <v>-0.36849999999999999</v>
      </c>
      <c r="D378" s="162">
        <v>-0.36849999999999999</v>
      </c>
      <c r="E378" s="162">
        <v>-0.36349999999999999</v>
      </c>
      <c r="F378" s="162">
        <v>-0.3624</v>
      </c>
      <c r="G378" s="162">
        <v>-0.36059999999999998</v>
      </c>
      <c r="H378" s="162">
        <v>-0.36</v>
      </c>
      <c r="I378" s="162">
        <v>-0.35980000000000001</v>
      </c>
      <c r="J378" s="162">
        <v>-0.35920000000000002</v>
      </c>
      <c r="K378" s="162">
        <v>-0.3594</v>
      </c>
      <c r="L378" s="162">
        <v>-0.3584</v>
      </c>
      <c r="M378" s="162">
        <v>-0.35780000000000001</v>
      </c>
      <c r="N378" s="162">
        <v>-0.35599999999999998</v>
      </c>
      <c r="O378" s="162">
        <v>-0.3548</v>
      </c>
      <c r="P378" s="162">
        <v>-0.35249999999999998</v>
      </c>
      <c r="Q378" s="162">
        <v>-0.35039999999999999</v>
      </c>
      <c r="R378" s="162">
        <v>-0.34799999999999998</v>
      </c>
      <c r="S378" s="162">
        <v>-0.2969</v>
      </c>
      <c r="T378" s="162">
        <v>-0.22</v>
      </c>
      <c r="U378" s="162">
        <v>-0.13370000000000001</v>
      </c>
      <c r="V378" s="162">
        <v>-3.9800000000000002E-2</v>
      </c>
      <c r="W378" s="162">
        <v>6.0600000000000001E-2</v>
      </c>
      <c r="X378" s="162">
        <v>0.16350000000000001</v>
      </c>
      <c r="Y378" s="162">
        <v>0.26929999999999998</v>
      </c>
      <c r="Z378" s="162">
        <v>0.37269999999999998</v>
      </c>
      <c r="AA378" s="162">
        <v>0.47020000000000001</v>
      </c>
      <c r="AB378" s="162">
        <v>0.56159999999999999</v>
      </c>
      <c r="AC378" s="162">
        <v>0.64300000000000002</v>
      </c>
      <c r="AD378" s="162">
        <v>0.71540000000000004</v>
      </c>
      <c r="AE378" s="162">
        <v>0.78049999999999997</v>
      </c>
      <c r="AF378" s="162">
        <v>0.83899999999999997</v>
      </c>
      <c r="AG378" s="162">
        <v>0.87490000000000001</v>
      </c>
      <c r="AH378" s="162">
        <v>0.91080000000000005</v>
      </c>
      <c r="AI378" s="162">
        <v>0.94679999999999997</v>
      </c>
      <c r="AJ378" s="162">
        <v>0.98270000000000002</v>
      </c>
      <c r="AK378" s="162">
        <v>1.0185999999999999</v>
      </c>
      <c r="AL378" s="162">
        <v>1.0323</v>
      </c>
      <c r="AM378" s="162">
        <v>1.046</v>
      </c>
      <c r="AN378" s="162">
        <v>1.0597000000000001</v>
      </c>
      <c r="AO378" s="162">
        <v>1.0733999999999999</v>
      </c>
      <c r="AP378" s="162">
        <v>1.0871999999999999</v>
      </c>
      <c r="AQ378" s="162">
        <v>1.0922000000000001</v>
      </c>
      <c r="AR378" s="162">
        <v>1.0972999999999999</v>
      </c>
      <c r="AS378" s="162">
        <v>1.1023000000000001</v>
      </c>
      <c r="AT378" s="162">
        <v>1.1073999999999999</v>
      </c>
      <c r="AU378" s="162">
        <v>1.1124000000000001</v>
      </c>
    </row>
    <row r="379" spans="1:47" ht="12.75" customHeight="1">
      <c r="A379" s="459">
        <v>43546</v>
      </c>
      <c r="B379" s="139">
        <v>12</v>
      </c>
      <c r="C379" s="162">
        <v>-0.36799999999999999</v>
      </c>
      <c r="D379" s="162">
        <v>-0.36799999999999999</v>
      </c>
      <c r="E379" s="162">
        <v>-0.36430000000000001</v>
      </c>
      <c r="F379" s="162">
        <v>-0.36199999999999999</v>
      </c>
      <c r="G379" s="162">
        <v>-0.36220000000000002</v>
      </c>
      <c r="H379" s="162">
        <v>-0.36070000000000002</v>
      </c>
      <c r="I379" s="162">
        <v>-0.36030000000000001</v>
      </c>
      <c r="J379" s="162">
        <v>-0.35970000000000002</v>
      </c>
      <c r="K379" s="162">
        <v>-0.35899999999999999</v>
      </c>
      <c r="L379" s="162">
        <v>-0.35830000000000001</v>
      </c>
      <c r="M379" s="162">
        <v>-0.35770000000000002</v>
      </c>
      <c r="N379" s="162">
        <v>-0.3569</v>
      </c>
      <c r="O379" s="162">
        <v>-0.35630000000000001</v>
      </c>
      <c r="P379" s="162">
        <v>-0.35460000000000003</v>
      </c>
      <c r="Q379" s="162">
        <v>-0.35349999999999998</v>
      </c>
      <c r="R379" s="162">
        <v>-0.35239999999999999</v>
      </c>
      <c r="S379" s="162">
        <v>-0.30969999999999998</v>
      </c>
      <c r="T379" s="162">
        <v>-0.23960000000000001</v>
      </c>
      <c r="U379" s="162">
        <v>-0.1573</v>
      </c>
      <c r="V379" s="162">
        <v>-6.9199999999999998E-2</v>
      </c>
      <c r="W379" s="162">
        <v>2.41E-2</v>
      </c>
      <c r="X379" s="162">
        <v>0.1232</v>
      </c>
      <c r="Y379" s="162">
        <v>0.2228</v>
      </c>
      <c r="Z379" s="162">
        <v>0.32169999999999999</v>
      </c>
      <c r="AA379" s="162">
        <v>0.41649999999999998</v>
      </c>
      <c r="AB379" s="162">
        <v>0.50760000000000005</v>
      </c>
      <c r="AC379" s="162">
        <v>0.58740000000000003</v>
      </c>
      <c r="AD379" s="162">
        <v>0.6673</v>
      </c>
      <c r="AE379" s="162">
        <v>0.73140000000000005</v>
      </c>
      <c r="AF379" s="162">
        <v>0.78059999999999996</v>
      </c>
      <c r="AG379" s="162">
        <v>0.81720000000000004</v>
      </c>
      <c r="AH379" s="162">
        <v>0.85389999999999999</v>
      </c>
      <c r="AI379" s="162">
        <v>0.89049999999999996</v>
      </c>
      <c r="AJ379" s="162">
        <v>0.92720000000000002</v>
      </c>
      <c r="AK379" s="162">
        <v>0.96379999999999999</v>
      </c>
      <c r="AL379" s="162">
        <v>0.97850000000000004</v>
      </c>
      <c r="AM379" s="162">
        <v>0.99309999999999998</v>
      </c>
      <c r="AN379" s="162">
        <v>1.0077</v>
      </c>
      <c r="AO379" s="162">
        <v>1.0223</v>
      </c>
      <c r="AP379" s="162">
        <v>1.0369999999999999</v>
      </c>
      <c r="AQ379" s="162">
        <v>1.0423</v>
      </c>
      <c r="AR379" s="162">
        <v>1.0476000000000001</v>
      </c>
      <c r="AS379" s="162">
        <v>1.0528</v>
      </c>
      <c r="AT379" s="162">
        <v>1.0581</v>
      </c>
      <c r="AU379" s="162">
        <v>1.0633999999999999</v>
      </c>
    </row>
    <row r="380" spans="1:47" ht="12.75" customHeight="1">
      <c r="A380" s="459">
        <v>43553</v>
      </c>
      <c r="B380" s="139">
        <v>13</v>
      </c>
      <c r="C380" s="162">
        <v>-0.36980000000000002</v>
      </c>
      <c r="D380" s="162">
        <v>-0.36980000000000002</v>
      </c>
      <c r="E380" s="162">
        <v>-0.3614</v>
      </c>
      <c r="F380" s="162">
        <v>-0.36109999999999998</v>
      </c>
      <c r="G380" s="162">
        <v>-0.36180000000000001</v>
      </c>
      <c r="H380" s="162">
        <v>-0.36080000000000001</v>
      </c>
      <c r="I380" s="162">
        <v>-0.36030000000000001</v>
      </c>
      <c r="J380" s="162">
        <v>-0.35949999999999999</v>
      </c>
      <c r="K380" s="162">
        <v>-0.35899999999999999</v>
      </c>
      <c r="L380" s="162">
        <v>-0.3584</v>
      </c>
      <c r="M380" s="162">
        <v>-0.35709999999999997</v>
      </c>
      <c r="N380" s="162">
        <v>-0.35639999999999999</v>
      </c>
      <c r="O380" s="162">
        <v>-0.35539999999999999</v>
      </c>
      <c r="P380" s="162">
        <v>-0.35439999999999999</v>
      </c>
      <c r="Q380" s="162">
        <v>-0.35339999999999999</v>
      </c>
      <c r="R380" s="162">
        <v>-0.3518</v>
      </c>
      <c r="S380" s="162">
        <v>-0.31209999999999999</v>
      </c>
      <c r="T380" s="162">
        <v>-0.2445</v>
      </c>
      <c r="U380" s="162">
        <v>-0.16719999999999999</v>
      </c>
      <c r="V380" s="162">
        <v>-8.4500000000000006E-2</v>
      </c>
      <c r="W380" s="162">
        <v>4.8999999999999998E-3</v>
      </c>
      <c r="X380" s="162">
        <v>0.10249999999999999</v>
      </c>
      <c r="Y380" s="162">
        <v>0.20130000000000001</v>
      </c>
      <c r="Z380" s="162">
        <v>0.29930000000000001</v>
      </c>
      <c r="AA380" s="162">
        <v>0.39169999999999999</v>
      </c>
      <c r="AB380" s="162">
        <v>0.48149999999999998</v>
      </c>
      <c r="AC380" s="162">
        <v>0.55910000000000004</v>
      </c>
      <c r="AD380" s="162">
        <v>0.63360000000000005</v>
      </c>
      <c r="AE380" s="162">
        <v>0.6976</v>
      </c>
      <c r="AF380" s="162">
        <v>0.74919999999999998</v>
      </c>
      <c r="AG380" s="162">
        <v>0.7853</v>
      </c>
      <c r="AH380" s="162">
        <v>0.82150000000000001</v>
      </c>
      <c r="AI380" s="162">
        <v>0.85760000000000003</v>
      </c>
      <c r="AJ380" s="162">
        <v>0.89370000000000005</v>
      </c>
      <c r="AK380" s="162">
        <v>0.92989999999999995</v>
      </c>
      <c r="AL380" s="162">
        <v>0.94479999999999997</v>
      </c>
      <c r="AM380" s="162">
        <v>0.9597</v>
      </c>
      <c r="AN380" s="162">
        <v>0.97470000000000001</v>
      </c>
      <c r="AO380" s="162">
        <v>0.98960000000000004</v>
      </c>
      <c r="AP380" s="162">
        <v>1.0044999999999999</v>
      </c>
      <c r="AQ380" s="162">
        <v>1.0102</v>
      </c>
      <c r="AR380" s="162">
        <v>1.0159</v>
      </c>
      <c r="AS380" s="162">
        <v>1.0215000000000001</v>
      </c>
      <c r="AT380" s="162">
        <v>1.0271999999999999</v>
      </c>
      <c r="AU380" s="162">
        <v>1.0328999999999999</v>
      </c>
    </row>
    <row r="381" spans="1:47" ht="12.75" customHeight="1">
      <c r="A381" s="459">
        <v>43560</v>
      </c>
      <c r="B381" s="139">
        <v>14</v>
      </c>
      <c r="C381" s="162">
        <v>-0.36799999999999999</v>
      </c>
      <c r="D381" s="162">
        <v>-0.36799999999999999</v>
      </c>
      <c r="E381" s="162">
        <v>-0.36059999999999998</v>
      </c>
      <c r="F381" s="162">
        <v>-0.36199999999999999</v>
      </c>
      <c r="G381" s="162">
        <v>-0.36220000000000002</v>
      </c>
      <c r="H381" s="162">
        <v>-0.3619</v>
      </c>
      <c r="I381" s="162">
        <v>-0.3614</v>
      </c>
      <c r="J381" s="162">
        <v>-0.36109999999999998</v>
      </c>
      <c r="K381" s="162">
        <v>-0.36130000000000001</v>
      </c>
      <c r="L381" s="162">
        <v>-0.36130000000000001</v>
      </c>
      <c r="M381" s="162">
        <v>-0.36159999999999998</v>
      </c>
      <c r="N381" s="162">
        <v>-0.36170000000000002</v>
      </c>
      <c r="O381" s="162">
        <v>-0.3619</v>
      </c>
      <c r="P381" s="162">
        <v>-0.36209999999999998</v>
      </c>
      <c r="Q381" s="162">
        <v>-0.36220000000000002</v>
      </c>
      <c r="R381" s="162">
        <v>-0.36170000000000002</v>
      </c>
      <c r="S381" s="162">
        <v>-0.33960000000000001</v>
      </c>
      <c r="T381" s="162">
        <v>-0.28699999999999998</v>
      </c>
      <c r="U381" s="162">
        <v>-0.2208</v>
      </c>
      <c r="V381" s="162">
        <v>-0.14449999999999999</v>
      </c>
      <c r="W381" s="162">
        <v>-6.2700000000000006E-2</v>
      </c>
      <c r="X381" s="162">
        <v>2.7300000000000001E-2</v>
      </c>
      <c r="Y381" s="162">
        <v>0.12</v>
      </c>
      <c r="Z381" s="162">
        <v>0.20979999999999999</v>
      </c>
      <c r="AA381" s="162">
        <v>0.29820000000000002</v>
      </c>
      <c r="AB381" s="162">
        <v>0.38600000000000001</v>
      </c>
      <c r="AC381" s="162">
        <v>0.45529999999999998</v>
      </c>
      <c r="AD381" s="162">
        <v>0.53029999999999999</v>
      </c>
      <c r="AE381" s="162">
        <v>0.58960000000000001</v>
      </c>
      <c r="AF381" s="162">
        <v>0.63449999999999995</v>
      </c>
      <c r="AG381" s="162">
        <v>0.66839999999999999</v>
      </c>
      <c r="AH381" s="162">
        <v>0.70220000000000005</v>
      </c>
      <c r="AI381" s="162">
        <v>0.73609999999999998</v>
      </c>
      <c r="AJ381" s="162">
        <v>0.76990000000000003</v>
      </c>
      <c r="AK381" s="162">
        <v>0.80379999999999996</v>
      </c>
      <c r="AL381" s="162">
        <v>0.81779999999999997</v>
      </c>
      <c r="AM381" s="162">
        <v>0.83189999999999997</v>
      </c>
      <c r="AN381" s="162">
        <v>0.84589999999999999</v>
      </c>
      <c r="AO381" s="162">
        <v>0.8599</v>
      </c>
      <c r="AP381" s="162">
        <v>0.874</v>
      </c>
      <c r="AQ381" s="162">
        <v>0.87909999999999999</v>
      </c>
      <c r="AR381" s="162">
        <v>0.88419999999999999</v>
      </c>
      <c r="AS381" s="162">
        <v>0.88939999999999997</v>
      </c>
      <c r="AT381" s="162">
        <v>0.89449999999999996</v>
      </c>
      <c r="AU381" s="162">
        <v>0.89970000000000006</v>
      </c>
    </row>
    <row r="382" spans="1:47" ht="12.75" customHeight="1">
      <c r="A382" s="459">
        <v>43567</v>
      </c>
      <c r="B382" s="139">
        <v>15</v>
      </c>
      <c r="C382" s="162">
        <v>-0.36730000000000002</v>
      </c>
      <c r="D382" s="162">
        <v>-0.36730000000000002</v>
      </c>
      <c r="E382" s="162">
        <v>-0.36449999999999999</v>
      </c>
      <c r="F382" s="162">
        <v>-0.36409999999999998</v>
      </c>
      <c r="G382" s="162">
        <v>-0.3639</v>
      </c>
      <c r="H382" s="162">
        <v>-0.36370000000000002</v>
      </c>
      <c r="I382" s="162">
        <v>-0.3639</v>
      </c>
      <c r="J382" s="162">
        <v>-0.3649</v>
      </c>
      <c r="K382" s="162">
        <v>-0.36509999999999998</v>
      </c>
      <c r="L382" s="162">
        <v>-0.36599999999999999</v>
      </c>
      <c r="M382" s="162">
        <v>-0.36759999999999998</v>
      </c>
      <c r="N382" s="162">
        <v>-0.36870000000000003</v>
      </c>
      <c r="O382" s="162">
        <v>-0.36990000000000001</v>
      </c>
      <c r="P382" s="162">
        <v>-0.37090000000000001</v>
      </c>
      <c r="Q382" s="162">
        <v>-0.37190000000000001</v>
      </c>
      <c r="R382" s="162">
        <v>-0.372</v>
      </c>
      <c r="S382" s="162">
        <v>-0.34889999999999999</v>
      </c>
      <c r="T382" s="162">
        <v>-0.29089999999999999</v>
      </c>
      <c r="U382" s="162">
        <v>-0.21959999999999999</v>
      </c>
      <c r="V382" s="162">
        <v>-0.13719999999999999</v>
      </c>
      <c r="W382" s="162">
        <v>-4.8399999999999999E-2</v>
      </c>
      <c r="X382" s="162">
        <v>4.9700000000000001E-2</v>
      </c>
      <c r="Y382" s="162">
        <v>0.1474</v>
      </c>
      <c r="Z382" s="162">
        <v>0.2457</v>
      </c>
      <c r="AA382" s="162">
        <v>0.33829999999999999</v>
      </c>
      <c r="AB382" s="162">
        <v>0.42930000000000001</v>
      </c>
      <c r="AC382" s="162">
        <v>0.50439999999999996</v>
      </c>
      <c r="AD382" s="162">
        <v>0.58509999999999995</v>
      </c>
      <c r="AE382" s="162">
        <v>0.64849999999999997</v>
      </c>
      <c r="AF382" s="162">
        <v>0.69499999999999995</v>
      </c>
      <c r="AG382" s="162">
        <v>0.73080000000000001</v>
      </c>
      <c r="AH382" s="162">
        <v>0.76659999999999995</v>
      </c>
      <c r="AI382" s="162">
        <v>0.80249999999999999</v>
      </c>
      <c r="AJ382" s="162">
        <v>0.83830000000000005</v>
      </c>
      <c r="AK382" s="162">
        <v>0.87409999999999999</v>
      </c>
      <c r="AL382" s="162">
        <v>0.88829999999999998</v>
      </c>
      <c r="AM382" s="162">
        <v>0.90259999999999996</v>
      </c>
      <c r="AN382" s="162">
        <v>0.91679999999999995</v>
      </c>
      <c r="AO382" s="162">
        <v>0.93110000000000004</v>
      </c>
      <c r="AP382" s="162">
        <v>0.94530000000000003</v>
      </c>
      <c r="AQ382" s="162">
        <v>0.95030000000000003</v>
      </c>
      <c r="AR382" s="162">
        <v>0.95530000000000004</v>
      </c>
      <c r="AS382" s="162">
        <v>0.96030000000000004</v>
      </c>
      <c r="AT382" s="162">
        <v>0.96530000000000005</v>
      </c>
      <c r="AU382" s="162">
        <v>0.97030000000000005</v>
      </c>
    </row>
    <row r="383" spans="1:47" ht="12.75" customHeight="1">
      <c r="A383" s="459">
        <v>43574</v>
      </c>
      <c r="B383" s="139">
        <v>16</v>
      </c>
      <c r="C383" s="162">
        <v>-0.36799999999999999</v>
      </c>
      <c r="D383" s="162">
        <v>-0.36799999999999999</v>
      </c>
      <c r="E383" s="162">
        <v>-0.36480000000000001</v>
      </c>
      <c r="F383" s="162">
        <v>-0.36480000000000001</v>
      </c>
      <c r="G383" s="162">
        <v>-0.36480000000000001</v>
      </c>
      <c r="H383" s="162">
        <v>-0.3644</v>
      </c>
      <c r="I383" s="162">
        <v>-0.3649</v>
      </c>
      <c r="J383" s="162">
        <v>-0.36580000000000001</v>
      </c>
      <c r="K383" s="162">
        <v>-0.36599999999999999</v>
      </c>
      <c r="L383" s="162">
        <v>-0.36709999999999998</v>
      </c>
      <c r="M383" s="162">
        <v>-0.36840000000000001</v>
      </c>
      <c r="N383" s="162">
        <v>-0.36980000000000002</v>
      </c>
      <c r="O383" s="162">
        <v>-0.371</v>
      </c>
      <c r="P383" s="162">
        <v>-0.37209999999999999</v>
      </c>
      <c r="Q383" s="162">
        <v>-0.37290000000000001</v>
      </c>
      <c r="R383" s="162">
        <v>-0.37419999999999998</v>
      </c>
      <c r="S383" s="162">
        <v>-0.35639999999999999</v>
      </c>
      <c r="T383" s="162">
        <v>-0.30280000000000001</v>
      </c>
      <c r="U383" s="162">
        <v>-0.23080000000000001</v>
      </c>
      <c r="V383" s="162">
        <v>-0.14710000000000001</v>
      </c>
      <c r="W383" s="162">
        <v>-5.5399999999999998E-2</v>
      </c>
      <c r="X383" s="162">
        <v>4.1799999999999997E-2</v>
      </c>
      <c r="Y383" s="162">
        <v>0.1406</v>
      </c>
      <c r="Z383" s="162">
        <v>0.24</v>
      </c>
      <c r="AA383" s="162">
        <v>0.33329999999999999</v>
      </c>
      <c r="AB383" s="162">
        <v>0.41830000000000001</v>
      </c>
      <c r="AC383" s="162">
        <v>0.49790000000000001</v>
      </c>
      <c r="AD383" s="162">
        <v>0.57169999999999999</v>
      </c>
      <c r="AE383" s="162">
        <v>0.63529999999999998</v>
      </c>
      <c r="AF383" s="162">
        <v>0.6875</v>
      </c>
      <c r="AG383" s="162">
        <v>0.7228</v>
      </c>
      <c r="AH383" s="162">
        <v>0.7581</v>
      </c>
      <c r="AI383" s="162">
        <v>0.79339999999999999</v>
      </c>
      <c r="AJ383" s="162">
        <v>0.8286</v>
      </c>
      <c r="AK383" s="162">
        <v>0.8639</v>
      </c>
      <c r="AL383" s="162">
        <v>0.87809999999999999</v>
      </c>
      <c r="AM383" s="162">
        <v>0.89229999999999998</v>
      </c>
      <c r="AN383" s="162">
        <v>0.90639999999999998</v>
      </c>
      <c r="AO383" s="162">
        <v>0.92059999999999997</v>
      </c>
      <c r="AP383" s="162">
        <v>0.93479999999999996</v>
      </c>
      <c r="AQ383" s="162">
        <v>0.93979999999999997</v>
      </c>
      <c r="AR383" s="162">
        <v>0.94489999999999996</v>
      </c>
      <c r="AS383" s="162">
        <v>0.94989999999999997</v>
      </c>
      <c r="AT383" s="162">
        <v>0.95499999999999996</v>
      </c>
      <c r="AU383" s="162">
        <v>0.96</v>
      </c>
    </row>
    <row r="384" spans="1:47" ht="12.75" customHeight="1">
      <c r="A384" s="459">
        <v>43581</v>
      </c>
      <c r="B384" s="139">
        <v>17</v>
      </c>
      <c r="C384" s="162">
        <v>-0.36699999999999999</v>
      </c>
      <c r="D384" s="162">
        <v>-0.36699999999999999</v>
      </c>
      <c r="E384" s="162">
        <v>-0.3634</v>
      </c>
      <c r="F384" s="162">
        <v>-0.36259999999999998</v>
      </c>
      <c r="G384" s="162">
        <v>-0.36370000000000002</v>
      </c>
      <c r="H384" s="162">
        <v>-0.35880000000000001</v>
      </c>
      <c r="I384" s="162">
        <v>-0.36259999999999998</v>
      </c>
      <c r="J384" s="162">
        <v>-0.36420000000000002</v>
      </c>
      <c r="K384" s="162">
        <v>-0.36430000000000001</v>
      </c>
      <c r="L384" s="162">
        <v>-0.36449999999999999</v>
      </c>
      <c r="M384" s="162">
        <v>-0.36659999999999998</v>
      </c>
      <c r="N384" s="162">
        <v>-0.36649999999999999</v>
      </c>
      <c r="O384" s="162">
        <v>-0.36820000000000003</v>
      </c>
      <c r="P384" s="162">
        <v>-0.36919999999999997</v>
      </c>
      <c r="Q384" s="162">
        <v>-0.36969999999999997</v>
      </c>
      <c r="R384" s="162">
        <v>-0.36919999999999997</v>
      </c>
      <c r="S384" s="162">
        <v>-0.34250000000000003</v>
      </c>
      <c r="T384" s="162">
        <v>-0.28029999999999999</v>
      </c>
      <c r="U384" s="162">
        <v>-0.1986</v>
      </c>
      <c r="V384" s="162">
        <v>-0.1066</v>
      </c>
      <c r="W384" s="162">
        <v>-1.0999999999999999E-2</v>
      </c>
      <c r="X384" s="162">
        <v>9.1300000000000006E-2</v>
      </c>
      <c r="Y384" s="162">
        <v>0.193</v>
      </c>
      <c r="Z384" s="162">
        <v>0.2923</v>
      </c>
      <c r="AA384" s="162">
        <v>0.38640000000000002</v>
      </c>
      <c r="AB384" s="162">
        <v>0.4748</v>
      </c>
      <c r="AC384" s="162">
        <v>0.55579999999999996</v>
      </c>
      <c r="AD384" s="162">
        <v>0.62870000000000004</v>
      </c>
      <c r="AE384" s="162">
        <v>0.69269999999999998</v>
      </c>
      <c r="AF384" s="162">
        <v>0.74729999999999996</v>
      </c>
      <c r="AG384" s="162">
        <v>0.78369999999999995</v>
      </c>
      <c r="AH384" s="162">
        <v>0.82020000000000004</v>
      </c>
      <c r="AI384" s="162">
        <v>0.85660000000000003</v>
      </c>
      <c r="AJ384" s="162">
        <v>0.8931</v>
      </c>
      <c r="AK384" s="162">
        <v>0.92949999999999999</v>
      </c>
      <c r="AL384" s="162">
        <v>0.94389999999999996</v>
      </c>
      <c r="AM384" s="162">
        <v>0.95840000000000003</v>
      </c>
      <c r="AN384" s="162">
        <v>0.9728</v>
      </c>
      <c r="AO384" s="162">
        <v>0.98719999999999997</v>
      </c>
      <c r="AP384" s="162">
        <v>1.0016</v>
      </c>
      <c r="AQ384" s="162">
        <v>1.0069999999999999</v>
      </c>
      <c r="AR384" s="162">
        <v>1.0123</v>
      </c>
      <c r="AS384" s="162">
        <v>1.0177</v>
      </c>
      <c r="AT384" s="162">
        <v>1.0229999999999999</v>
      </c>
      <c r="AU384" s="162">
        <v>1.0284</v>
      </c>
    </row>
    <row r="385" spans="1:47" ht="12.75" customHeight="1">
      <c r="A385" s="459">
        <v>43588</v>
      </c>
      <c r="B385" s="139">
        <v>18</v>
      </c>
      <c r="C385" s="162">
        <v>-0.36730000000000002</v>
      </c>
      <c r="D385" s="162">
        <v>-0.36730000000000002</v>
      </c>
      <c r="E385" s="162">
        <v>-0.3634</v>
      </c>
      <c r="F385" s="162">
        <v>-0.36359999999999998</v>
      </c>
      <c r="G385" s="162">
        <v>-0.36399999999999999</v>
      </c>
      <c r="H385" s="162">
        <v>-0.3639</v>
      </c>
      <c r="I385" s="162">
        <v>-0.36430000000000001</v>
      </c>
      <c r="J385" s="162">
        <v>-0.36480000000000001</v>
      </c>
      <c r="K385" s="162">
        <v>-0.36480000000000001</v>
      </c>
      <c r="L385" s="162">
        <v>-0.36559999999999998</v>
      </c>
      <c r="M385" s="162">
        <v>-0.36609999999999998</v>
      </c>
      <c r="N385" s="162">
        <v>-0.3664</v>
      </c>
      <c r="O385" s="162">
        <v>-0.36709999999999998</v>
      </c>
      <c r="P385" s="162">
        <v>-0.36809999999999998</v>
      </c>
      <c r="Q385" s="162">
        <v>-0.36809999999999998</v>
      </c>
      <c r="R385" s="162">
        <v>-0.36799999999999999</v>
      </c>
      <c r="S385" s="162">
        <v>-0.34489999999999998</v>
      </c>
      <c r="T385" s="162">
        <v>-0.29170000000000001</v>
      </c>
      <c r="U385" s="162">
        <v>-0.2228</v>
      </c>
      <c r="V385" s="162">
        <v>-0.1414</v>
      </c>
      <c r="W385" s="162">
        <v>-4.9000000000000002E-2</v>
      </c>
      <c r="X385" s="162">
        <v>5.0299999999999997E-2</v>
      </c>
      <c r="Y385" s="162">
        <v>0.14849999999999999</v>
      </c>
      <c r="Z385" s="162">
        <v>0.24510000000000001</v>
      </c>
      <c r="AA385" s="162">
        <v>0.33739999999999998</v>
      </c>
      <c r="AB385" s="162">
        <v>0.42259999999999998</v>
      </c>
      <c r="AC385" s="162">
        <v>0.49959999999999999</v>
      </c>
      <c r="AD385" s="162">
        <v>0.57450000000000001</v>
      </c>
      <c r="AE385" s="162">
        <v>0.63839999999999997</v>
      </c>
      <c r="AF385" s="162">
        <v>0.68989999999999996</v>
      </c>
      <c r="AG385" s="162">
        <v>0.72650000000000003</v>
      </c>
      <c r="AH385" s="162">
        <v>0.76300000000000001</v>
      </c>
      <c r="AI385" s="162">
        <v>0.79959999999999998</v>
      </c>
      <c r="AJ385" s="162">
        <v>0.83620000000000005</v>
      </c>
      <c r="AK385" s="162">
        <v>0.87280000000000002</v>
      </c>
      <c r="AL385" s="162">
        <v>0.88719999999999999</v>
      </c>
      <c r="AM385" s="162">
        <v>0.90169999999999995</v>
      </c>
      <c r="AN385" s="162">
        <v>0.91610000000000003</v>
      </c>
      <c r="AO385" s="162">
        <v>0.93049999999999999</v>
      </c>
      <c r="AP385" s="162">
        <v>0.94489999999999996</v>
      </c>
      <c r="AQ385" s="162">
        <v>0.94969999999999999</v>
      </c>
      <c r="AR385" s="162">
        <v>0.95450000000000002</v>
      </c>
      <c r="AS385" s="162">
        <v>0.95930000000000004</v>
      </c>
      <c r="AT385" s="162">
        <v>0.96399999999999997</v>
      </c>
      <c r="AU385" s="162">
        <v>0.96879999999999999</v>
      </c>
    </row>
    <row r="386" spans="1:47" ht="12.75" customHeight="1">
      <c r="A386" s="459">
        <v>43595</v>
      </c>
      <c r="B386" s="139">
        <v>19</v>
      </c>
      <c r="C386" s="162">
        <v>-0.36330000000000001</v>
      </c>
      <c r="D386" s="162">
        <v>-0.36330000000000001</v>
      </c>
      <c r="E386" s="162">
        <v>-0.3644</v>
      </c>
      <c r="F386" s="162">
        <v>-0.36499999999999999</v>
      </c>
      <c r="G386" s="162">
        <v>-0.36380000000000001</v>
      </c>
      <c r="H386" s="162">
        <v>-0.3639</v>
      </c>
      <c r="I386" s="162">
        <v>-0.3644</v>
      </c>
      <c r="J386" s="162">
        <v>-0.36449999999999999</v>
      </c>
      <c r="K386" s="162">
        <v>-0.36499999999999999</v>
      </c>
      <c r="L386" s="162">
        <v>-0.36559999999999998</v>
      </c>
      <c r="M386" s="162">
        <v>-0.36609999999999998</v>
      </c>
      <c r="N386" s="162">
        <v>-0.36630000000000001</v>
      </c>
      <c r="O386" s="162">
        <v>-0.36699999999999999</v>
      </c>
      <c r="P386" s="162">
        <v>-0.36780000000000002</v>
      </c>
      <c r="Q386" s="162">
        <v>-0.36780000000000002</v>
      </c>
      <c r="R386" s="162">
        <v>-0.36780000000000002</v>
      </c>
      <c r="S386" s="162">
        <v>-0.34239999999999998</v>
      </c>
      <c r="T386" s="162">
        <v>-0.2868</v>
      </c>
      <c r="U386" s="162">
        <v>-0.21759999999999999</v>
      </c>
      <c r="V386" s="162">
        <v>-0.1356</v>
      </c>
      <c r="W386" s="162">
        <v>-4.4400000000000002E-2</v>
      </c>
      <c r="X386" s="162">
        <v>5.2400000000000002E-2</v>
      </c>
      <c r="Y386" s="162">
        <v>0.1512</v>
      </c>
      <c r="Z386" s="162">
        <v>0.248</v>
      </c>
      <c r="AA386" s="162">
        <v>0.33900000000000002</v>
      </c>
      <c r="AB386" s="162">
        <v>0.42880000000000001</v>
      </c>
      <c r="AC386" s="162">
        <v>0.503</v>
      </c>
      <c r="AD386" s="162">
        <v>0.57640000000000002</v>
      </c>
      <c r="AE386" s="162">
        <v>0.64049999999999996</v>
      </c>
      <c r="AF386" s="162">
        <v>0.69350000000000001</v>
      </c>
      <c r="AG386" s="162">
        <v>0.72970000000000002</v>
      </c>
      <c r="AH386" s="162">
        <v>0.76590000000000003</v>
      </c>
      <c r="AI386" s="162">
        <v>0.80200000000000005</v>
      </c>
      <c r="AJ386" s="162">
        <v>0.83819999999999995</v>
      </c>
      <c r="AK386" s="162">
        <v>0.87439999999999996</v>
      </c>
      <c r="AL386" s="162">
        <v>0.88890000000000002</v>
      </c>
      <c r="AM386" s="162">
        <v>0.90329999999999999</v>
      </c>
      <c r="AN386" s="162">
        <v>0.91779999999999995</v>
      </c>
      <c r="AO386" s="162">
        <v>0.93230000000000002</v>
      </c>
      <c r="AP386" s="162">
        <v>0.94679999999999997</v>
      </c>
      <c r="AQ386" s="162">
        <v>0.95140000000000002</v>
      </c>
      <c r="AR386" s="162">
        <v>0.95589999999999997</v>
      </c>
      <c r="AS386" s="162">
        <v>0.96050000000000002</v>
      </c>
      <c r="AT386" s="162">
        <v>0.96499999999999997</v>
      </c>
      <c r="AU386" s="162">
        <v>0.96960000000000002</v>
      </c>
    </row>
    <row r="387" spans="1:47" ht="12.75" customHeight="1">
      <c r="A387" s="459">
        <v>43602</v>
      </c>
      <c r="B387" s="139">
        <v>20</v>
      </c>
      <c r="C387" s="162">
        <v>-0.36349999999999999</v>
      </c>
      <c r="D387" s="162">
        <v>-0.36349999999999999</v>
      </c>
      <c r="E387" s="162">
        <v>-0.3639</v>
      </c>
      <c r="F387" s="162">
        <v>-0.36499999999999999</v>
      </c>
      <c r="G387" s="162">
        <v>-0.36420000000000002</v>
      </c>
      <c r="H387" s="162">
        <v>-0.36409999999999998</v>
      </c>
      <c r="I387" s="162">
        <v>-0.36449999999999999</v>
      </c>
      <c r="J387" s="162">
        <v>-0.3649</v>
      </c>
      <c r="K387" s="162">
        <v>-0.36509999999999998</v>
      </c>
      <c r="L387" s="162">
        <v>-0.36649999999999999</v>
      </c>
      <c r="M387" s="162">
        <v>-0.36720000000000003</v>
      </c>
      <c r="N387" s="162">
        <v>-0.36849999999999999</v>
      </c>
      <c r="O387" s="162">
        <v>-0.36959999999999998</v>
      </c>
      <c r="P387" s="162">
        <v>-0.37090000000000001</v>
      </c>
      <c r="Q387" s="162">
        <v>-0.37190000000000001</v>
      </c>
      <c r="R387" s="162">
        <v>-0.37240000000000001</v>
      </c>
      <c r="S387" s="162">
        <v>-0.35630000000000001</v>
      </c>
      <c r="T387" s="162">
        <v>-0.30940000000000001</v>
      </c>
      <c r="U387" s="162">
        <v>-0.24360000000000001</v>
      </c>
      <c r="V387" s="162">
        <v>-0.1651</v>
      </c>
      <c r="W387" s="162">
        <v>-7.6100000000000001E-2</v>
      </c>
      <c r="X387" s="162">
        <v>1.78E-2</v>
      </c>
      <c r="Y387" s="162">
        <v>0.1148</v>
      </c>
      <c r="Z387" s="162">
        <v>0.2087</v>
      </c>
      <c r="AA387" s="162">
        <v>0.3</v>
      </c>
      <c r="AB387" s="162">
        <v>0.38619999999999999</v>
      </c>
      <c r="AC387" s="162">
        <v>0.46210000000000001</v>
      </c>
      <c r="AD387" s="162">
        <v>0.53700000000000003</v>
      </c>
      <c r="AE387" s="162">
        <v>0.60009999999999997</v>
      </c>
      <c r="AF387" s="162">
        <v>0.65210000000000001</v>
      </c>
      <c r="AG387" s="162">
        <v>0.68789999999999996</v>
      </c>
      <c r="AH387" s="162">
        <v>0.72370000000000001</v>
      </c>
      <c r="AI387" s="162">
        <v>0.75949999999999995</v>
      </c>
      <c r="AJ387" s="162">
        <v>0.79530000000000001</v>
      </c>
      <c r="AK387" s="162">
        <v>0.83120000000000005</v>
      </c>
      <c r="AL387" s="162">
        <v>0.84570000000000001</v>
      </c>
      <c r="AM387" s="162">
        <v>0.86019999999999996</v>
      </c>
      <c r="AN387" s="162">
        <v>0.87470000000000003</v>
      </c>
      <c r="AO387" s="162">
        <v>0.88929999999999998</v>
      </c>
      <c r="AP387" s="162">
        <v>0.90380000000000005</v>
      </c>
      <c r="AQ387" s="162">
        <v>0.90900000000000003</v>
      </c>
      <c r="AR387" s="162">
        <v>0.91420000000000001</v>
      </c>
      <c r="AS387" s="162">
        <v>0.9194</v>
      </c>
      <c r="AT387" s="162">
        <v>0.92459999999999998</v>
      </c>
      <c r="AU387" s="162">
        <v>0.92979999999999996</v>
      </c>
    </row>
    <row r="388" spans="1:47" ht="12.75" customHeight="1">
      <c r="A388" s="459">
        <v>43609</v>
      </c>
      <c r="B388" s="139">
        <v>21</v>
      </c>
      <c r="C388" s="162">
        <v>-0.36830000000000002</v>
      </c>
      <c r="D388" s="162">
        <v>-0.36830000000000002</v>
      </c>
      <c r="E388" s="162">
        <v>-0.3649</v>
      </c>
      <c r="F388" s="162">
        <v>-0.3644</v>
      </c>
      <c r="G388" s="162">
        <v>-0.36470000000000002</v>
      </c>
      <c r="H388" s="162">
        <v>-0.3649</v>
      </c>
      <c r="I388" s="162">
        <v>-0.3659</v>
      </c>
      <c r="J388" s="162">
        <v>-0.36670000000000003</v>
      </c>
      <c r="K388" s="162">
        <v>-0.36849999999999999</v>
      </c>
      <c r="L388" s="162">
        <v>-0.37059999999999998</v>
      </c>
      <c r="M388" s="162">
        <v>-0.37290000000000001</v>
      </c>
      <c r="N388" s="162">
        <v>-0.375</v>
      </c>
      <c r="O388" s="162">
        <v>-0.37759999999999999</v>
      </c>
      <c r="P388" s="162">
        <v>-0.37990000000000002</v>
      </c>
      <c r="Q388" s="162">
        <v>-0.38169999999999998</v>
      </c>
      <c r="R388" s="162">
        <v>-0.38340000000000002</v>
      </c>
      <c r="S388" s="162">
        <v>-0.37719999999999998</v>
      </c>
      <c r="T388" s="162">
        <v>-0.33539999999999998</v>
      </c>
      <c r="U388" s="162">
        <v>-0.2737</v>
      </c>
      <c r="V388" s="162">
        <v>-0.1973</v>
      </c>
      <c r="W388" s="162">
        <v>-0.1119</v>
      </c>
      <c r="X388" s="162">
        <v>-2.1899999999999999E-2</v>
      </c>
      <c r="Y388" s="162">
        <v>7.0999999999999994E-2</v>
      </c>
      <c r="Z388" s="162">
        <v>0.16389999999999999</v>
      </c>
      <c r="AA388" s="162">
        <v>0.252</v>
      </c>
      <c r="AB388" s="162">
        <v>0.3347</v>
      </c>
      <c r="AC388" s="162">
        <v>0.41220000000000001</v>
      </c>
      <c r="AD388" s="162">
        <v>0.48080000000000001</v>
      </c>
      <c r="AE388" s="162">
        <v>0.54259999999999997</v>
      </c>
      <c r="AF388" s="162">
        <v>0.60019999999999996</v>
      </c>
      <c r="AG388" s="162">
        <v>0.6351</v>
      </c>
      <c r="AH388" s="162">
        <v>0.67</v>
      </c>
      <c r="AI388" s="162">
        <v>0.70489999999999997</v>
      </c>
      <c r="AJ388" s="162">
        <v>0.73980000000000001</v>
      </c>
      <c r="AK388" s="162">
        <v>0.77470000000000006</v>
      </c>
      <c r="AL388" s="162">
        <v>0.78890000000000005</v>
      </c>
      <c r="AM388" s="162">
        <v>0.80320000000000003</v>
      </c>
      <c r="AN388" s="162">
        <v>0.81740000000000002</v>
      </c>
      <c r="AO388" s="162">
        <v>0.83169999999999999</v>
      </c>
      <c r="AP388" s="162">
        <v>0.84589999999999999</v>
      </c>
      <c r="AQ388" s="162">
        <v>0.85019999999999996</v>
      </c>
      <c r="AR388" s="162">
        <v>0.85440000000000005</v>
      </c>
      <c r="AS388" s="162">
        <v>0.85870000000000002</v>
      </c>
      <c r="AT388" s="162">
        <v>0.8629</v>
      </c>
      <c r="AU388" s="162">
        <v>0.86719999999999997</v>
      </c>
    </row>
    <row r="389" spans="1:47" ht="12.75" customHeight="1">
      <c r="A389" s="459">
        <v>43616</v>
      </c>
      <c r="B389" s="139">
        <v>22</v>
      </c>
      <c r="C389" s="162">
        <v>-0.36980000000000002</v>
      </c>
      <c r="D389" s="162">
        <v>-0.36980000000000002</v>
      </c>
      <c r="E389" s="162">
        <v>-0.36449999999999999</v>
      </c>
      <c r="F389" s="162">
        <v>-0.36459999999999998</v>
      </c>
      <c r="G389" s="162">
        <v>-0.36599999999999999</v>
      </c>
      <c r="H389" s="162">
        <v>-0.36520000000000002</v>
      </c>
      <c r="I389" s="162">
        <v>-0.36599999999999999</v>
      </c>
      <c r="J389" s="162">
        <v>-0.36720000000000003</v>
      </c>
      <c r="K389" s="162">
        <v>-0.3695</v>
      </c>
      <c r="L389" s="162">
        <v>-0.37280000000000002</v>
      </c>
      <c r="M389" s="162">
        <v>-0.37569999999999998</v>
      </c>
      <c r="N389" s="162">
        <v>-0.3785</v>
      </c>
      <c r="O389" s="162">
        <v>-0.38100000000000001</v>
      </c>
      <c r="P389" s="162">
        <v>-0.38400000000000001</v>
      </c>
      <c r="Q389" s="162">
        <v>-0.38600000000000001</v>
      </c>
      <c r="R389" s="162">
        <v>-0.38719999999999999</v>
      </c>
      <c r="S389" s="162">
        <v>-0.38250000000000001</v>
      </c>
      <c r="T389" s="162">
        <v>-0.34239999999999998</v>
      </c>
      <c r="U389" s="162">
        <v>-0.28089999999999998</v>
      </c>
      <c r="V389" s="162">
        <v>-0.2041</v>
      </c>
      <c r="W389" s="162">
        <v>-0.1154</v>
      </c>
      <c r="X389" s="162">
        <v>-2.3599999999999999E-2</v>
      </c>
      <c r="Y389" s="162">
        <v>7.1199999999999999E-2</v>
      </c>
      <c r="Z389" s="162">
        <v>0.16320000000000001</v>
      </c>
      <c r="AA389" s="162">
        <v>0.25309999999999999</v>
      </c>
      <c r="AB389" s="162">
        <v>0.33560000000000001</v>
      </c>
      <c r="AC389" s="162">
        <v>0.41670000000000001</v>
      </c>
      <c r="AD389" s="162">
        <v>0.48299999999999998</v>
      </c>
      <c r="AE389" s="162">
        <v>0.5464</v>
      </c>
      <c r="AF389" s="162">
        <v>0.60699999999999998</v>
      </c>
      <c r="AG389" s="162">
        <v>0.64300000000000002</v>
      </c>
      <c r="AH389" s="162">
        <v>0.67910000000000004</v>
      </c>
      <c r="AI389" s="162">
        <v>0.71509999999999996</v>
      </c>
      <c r="AJ389" s="162">
        <v>0.75109999999999999</v>
      </c>
      <c r="AK389" s="162">
        <v>0.78710000000000002</v>
      </c>
      <c r="AL389" s="162">
        <v>0.80169999999999997</v>
      </c>
      <c r="AM389" s="162">
        <v>0.81620000000000004</v>
      </c>
      <c r="AN389" s="162">
        <v>0.83079999999999998</v>
      </c>
      <c r="AO389" s="162">
        <v>0.84530000000000005</v>
      </c>
      <c r="AP389" s="162">
        <v>0.85980000000000001</v>
      </c>
      <c r="AQ389" s="162">
        <v>0.86460000000000004</v>
      </c>
      <c r="AR389" s="162">
        <v>0.86939999999999995</v>
      </c>
      <c r="AS389" s="162">
        <v>0.87419999999999998</v>
      </c>
      <c r="AT389" s="162">
        <v>0.879</v>
      </c>
      <c r="AU389" s="162">
        <v>0.88380000000000003</v>
      </c>
    </row>
    <row r="390" spans="1:47" ht="12.75" customHeight="1">
      <c r="A390" s="459">
        <v>43623</v>
      </c>
      <c r="B390" s="139">
        <v>23</v>
      </c>
      <c r="C390" s="162">
        <v>-0.3695</v>
      </c>
      <c r="D390" s="162">
        <v>-0.3695</v>
      </c>
      <c r="E390" s="162">
        <v>-0.36220000000000002</v>
      </c>
      <c r="F390" s="162">
        <v>-0.36459999999999998</v>
      </c>
      <c r="G390" s="162">
        <v>-0.36609999999999998</v>
      </c>
      <c r="H390" s="162">
        <v>-0.36630000000000001</v>
      </c>
      <c r="I390" s="162">
        <v>-0.36699999999999999</v>
      </c>
      <c r="J390" s="162">
        <v>-0.36809999999999998</v>
      </c>
      <c r="K390" s="162">
        <v>-0.371</v>
      </c>
      <c r="L390" s="162">
        <v>-0.374</v>
      </c>
      <c r="M390" s="162">
        <v>-0.37859999999999999</v>
      </c>
      <c r="N390" s="162">
        <v>-0.38159999999999999</v>
      </c>
      <c r="O390" s="162">
        <v>-0.38450000000000001</v>
      </c>
      <c r="P390" s="162">
        <v>-0.38729999999999998</v>
      </c>
      <c r="Q390" s="162">
        <v>-0.38940000000000002</v>
      </c>
      <c r="R390" s="162">
        <v>-0.39029999999999998</v>
      </c>
      <c r="S390" s="162">
        <v>-0.39269999999999999</v>
      </c>
      <c r="T390" s="162">
        <v>-0.35880000000000001</v>
      </c>
      <c r="U390" s="162">
        <v>-0.3034</v>
      </c>
      <c r="V390" s="162">
        <v>-0.23219999999999999</v>
      </c>
      <c r="W390" s="162">
        <v>-0.15090000000000001</v>
      </c>
      <c r="X390" s="162">
        <v>-6.5199999999999994E-2</v>
      </c>
      <c r="Y390" s="162">
        <v>2.2599999999999999E-2</v>
      </c>
      <c r="Z390" s="162">
        <v>0.114</v>
      </c>
      <c r="AA390" s="162">
        <v>0.19919999999999999</v>
      </c>
      <c r="AB390" s="162">
        <v>0.28189999999999998</v>
      </c>
      <c r="AC390" s="162">
        <v>0.35770000000000002</v>
      </c>
      <c r="AD390" s="162">
        <v>0.42830000000000001</v>
      </c>
      <c r="AE390" s="162">
        <v>0.49049999999999999</v>
      </c>
      <c r="AF390" s="162">
        <v>0.54669999999999996</v>
      </c>
      <c r="AG390" s="162">
        <v>0.58279999999999998</v>
      </c>
      <c r="AH390" s="162">
        <v>0.61899999999999999</v>
      </c>
      <c r="AI390" s="162">
        <v>0.6552</v>
      </c>
      <c r="AJ390" s="162">
        <v>0.69130000000000003</v>
      </c>
      <c r="AK390" s="162">
        <v>0.72750000000000004</v>
      </c>
      <c r="AL390" s="162">
        <v>0.74209999999999998</v>
      </c>
      <c r="AM390" s="162">
        <v>0.75670000000000004</v>
      </c>
      <c r="AN390" s="162">
        <v>0.77129999999999999</v>
      </c>
      <c r="AO390" s="162">
        <v>0.78590000000000004</v>
      </c>
      <c r="AP390" s="162">
        <v>0.80049999999999999</v>
      </c>
      <c r="AQ390" s="162">
        <v>0.80569999999999997</v>
      </c>
      <c r="AR390" s="162">
        <v>0.81079999999999997</v>
      </c>
      <c r="AS390" s="162">
        <v>0.81599999999999995</v>
      </c>
      <c r="AT390" s="162">
        <v>0.82120000000000004</v>
      </c>
      <c r="AU390" s="162">
        <v>0.82630000000000003</v>
      </c>
    </row>
    <row r="391" spans="1:47" ht="12.75" customHeight="1">
      <c r="A391" s="459">
        <v>43630</v>
      </c>
      <c r="B391" s="139">
        <v>24</v>
      </c>
      <c r="C391" s="162">
        <v>-0.36580000000000001</v>
      </c>
      <c r="D391" s="162">
        <v>-0.36580000000000001</v>
      </c>
      <c r="E391" s="162">
        <v>-0.36699999999999999</v>
      </c>
      <c r="F391" s="162">
        <v>-0.36909999999999998</v>
      </c>
      <c r="G391" s="162">
        <v>-0.36699999999999999</v>
      </c>
      <c r="H391" s="162">
        <v>-0.36880000000000002</v>
      </c>
      <c r="I391" s="162">
        <v>-0.37030000000000002</v>
      </c>
      <c r="J391" s="162">
        <v>-0.37430000000000002</v>
      </c>
      <c r="K391" s="162">
        <v>-0.37859999999999999</v>
      </c>
      <c r="L391" s="162">
        <v>-0.38240000000000002</v>
      </c>
      <c r="M391" s="162">
        <v>-0.3866</v>
      </c>
      <c r="N391" s="162">
        <v>-0.39079999999999998</v>
      </c>
      <c r="O391" s="162">
        <v>-0.39460000000000001</v>
      </c>
      <c r="P391" s="162">
        <v>-0.39860000000000001</v>
      </c>
      <c r="Q391" s="162">
        <v>-0.40200000000000002</v>
      </c>
      <c r="R391" s="162">
        <v>-0.40489999999999998</v>
      </c>
      <c r="S391" s="162">
        <v>-0.41849999999999998</v>
      </c>
      <c r="T391" s="162">
        <v>-0.39500000000000002</v>
      </c>
      <c r="U391" s="162">
        <v>-0.34720000000000001</v>
      </c>
      <c r="V391" s="162">
        <v>-0.28360000000000002</v>
      </c>
      <c r="W391" s="162">
        <v>-0.20910000000000001</v>
      </c>
      <c r="X391" s="162">
        <v>-0.12770000000000001</v>
      </c>
      <c r="Y391" s="162">
        <v>-4.36E-2</v>
      </c>
      <c r="Z391" s="162">
        <v>4.1700000000000001E-2</v>
      </c>
      <c r="AA391" s="162">
        <v>0.12330000000000001</v>
      </c>
      <c r="AB391" s="162">
        <v>0.20019999999999999</v>
      </c>
      <c r="AC391" s="162">
        <v>0.27079999999999999</v>
      </c>
      <c r="AD391" s="162">
        <v>0.33560000000000001</v>
      </c>
      <c r="AE391" s="162">
        <v>0.39479999999999998</v>
      </c>
      <c r="AF391" s="162">
        <v>0.44869999999999999</v>
      </c>
      <c r="AG391" s="162">
        <v>0.48349999999999999</v>
      </c>
      <c r="AH391" s="162">
        <v>0.51829999999999998</v>
      </c>
      <c r="AI391" s="162">
        <v>0.55320000000000003</v>
      </c>
      <c r="AJ391" s="162">
        <v>0.58799999999999997</v>
      </c>
      <c r="AK391" s="162">
        <v>0.62280000000000002</v>
      </c>
      <c r="AL391" s="162">
        <v>0.6371</v>
      </c>
      <c r="AM391" s="162">
        <v>0.65139999999999998</v>
      </c>
      <c r="AN391" s="162">
        <v>0.66569999999999996</v>
      </c>
      <c r="AO391" s="162">
        <v>0.68010000000000004</v>
      </c>
      <c r="AP391" s="162">
        <v>0.69440000000000002</v>
      </c>
      <c r="AQ391" s="162">
        <v>0.69940000000000002</v>
      </c>
      <c r="AR391" s="162">
        <v>0.70450000000000002</v>
      </c>
      <c r="AS391" s="162">
        <v>0.70950000000000002</v>
      </c>
      <c r="AT391" s="162">
        <v>0.71460000000000001</v>
      </c>
      <c r="AU391" s="162">
        <v>0.71970000000000001</v>
      </c>
    </row>
    <row r="392" spans="1:47" ht="12.75" customHeight="1">
      <c r="A392" s="459">
        <v>43637</v>
      </c>
      <c r="B392" s="139">
        <v>25</v>
      </c>
      <c r="C392" s="162">
        <v>-0.36649999999999999</v>
      </c>
      <c r="D392" s="162">
        <v>-0.36649999999999999</v>
      </c>
      <c r="E392" s="162">
        <v>-0.36680000000000001</v>
      </c>
      <c r="F392" s="162">
        <v>-0.36499999999999999</v>
      </c>
      <c r="G392" s="162">
        <v>-0.36509999999999998</v>
      </c>
      <c r="H392" s="162">
        <v>-0.36680000000000001</v>
      </c>
      <c r="I392" s="162">
        <v>-0.36749999999999999</v>
      </c>
      <c r="J392" s="162">
        <v>-0.3755</v>
      </c>
      <c r="K392" s="162">
        <v>-0.38240000000000002</v>
      </c>
      <c r="L392" s="162">
        <v>-0.38750000000000001</v>
      </c>
      <c r="M392" s="162">
        <v>-0.39419999999999999</v>
      </c>
      <c r="N392" s="162">
        <v>-0.40029999999999999</v>
      </c>
      <c r="O392" s="162">
        <v>-0.40560000000000002</v>
      </c>
      <c r="P392" s="162">
        <v>-0.41160000000000002</v>
      </c>
      <c r="Q392" s="162">
        <v>-0.4163</v>
      </c>
      <c r="R392" s="162">
        <v>-0.42049999999999998</v>
      </c>
      <c r="S392" s="162">
        <v>-0.44569999999999999</v>
      </c>
      <c r="T392" s="162">
        <v>-0.42459999999999998</v>
      </c>
      <c r="U392" s="162">
        <v>-0.37730000000000002</v>
      </c>
      <c r="V392" s="162">
        <v>-0.31019999999999998</v>
      </c>
      <c r="W392" s="162">
        <v>-0.23469999999999999</v>
      </c>
      <c r="X392" s="162">
        <v>-0.152</v>
      </c>
      <c r="Y392" s="162">
        <v>-6.4500000000000002E-2</v>
      </c>
      <c r="Z392" s="162">
        <v>2.3199999999999998E-2</v>
      </c>
      <c r="AA392" s="162">
        <v>0.1062</v>
      </c>
      <c r="AB392" s="162">
        <v>0.1804</v>
      </c>
      <c r="AC392" s="162">
        <v>0.2576</v>
      </c>
      <c r="AD392" s="162">
        <v>0.31979999999999997</v>
      </c>
      <c r="AE392" s="162">
        <v>0.3795</v>
      </c>
      <c r="AF392" s="162">
        <v>0.43680000000000002</v>
      </c>
      <c r="AG392" s="162">
        <v>0.4718</v>
      </c>
      <c r="AH392" s="162">
        <v>0.50690000000000002</v>
      </c>
      <c r="AI392" s="162">
        <v>0.54190000000000005</v>
      </c>
      <c r="AJ392" s="162">
        <v>0.57689999999999997</v>
      </c>
      <c r="AK392" s="162">
        <v>0.61199999999999999</v>
      </c>
      <c r="AL392" s="162">
        <v>0.62629999999999997</v>
      </c>
      <c r="AM392" s="162">
        <v>0.64059999999999995</v>
      </c>
      <c r="AN392" s="162">
        <v>0.65490000000000004</v>
      </c>
      <c r="AO392" s="162">
        <v>0.66920000000000002</v>
      </c>
      <c r="AP392" s="162">
        <v>0.6835</v>
      </c>
      <c r="AQ392" s="162">
        <v>0.68859999999999999</v>
      </c>
      <c r="AR392" s="162">
        <v>0.69369999999999998</v>
      </c>
      <c r="AS392" s="162">
        <v>0.69879999999999998</v>
      </c>
      <c r="AT392" s="162">
        <v>0.70389999999999997</v>
      </c>
      <c r="AU392" s="162">
        <v>0.70899999999999996</v>
      </c>
    </row>
    <row r="393" spans="1:47" ht="12.75" customHeight="1">
      <c r="A393" s="459">
        <v>43644</v>
      </c>
      <c r="B393" s="139">
        <v>26</v>
      </c>
      <c r="C393" s="162">
        <v>-0.3725</v>
      </c>
      <c r="D393" s="162">
        <v>-0.3725</v>
      </c>
      <c r="E393" s="162">
        <v>-0.36649999999999999</v>
      </c>
      <c r="F393" s="162">
        <v>-0.36480000000000001</v>
      </c>
      <c r="G393" s="162">
        <v>-0.3679</v>
      </c>
      <c r="H393" s="162">
        <v>-0.37930000000000003</v>
      </c>
      <c r="I393" s="162">
        <v>-0.38919999999999999</v>
      </c>
      <c r="J393" s="162">
        <v>-0.40450000000000003</v>
      </c>
      <c r="K393" s="162">
        <v>-0.4168</v>
      </c>
      <c r="L393" s="162">
        <v>-0.42659999999999998</v>
      </c>
      <c r="M393" s="162">
        <v>-0.4365</v>
      </c>
      <c r="N393" s="162">
        <v>-0.4446</v>
      </c>
      <c r="O393" s="162">
        <v>-0.45200000000000001</v>
      </c>
      <c r="P393" s="162">
        <v>-0.45879999999999999</v>
      </c>
      <c r="Q393" s="162">
        <v>-0.46389999999999998</v>
      </c>
      <c r="R393" s="162">
        <v>-0.46889999999999998</v>
      </c>
      <c r="S393" s="162">
        <v>-0.49619999999999997</v>
      </c>
      <c r="T393" s="162">
        <v>-0.47739999999999999</v>
      </c>
      <c r="U393" s="162">
        <v>-0.42670000000000002</v>
      </c>
      <c r="V393" s="162">
        <v>-0.35780000000000001</v>
      </c>
      <c r="W393" s="162">
        <v>-0.28070000000000001</v>
      </c>
      <c r="X393" s="162">
        <v>-0.1996</v>
      </c>
      <c r="Y393" s="162">
        <v>-0.1138</v>
      </c>
      <c r="Z393" s="162">
        <v>-2.7099999999999999E-2</v>
      </c>
      <c r="AA393" s="162">
        <v>5.4399999999999997E-2</v>
      </c>
      <c r="AB393" s="162">
        <v>0.12920000000000001</v>
      </c>
      <c r="AC393" s="162">
        <v>0.2026</v>
      </c>
      <c r="AD393" s="162">
        <v>0.26219999999999999</v>
      </c>
      <c r="AE393" s="162">
        <v>0.32079999999999997</v>
      </c>
      <c r="AF393" s="162">
        <v>0.378</v>
      </c>
      <c r="AG393" s="162">
        <v>0.41199999999999998</v>
      </c>
      <c r="AH393" s="162">
        <v>0.4461</v>
      </c>
      <c r="AI393" s="162">
        <v>0.48010000000000003</v>
      </c>
      <c r="AJ393" s="162">
        <v>0.51419999999999999</v>
      </c>
      <c r="AK393" s="162">
        <v>0.54820000000000002</v>
      </c>
      <c r="AL393" s="162">
        <v>0.56130000000000002</v>
      </c>
      <c r="AM393" s="162">
        <v>0.57430000000000003</v>
      </c>
      <c r="AN393" s="162">
        <v>0.58730000000000004</v>
      </c>
      <c r="AO393" s="162">
        <v>0.60040000000000004</v>
      </c>
      <c r="AP393" s="162">
        <v>0.61339999999999995</v>
      </c>
      <c r="AQ393" s="162">
        <v>0.61729999999999996</v>
      </c>
      <c r="AR393" s="162">
        <v>0.62109999999999999</v>
      </c>
      <c r="AS393" s="162">
        <v>0.62490000000000001</v>
      </c>
      <c r="AT393" s="162">
        <v>0.62880000000000003</v>
      </c>
      <c r="AU393" s="162">
        <v>0.63260000000000005</v>
      </c>
    </row>
    <row r="394" spans="1:47" ht="12.75" customHeight="1">
      <c r="A394" s="459">
        <v>43651</v>
      </c>
      <c r="B394" s="139">
        <v>27</v>
      </c>
      <c r="C394" s="162">
        <v>-0.36599999999999999</v>
      </c>
      <c r="D394" s="162">
        <v>-0.36599999999999999</v>
      </c>
      <c r="E394" s="162">
        <v>-0.36499999999999999</v>
      </c>
      <c r="F394" s="162">
        <v>-0.36480000000000001</v>
      </c>
      <c r="G394" s="162">
        <v>-0.36770000000000003</v>
      </c>
      <c r="H394" s="162">
        <v>-0.38490000000000002</v>
      </c>
      <c r="I394" s="162">
        <v>-0.39910000000000001</v>
      </c>
      <c r="J394" s="162">
        <v>-0.41620000000000001</v>
      </c>
      <c r="K394" s="162">
        <v>-0.43</v>
      </c>
      <c r="L394" s="162">
        <v>-0.44059999999999999</v>
      </c>
      <c r="M394" s="162">
        <v>-0.4506</v>
      </c>
      <c r="N394" s="162">
        <v>-0.4592</v>
      </c>
      <c r="O394" s="162">
        <v>-0.46639999999999998</v>
      </c>
      <c r="P394" s="162">
        <v>-0.47289999999999999</v>
      </c>
      <c r="Q394" s="162">
        <v>-0.47799999999999998</v>
      </c>
      <c r="R394" s="162">
        <v>-0.48320000000000002</v>
      </c>
      <c r="S394" s="162">
        <v>-0.50819999999999999</v>
      </c>
      <c r="T394" s="162">
        <v>-0.48649999999999999</v>
      </c>
      <c r="U394" s="162">
        <v>-0.43790000000000001</v>
      </c>
      <c r="V394" s="162">
        <v>-0.37230000000000002</v>
      </c>
      <c r="W394" s="162">
        <v>-0.29559999999999997</v>
      </c>
      <c r="X394" s="162">
        <v>-0.2167</v>
      </c>
      <c r="Y394" s="162">
        <v>-0.1328</v>
      </c>
      <c r="Z394" s="162">
        <v>-5.04E-2</v>
      </c>
      <c r="AA394" s="162">
        <v>2.6700000000000002E-2</v>
      </c>
      <c r="AB394" s="162">
        <v>0.1009</v>
      </c>
      <c r="AC394" s="162">
        <v>0.1701</v>
      </c>
      <c r="AD394" s="162">
        <v>0.2339</v>
      </c>
      <c r="AE394" s="162">
        <v>0.29170000000000001</v>
      </c>
      <c r="AF394" s="162">
        <v>0.3427</v>
      </c>
      <c r="AG394" s="162">
        <v>0.37680000000000002</v>
      </c>
      <c r="AH394" s="162">
        <v>0.4108</v>
      </c>
      <c r="AI394" s="162">
        <v>0.44479999999999997</v>
      </c>
      <c r="AJ394" s="162">
        <v>0.4788</v>
      </c>
      <c r="AK394" s="162">
        <v>0.51280000000000003</v>
      </c>
      <c r="AL394" s="162">
        <v>0.52569999999999995</v>
      </c>
      <c r="AM394" s="162">
        <v>0.53849999999999998</v>
      </c>
      <c r="AN394" s="162">
        <v>0.5514</v>
      </c>
      <c r="AO394" s="162">
        <v>0.56420000000000003</v>
      </c>
      <c r="AP394" s="162">
        <v>0.57699999999999996</v>
      </c>
      <c r="AQ394" s="162">
        <v>0.58030000000000004</v>
      </c>
      <c r="AR394" s="162">
        <v>0.58360000000000001</v>
      </c>
      <c r="AS394" s="162">
        <v>0.58689999999999998</v>
      </c>
      <c r="AT394" s="162">
        <v>0.59019999999999995</v>
      </c>
      <c r="AU394" s="162">
        <v>0.59350000000000003</v>
      </c>
    </row>
    <row r="395" spans="1:47" ht="12.75" customHeight="1">
      <c r="A395" s="459">
        <v>43658</v>
      </c>
      <c r="B395" s="139">
        <v>28</v>
      </c>
      <c r="C395" s="162">
        <v>-0.36699999999999999</v>
      </c>
      <c r="D395" s="162">
        <v>-0.36699999999999999</v>
      </c>
      <c r="E395" s="162">
        <v>-0.36809999999999998</v>
      </c>
      <c r="F395" s="162">
        <v>-0.36449999999999999</v>
      </c>
      <c r="G395" s="162">
        <v>-0.37369999999999998</v>
      </c>
      <c r="H395" s="162">
        <v>-0.38640000000000002</v>
      </c>
      <c r="I395" s="162">
        <v>-0.40799999999999997</v>
      </c>
      <c r="J395" s="162">
        <v>-0.42949999999999999</v>
      </c>
      <c r="K395" s="162">
        <v>-0.44379999999999997</v>
      </c>
      <c r="L395" s="162">
        <v>-0.45800000000000002</v>
      </c>
      <c r="M395" s="162">
        <v>-0.46839999999999998</v>
      </c>
      <c r="N395" s="162">
        <v>-0.47649999999999998</v>
      </c>
      <c r="O395" s="162">
        <v>-0.48580000000000001</v>
      </c>
      <c r="P395" s="162">
        <v>-0.4929</v>
      </c>
      <c r="Q395" s="162">
        <v>-0.49959999999999999</v>
      </c>
      <c r="R395" s="162">
        <v>-0.50549999999999995</v>
      </c>
      <c r="S395" s="162">
        <v>-0.53859999999999997</v>
      </c>
      <c r="T395" s="162">
        <v>-0.52500000000000002</v>
      </c>
      <c r="U395" s="162">
        <v>-0.48699999999999999</v>
      </c>
      <c r="V395" s="162">
        <v>-0.43009999999999998</v>
      </c>
      <c r="W395" s="162">
        <v>-0.36</v>
      </c>
      <c r="X395" s="162">
        <v>-0.28689999999999999</v>
      </c>
      <c r="Y395" s="162">
        <v>-0.2077</v>
      </c>
      <c r="Z395" s="162">
        <v>-0.12790000000000001</v>
      </c>
      <c r="AA395" s="162">
        <v>-5.1400000000000001E-2</v>
      </c>
      <c r="AB395" s="162">
        <v>2.2700000000000001E-2</v>
      </c>
      <c r="AC395" s="162">
        <v>9.1600000000000001E-2</v>
      </c>
      <c r="AD395" s="162">
        <v>0.157</v>
      </c>
      <c r="AE395" s="162">
        <v>0.21490000000000001</v>
      </c>
      <c r="AF395" s="162">
        <v>0.2661</v>
      </c>
      <c r="AG395" s="162">
        <v>0.30109999999999998</v>
      </c>
      <c r="AH395" s="162">
        <v>0.3362</v>
      </c>
      <c r="AI395" s="162">
        <v>0.37119999999999997</v>
      </c>
      <c r="AJ395" s="162">
        <v>0.40620000000000001</v>
      </c>
      <c r="AK395" s="162">
        <v>0.44130000000000003</v>
      </c>
      <c r="AL395" s="162">
        <v>0.45490000000000003</v>
      </c>
      <c r="AM395" s="162">
        <v>0.46860000000000002</v>
      </c>
      <c r="AN395" s="162">
        <v>0.48220000000000002</v>
      </c>
      <c r="AO395" s="162">
        <v>0.49590000000000001</v>
      </c>
      <c r="AP395" s="162">
        <v>0.50960000000000005</v>
      </c>
      <c r="AQ395" s="162">
        <v>0.51370000000000005</v>
      </c>
      <c r="AR395" s="162">
        <v>0.51790000000000003</v>
      </c>
      <c r="AS395" s="162">
        <v>0.52210000000000001</v>
      </c>
      <c r="AT395" s="162">
        <v>0.5262</v>
      </c>
      <c r="AU395" s="162">
        <v>0.53039999999999998</v>
      </c>
    </row>
    <row r="396" spans="1:47" ht="12.75" customHeight="1">
      <c r="A396" s="459">
        <v>43665</v>
      </c>
      <c r="B396" s="139">
        <v>29</v>
      </c>
      <c r="C396" s="162">
        <v>-0.36749999999999999</v>
      </c>
      <c r="D396" s="162">
        <v>-0.36749999999999999</v>
      </c>
      <c r="E396" s="162">
        <v>-0.36759999999999998</v>
      </c>
      <c r="F396" s="162">
        <v>-0.36780000000000002</v>
      </c>
      <c r="G396" s="162">
        <v>-0.37909999999999999</v>
      </c>
      <c r="H396" s="162">
        <v>-0.38850000000000001</v>
      </c>
      <c r="I396" s="162">
        <v>-0.41189999999999999</v>
      </c>
      <c r="J396" s="162">
        <v>-0.42820000000000003</v>
      </c>
      <c r="K396" s="162">
        <v>-0.43909999999999999</v>
      </c>
      <c r="L396" s="162">
        <v>-0.45050000000000001</v>
      </c>
      <c r="M396" s="162">
        <v>-0.46110000000000001</v>
      </c>
      <c r="N396" s="162">
        <v>-0.46889999999999998</v>
      </c>
      <c r="O396" s="162">
        <v>-0.47770000000000001</v>
      </c>
      <c r="P396" s="162">
        <v>-0.48480000000000001</v>
      </c>
      <c r="Q396" s="162">
        <v>-0.4914</v>
      </c>
      <c r="R396" s="162">
        <v>-0.49630000000000002</v>
      </c>
      <c r="S396" s="162">
        <v>-0.51870000000000005</v>
      </c>
      <c r="T396" s="162">
        <v>-0.49440000000000001</v>
      </c>
      <c r="U396" s="162">
        <v>-0.44500000000000001</v>
      </c>
      <c r="V396" s="162">
        <v>-0.37890000000000001</v>
      </c>
      <c r="W396" s="162">
        <v>-0.30809999999999998</v>
      </c>
      <c r="X396" s="162">
        <v>-0.2291</v>
      </c>
      <c r="Y396" s="162">
        <v>-0.14879999999999999</v>
      </c>
      <c r="Z396" s="162">
        <v>-6.5799999999999997E-2</v>
      </c>
      <c r="AA396" s="162">
        <v>1.23E-2</v>
      </c>
      <c r="AB396" s="162">
        <v>8.5699999999999998E-2</v>
      </c>
      <c r="AC396" s="162">
        <v>0.14799999999999999</v>
      </c>
      <c r="AD396" s="162">
        <v>0.22159999999999999</v>
      </c>
      <c r="AE396" s="162">
        <v>0.27989999999999998</v>
      </c>
      <c r="AF396" s="162">
        <v>0.32069999999999999</v>
      </c>
      <c r="AG396" s="162">
        <v>0.35520000000000002</v>
      </c>
      <c r="AH396" s="162">
        <v>0.38969999999999999</v>
      </c>
      <c r="AI396" s="162">
        <v>0.42420000000000002</v>
      </c>
      <c r="AJ396" s="162">
        <v>0.4587</v>
      </c>
      <c r="AK396" s="162">
        <v>0.49320000000000003</v>
      </c>
      <c r="AL396" s="162">
        <v>0.50680000000000003</v>
      </c>
      <c r="AM396" s="162">
        <v>0.52029999999999998</v>
      </c>
      <c r="AN396" s="162">
        <v>0.53390000000000004</v>
      </c>
      <c r="AO396" s="162">
        <v>0.5474</v>
      </c>
      <c r="AP396" s="162">
        <v>0.56100000000000005</v>
      </c>
      <c r="AQ396" s="162">
        <v>0.56479999999999997</v>
      </c>
      <c r="AR396" s="162">
        <v>0.56869999999999998</v>
      </c>
      <c r="AS396" s="162">
        <v>0.57250000000000001</v>
      </c>
      <c r="AT396" s="162">
        <v>0.57630000000000003</v>
      </c>
      <c r="AU396" s="162">
        <v>0.58020000000000005</v>
      </c>
    </row>
    <row r="397" spans="1:47" ht="12.75" customHeight="1">
      <c r="A397" s="459">
        <v>43672</v>
      </c>
      <c r="B397" s="139">
        <v>30</v>
      </c>
      <c r="C397" s="162">
        <v>-0.36899999999999999</v>
      </c>
      <c r="D397" s="162">
        <v>-0.36899999999999999</v>
      </c>
      <c r="E397" s="162">
        <v>-0.36720000000000003</v>
      </c>
      <c r="F397" s="162">
        <v>-0.37619999999999998</v>
      </c>
      <c r="G397" s="162">
        <v>-0.39579999999999999</v>
      </c>
      <c r="H397" s="162">
        <v>-0.40570000000000001</v>
      </c>
      <c r="I397" s="162">
        <v>-0.43540000000000001</v>
      </c>
      <c r="J397" s="162">
        <v>-0.45319999999999999</v>
      </c>
      <c r="K397" s="162">
        <v>-0.46500000000000002</v>
      </c>
      <c r="L397" s="162">
        <v>-0.4748</v>
      </c>
      <c r="M397" s="162">
        <v>-0.48509999999999998</v>
      </c>
      <c r="N397" s="162">
        <v>-0.49299999999999999</v>
      </c>
      <c r="O397" s="162">
        <v>-0.50749999999999995</v>
      </c>
      <c r="P397" s="162">
        <v>-0.5121</v>
      </c>
      <c r="Q397" s="162">
        <v>-0.51680000000000004</v>
      </c>
      <c r="R397" s="162">
        <v>-0.52949999999999997</v>
      </c>
      <c r="S397" s="162">
        <v>-0.5605</v>
      </c>
      <c r="T397" s="162">
        <v>-0.5333</v>
      </c>
      <c r="U397" s="162">
        <v>-0.4874</v>
      </c>
      <c r="V397" s="162">
        <v>-0.42320000000000002</v>
      </c>
      <c r="W397" s="162">
        <v>-0.34920000000000001</v>
      </c>
      <c r="X397" s="162">
        <v>-0.2712</v>
      </c>
      <c r="Y397" s="162">
        <v>-0.1898</v>
      </c>
      <c r="Z397" s="162">
        <v>-0.1087</v>
      </c>
      <c r="AA397" s="162">
        <v>-3.0800000000000001E-2</v>
      </c>
      <c r="AB397" s="162">
        <v>4.8099999999999997E-2</v>
      </c>
      <c r="AC397" s="162">
        <v>0.1124</v>
      </c>
      <c r="AD397" s="162">
        <v>0.1789</v>
      </c>
      <c r="AE397" s="162">
        <v>0.2374</v>
      </c>
      <c r="AF397" s="162">
        <v>0.28699999999999998</v>
      </c>
      <c r="AG397" s="162">
        <v>0.32219999999999999</v>
      </c>
      <c r="AH397" s="162">
        <v>0.3574</v>
      </c>
      <c r="AI397" s="162">
        <v>0.3926</v>
      </c>
      <c r="AJ397" s="162">
        <v>0.42770000000000002</v>
      </c>
      <c r="AK397" s="162">
        <v>0.46289999999999998</v>
      </c>
      <c r="AL397" s="162">
        <v>0.47649999999999998</v>
      </c>
      <c r="AM397" s="162">
        <v>0.49009999999999998</v>
      </c>
      <c r="AN397" s="162">
        <v>0.50370000000000004</v>
      </c>
      <c r="AO397" s="162">
        <v>0.51719999999999999</v>
      </c>
      <c r="AP397" s="162">
        <v>0.53080000000000005</v>
      </c>
      <c r="AQ397" s="162">
        <v>0.53449999999999998</v>
      </c>
      <c r="AR397" s="162">
        <v>0.53820000000000001</v>
      </c>
      <c r="AS397" s="162">
        <v>0.54190000000000005</v>
      </c>
      <c r="AT397" s="162">
        <v>0.54549999999999998</v>
      </c>
      <c r="AU397" s="162">
        <v>0.54920000000000002</v>
      </c>
    </row>
    <row r="398" spans="1:47" ht="12.75" customHeight="1">
      <c r="A398" s="459">
        <v>43679</v>
      </c>
      <c r="B398" s="139">
        <v>31</v>
      </c>
      <c r="C398" s="162">
        <v>-0.36599999999999999</v>
      </c>
      <c r="D398" s="162">
        <v>-0.36599999999999999</v>
      </c>
      <c r="E398" s="162">
        <v>-0.36820000000000003</v>
      </c>
      <c r="F398" s="162">
        <v>-0.38</v>
      </c>
      <c r="G398" s="162">
        <v>-0.38569999999999999</v>
      </c>
      <c r="H398" s="162">
        <v>-0.40329999999999999</v>
      </c>
      <c r="I398" s="162">
        <v>-0.43290000000000001</v>
      </c>
      <c r="J398" s="162">
        <v>-0.45200000000000001</v>
      </c>
      <c r="K398" s="162">
        <v>-0.4677</v>
      </c>
      <c r="L398" s="162">
        <v>-0.48230000000000001</v>
      </c>
      <c r="M398" s="162">
        <v>-0.49399999999999999</v>
      </c>
      <c r="N398" s="162">
        <v>-0.50429999999999997</v>
      </c>
      <c r="O398" s="162">
        <v>-0.51419999999999999</v>
      </c>
      <c r="P398" s="162">
        <v>-0.52349999999999997</v>
      </c>
      <c r="Q398" s="162">
        <v>-0.53159999999999996</v>
      </c>
      <c r="R398" s="162">
        <v>-0.53820000000000001</v>
      </c>
      <c r="S398" s="162">
        <v>-0.57950000000000002</v>
      </c>
      <c r="T398" s="162">
        <v>-0.57110000000000005</v>
      </c>
      <c r="U398" s="162">
        <v>-0.53559999999999997</v>
      </c>
      <c r="V398" s="162">
        <v>-0.4798</v>
      </c>
      <c r="W398" s="162">
        <v>-0.41149999999999998</v>
      </c>
      <c r="X398" s="162">
        <v>-0.33889999999999998</v>
      </c>
      <c r="Y398" s="162">
        <v>-0.26040000000000002</v>
      </c>
      <c r="Z398" s="162">
        <v>-0.1822</v>
      </c>
      <c r="AA398" s="162">
        <v>-0.108</v>
      </c>
      <c r="AB398" s="162">
        <v>-3.2300000000000002E-2</v>
      </c>
      <c r="AC398" s="162">
        <v>3.4799999999999998E-2</v>
      </c>
      <c r="AD398" s="162">
        <v>0.10829999999999999</v>
      </c>
      <c r="AE398" s="162">
        <v>0.16650000000000001</v>
      </c>
      <c r="AF398" s="162">
        <v>0.2094</v>
      </c>
      <c r="AG398" s="162">
        <v>0.24460000000000001</v>
      </c>
      <c r="AH398" s="162">
        <v>0.2797</v>
      </c>
      <c r="AI398" s="162">
        <v>0.31490000000000001</v>
      </c>
      <c r="AJ398" s="162">
        <v>0.35</v>
      </c>
      <c r="AK398" s="162">
        <v>0.38519999999999999</v>
      </c>
      <c r="AL398" s="162">
        <v>0.39929999999999999</v>
      </c>
      <c r="AM398" s="162">
        <v>0.41349999999999998</v>
      </c>
      <c r="AN398" s="162">
        <v>0.42759999999999998</v>
      </c>
      <c r="AO398" s="162">
        <v>0.44180000000000003</v>
      </c>
      <c r="AP398" s="162">
        <v>0.45590000000000003</v>
      </c>
      <c r="AQ398" s="162">
        <v>0.46039999999999998</v>
      </c>
      <c r="AR398" s="162">
        <v>0.46479999999999999</v>
      </c>
      <c r="AS398" s="162">
        <v>0.46929999999999999</v>
      </c>
      <c r="AT398" s="162">
        <v>0.4738</v>
      </c>
      <c r="AU398" s="162">
        <v>0.47820000000000001</v>
      </c>
    </row>
    <row r="399" spans="1:47" ht="12.75" customHeight="1">
      <c r="A399" s="459">
        <v>43686</v>
      </c>
      <c r="B399" s="139">
        <v>32</v>
      </c>
      <c r="C399" s="162">
        <v>-0.36299999999999999</v>
      </c>
      <c r="D399" s="162">
        <v>-0.36299999999999999</v>
      </c>
      <c r="E399" s="162">
        <v>-0.36670000000000003</v>
      </c>
      <c r="F399" s="162">
        <v>-0.3664</v>
      </c>
      <c r="G399" s="162">
        <v>-0.36599999999999999</v>
      </c>
      <c r="H399" s="162">
        <v>-0.39879999999999999</v>
      </c>
      <c r="I399" s="162">
        <v>-0.43169999999999997</v>
      </c>
      <c r="J399" s="162">
        <v>-0.45229999999999998</v>
      </c>
      <c r="K399" s="162">
        <v>-0.46889999999999998</v>
      </c>
      <c r="L399" s="162">
        <v>-0.4824</v>
      </c>
      <c r="M399" s="162">
        <v>-0.49380000000000002</v>
      </c>
      <c r="N399" s="162">
        <v>-0.50490000000000002</v>
      </c>
      <c r="O399" s="162">
        <v>-0.51390000000000002</v>
      </c>
      <c r="P399" s="162">
        <v>-0.52200000000000002</v>
      </c>
      <c r="Q399" s="162">
        <v>-0.52929999999999999</v>
      </c>
      <c r="R399" s="162">
        <v>-0.53680000000000005</v>
      </c>
      <c r="S399" s="162">
        <v>-0.57889999999999997</v>
      </c>
      <c r="T399" s="162">
        <v>-0.57379999999999998</v>
      </c>
      <c r="U399" s="162">
        <v>-0.54790000000000005</v>
      </c>
      <c r="V399" s="162">
        <v>-0.50290000000000001</v>
      </c>
      <c r="W399" s="162">
        <v>-0.4471</v>
      </c>
      <c r="X399" s="162">
        <v>-0.38669999999999999</v>
      </c>
      <c r="Y399" s="162">
        <v>-0.31819999999999998</v>
      </c>
      <c r="Z399" s="162">
        <v>-0.24940000000000001</v>
      </c>
      <c r="AA399" s="162">
        <v>-0.1832</v>
      </c>
      <c r="AB399" s="162">
        <v>-0.1171</v>
      </c>
      <c r="AC399" s="162">
        <v>-5.3699999999999998E-2</v>
      </c>
      <c r="AD399" s="162">
        <v>-2.9999999999999997E-4</v>
      </c>
      <c r="AE399" s="162">
        <v>5.3199999999999997E-2</v>
      </c>
      <c r="AF399" s="162">
        <v>0.10680000000000001</v>
      </c>
      <c r="AG399" s="162">
        <v>0.13950000000000001</v>
      </c>
      <c r="AH399" s="162">
        <v>0.17219999999999999</v>
      </c>
      <c r="AI399" s="162">
        <v>0.20499999999999999</v>
      </c>
      <c r="AJ399" s="162">
        <v>0.23769999999999999</v>
      </c>
      <c r="AK399" s="162">
        <v>0.27039999999999997</v>
      </c>
      <c r="AL399" s="162">
        <v>0.28349999999999997</v>
      </c>
      <c r="AM399" s="162">
        <v>0.29670000000000002</v>
      </c>
      <c r="AN399" s="162">
        <v>0.30980000000000002</v>
      </c>
      <c r="AO399" s="162">
        <v>0.32290000000000002</v>
      </c>
      <c r="AP399" s="162">
        <v>0.33610000000000001</v>
      </c>
      <c r="AQ399" s="162">
        <v>0.3397</v>
      </c>
      <c r="AR399" s="162">
        <v>0.34329999999999999</v>
      </c>
      <c r="AS399" s="162">
        <v>0.34689999999999999</v>
      </c>
      <c r="AT399" s="162">
        <v>0.35049999999999998</v>
      </c>
      <c r="AU399" s="162">
        <v>0.35410000000000003</v>
      </c>
    </row>
    <row r="400" spans="1:47" ht="12.75" customHeight="1">
      <c r="A400" s="459">
        <v>43693</v>
      </c>
      <c r="B400" s="139">
        <v>33</v>
      </c>
      <c r="C400" s="162">
        <v>-0.35680000000000001</v>
      </c>
      <c r="D400" s="162">
        <v>-0.35680000000000001</v>
      </c>
      <c r="E400" s="162">
        <v>-0.36249999999999999</v>
      </c>
      <c r="F400" s="162">
        <v>-0.36220000000000002</v>
      </c>
      <c r="G400" s="162">
        <v>-0.3619</v>
      </c>
      <c r="H400" s="162">
        <v>-0.4173</v>
      </c>
      <c r="I400" s="162">
        <v>-0.4516</v>
      </c>
      <c r="J400" s="162">
        <v>-0.47249999999999998</v>
      </c>
      <c r="K400" s="162">
        <v>-0.49249999999999999</v>
      </c>
      <c r="L400" s="162">
        <v>-0.50980000000000003</v>
      </c>
      <c r="M400" s="162">
        <v>-0.52129999999999999</v>
      </c>
      <c r="N400" s="162">
        <v>-0.53400000000000003</v>
      </c>
      <c r="O400" s="162">
        <v>-0.54379999999999995</v>
      </c>
      <c r="P400" s="162">
        <v>-0.55359999999999998</v>
      </c>
      <c r="Q400" s="162">
        <v>-0.56169999999999998</v>
      </c>
      <c r="R400" s="162">
        <v>-0.57150000000000001</v>
      </c>
      <c r="S400" s="162">
        <v>-0.626</v>
      </c>
      <c r="T400" s="162">
        <v>-0.63139999999999996</v>
      </c>
      <c r="U400" s="162">
        <v>-0.61529999999999996</v>
      </c>
      <c r="V400" s="162">
        <v>-0.57930000000000004</v>
      </c>
      <c r="W400" s="162">
        <v>-0.53120000000000001</v>
      </c>
      <c r="X400" s="162">
        <v>-0.47720000000000001</v>
      </c>
      <c r="Y400" s="162">
        <v>-0.41710000000000003</v>
      </c>
      <c r="Z400" s="162">
        <v>-0.35599999999999998</v>
      </c>
      <c r="AA400" s="162">
        <v>-0.29420000000000002</v>
      </c>
      <c r="AB400" s="162">
        <v>-0.23380000000000001</v>
      </c>
      <c r="AC400" s="162">
        <v>-0.17610000000000001</v>
      </c>
      <c r="AD400" s="162">
        <v>-0.12470000000000001</v>
      </c>
      <c r="AE400" s="162">
        <v>-7.5800000000000006E-2</v>
      </c>
      <c r="AF400" s="162">
        <v>-2.92E-2</v>
      </c>
      <c r="AG400" s="162">
        <v>5.0000000000000001E-4</v>
      </c>
      <c r="AH400" s="162">
        <v>3.0200000000000001E-2</v>
      </c>
      <c r="AI400" s="162">
        <v>5.9900000000000002E-2</v>
      </c>
      <c r="AJ400" s="162">
        <v>8.9599999999999999E-2</v>
      </c>
      <c r="AK400" s="162">
        <v>0.1193</v>
      </c>
      <c r="AL400" s="162">
        <v>0.13089999999999999</v>
      </c>
      <c r="AM400" s="162">
        <v>0.14249999999999999</v>
      </c>
      <c r="AN400" s="162">
        <v>0.15409999999999999</v>
      </c>
      <c r="AO400" s="162">
        <v>0.16569999999999999</v>
      </c>
      <c r="AP400" s="162">
        <v>0.17730000000000001</v>
      </c>
      <c r="AQ400" s="162">
        <v>0.18</v>
      </c>
      <c r="AR400" s="162">
        <v>0.18260000000000001</v>
      </c>
      <c r="AS400" s="162">
        <v>0.18529999999999999</v>
      </c>
      <c r="AT400" s="162">
        <v>0.188</v>
      </c>
      <c r="AU400" s="162">
        <v>0.19059999999999999</v>
      </c>
    </row>
    <row r="401" spans="1:47" ht="12.75" customHeight="1">
      <c r="A401" s="459">
        <v>43700</v>
      </c>
      <c r="B401" s="139">
        <v>34</v>
      </c>
      <c r="C401" s="162">
        <v>-0.36049999999999999</v>
      </c>
      <c r="D401" s="162">
        <v>-0.36049999999999999</v>
      </c>
      <c r="E401" s="162">
        <v>-0.35959999999999998</v>
      </c>
      <c r="F401" s="162">
        <v>-0.3584</v>
      </c>
      <c r="G401" s="162">
        <v>-0.36130000000000001</v>
      </c>
      <c r="H401" s="162">
        <v>-0.43590000000000001</v>
      </c>
      <c r="I401" s="162">
        <v>-0.46829999999999999</v>
      </c>
      <c r="J401" s="162">
        <v>-0.4869</v>
      </c>
      <c r="K401" s="162">
        <v>-0.51070000000000004</v>
      </c>
      <c r="L401" s="162">
        <v>-0.52980000000000005</v>
      </c>
      <c r="M401" s="162">
        <v>-0.54349999999999998</v>
      </c>
      <c r="N401" s="162">
        <v>-0.55920000000000003</v>
      </c>
      <c r="O401" s="162">
        <v>-0.57079999999999997</v>
      </c>
      <c r="P401" s="162">
        <v>-0.58340000000000003</v>
      </c>
      <c r="Q401" s="162">
        <v>-0.59489999999999998</v>
      </c>
      <c r="R401" s="162">
        <v>-0.60540000000000005</v>
      </c>
      <c r="S401" s="162">
        <v>-0.66990000000000005</v>
      </c>
      <c r="T401" s="162">
        <v>-0.68320000000000003</v>
      </c>
      <c r="U401" s="162">
        <v>-0.67879999999999996</v>
      </c>
      <c r="V401" s="162">
        <v>-0.65590000000000004</v>
      </c>
      <c r="W401" s="162">
        <v>-0.62119999999999997</v>
      </c>
      <c r="X401" s="162">
        <v>-0.57530000000000003</v>
      </c>
      <c r="Y401" s="162">
        <v>-0.52429999999999999</v>
      </c>
      <c r="Z401" s="162">
        <v>-0.4708</v>
      </c>
      <c r="AA401" s="162">
        <v>-0.41799999999999998</v>
      </c>
      <c r="AB401" s="162">
        <v>-0.36559999999999998</v>
      </c>
      <c r="AC401" s="162">
        <v>-0.31690000000000002</v>
      </c>
      <c r="AD401" s="162">
        <v>-0.26860000000000001</v>
      </c>
      <c r="AE401" s="162">
        <v>-0.22509999999999999</v>
      </c>
      <c r="AF401" s="162">
        <v>-0.186</v>
      </c>
      <c r="AG401" s="162">
        <v>-0.15859999999999999</v>
      </c>
      <c r="AH401" s="162">
        <v>-0.13120000000000001</v>
      </c>
      <c r="AI401" s="162">
        <v>-0.10390000000000001</v>
      </c>
      <c r="AJ401" s="162">
        <v>-7.6499999999999999E-2</v>
      </c>
      <c r="AK401" s="162">
        <v>-4.9099999999999998E-2</v>
      </c>
      <c r="AL401" s="162">
        <v>-3.8600000000000002E-2</v>
      </c>
      <c r="AM401" s="162">
        <v>-2.81E-2</v>
      </c>
      <c r="AN401" s="162">
        <v>-1.7600000000000001E-2</v>
      </c>
      <c r="AO401" s="162">
        <v>-7.1000000000000004E-3</v>
      </c>
      <c r="AP401" s="162">
        <v>3.5000000000000001E-3</v>
      </c>
      <c r="AQ401" s="162">
        <v>4.8999999999999998E-3</v>
      </c>
      <c r="AR401" s="162">
        <v>6.3E-3</v>
      </c>
      <c r="AS401" s="162">
        <v>7.7000000000000002E-3</v>
      </c>
      <c r="AT401" s="162">
        <v>9.1999999999999998E-3</v>
      </c>
      <c r="AU401" s="162">
        <v>1.06E-2</v>
      </c>
    </row>
    <row r="402" spans="1:47" ht="12.75" customHeight="1">
      <c r="A402" s="459">
        <v>43707</v>
      </c>
      <c r="B402" s="139">
        <v>35</v>
      </c>
      <c r="C402" s="162">
        <v>-0.36430000000000001</v>
      </c>
      <c r="D402" s="162">
        <v>-0.36430000000000001</v>
      </c>
      <c r="E402" s="162">
        <v>-0.3609</v>
      </c>
      <c r="F402" s="162">
        <v>-0.35930000000000001</v>
      </c>
      <c r="G402" s="162">
        <v>-0.38779999999999998</v>
      </c>
      <c r="H402" s="162">
        <v>-0.4446</v>
      </c>
      <c r="I402" s="162">
        <v>-0.47239999999999999</v>
      </c>
      <c r="J402" s="162">
        <v>-0.49049999999999999</v>
      </c>
      <c r="K402" s="162">
        <v>-0.51100000000000001</v>
      </c>
      <c r="L402" s="162">
        <v>-0.52749999999999997</v>
      </c>
      <c r="M402" s="162">
        <v>-0.54279999999999995</v>
      </c>
      <c r="N402" s="162">
        <v>-0.55600000000000005</v>
      </c>
      <c r="O402" s="162">
        <v>-0.56820000000000004</v>
      </c>
      <c r="P402" s="162">
        <v>-0.57979999999999998</v>
      </c>
      <c r="Q402" s="162">
        <v>-0.59160000000000001</v>
      </c>
      <c r="R402" s="162">
        <v>-0.60140000000000005</v>
      </c>
      <c r="S402" s="162">
        <v>-0.66520000000000001</v>
      </c>
      <c r="T402" s="162">
        <v>-0.68130000000000002</v>
      </c>
      <c r="U402" s="162">
        <v>-0.67859999999999998</v>
      </c>
      <c r="V402" s="162">
        <v>-0.66020000000000001</v>
      </c>
      <c r="W402" s="162">
        <v>-0.62529999999999997</v>
      </c>
      <c r="X402" s="162">
        <v>-0.58150000000000002</v>
      </c>
      <c r="Y402" s="162">
        <v>-0.53069999999999995</v>
      </c>
      <c r="Z402" s="162">
        <v>-0.4768</v>
      </c>
      <c r="AA402" s="162">
        <v>-0.42370000000000002</v>
      </c>
      <c r="AB402" s="162">
        <v>-0.37090000000000001</v>
      </c>
      <c r="AC402" s="162">
        <v>-0.32200000000000001</v>
      </c>
      <c r="AD402" s="162">
        <v>-0.2762</v>
      </c>
      <c r="AE402" s="162">
        <v>-0.23180000000000001</v>
      </c>
      <c r="AF402" s="162">
        <v>-0.1867</v>
      </c>
      <c r="AG402" s="162">
        <v>-0.16089999999999999</v>
      </c>
      <c r="AH402" s="162">
        <v>-0.1351</v>
      </c>
      <c r="AI402" s="162">
        <v>-0.10929999999999999</v>
      </c>
      <c r="AJ402" s="162">
        <v>-8.3500000000000005E-2</v>
      </c>
      <c r="AK402" s="162">
        <v>-5.7599999999999998E-2</v>
      </c>
      <c r="AL402" s="162">
        <v>-4.6100000000000002E-2</v>
      </c>
      <c r="AM402" s="162">
        <v>-3.4500000000000003E-2</v>
      </c>
      <c r="AN402" s="162">
        <v>-2.3E-2</v>
      </c>
      <c r="AO402" s="162">
        <v>-1.14E-2</v>
      </c>
      <c r="AP402" s="162">
        <v>2.0000000000000001E-4</v>
      </c>
      <c r="AQ402" s="162">
        <v>3.5000000000000001E-3</v>
      </c>
      <c r="AR402" s="162">
        <v>6.8999999999999999E-3</v>
      </c>
      <c r="AS402" s="162">
        <v>1.0200000000000001E-2</v>
      </c>
      <c r="AT402" s="162">
        <v>1.3599999999999999E-2</v>
      </c>
      <c r="AU402" s="162">
        <v>1.6899999999999998E-2</v>
      </c>
    </row>
    <row r="403" spans="1:47" ht="12.75" customHeight="1">
      <c r="A403" s="459">
        <v>43714</v>
      </c>
      <c r="B403" s="139">
        <v>36</v>
      </c>
      <c r="C403" s="162">
        <v>-0.36530000000000001</v>
      </c>
      <c r="D403" s="162">
        <v>-0.36530000000000001</v>
      </c>
      <c r="E403" s="162">
        <v>-0.3609</v>
      </c>
      <c r="F403" s="162">
        <v>-0.3614</v>
      </c>
      <c r="G403" s="162">
        <v>-0.42180000000000001</v>
      </c>
      <c r="H403" s="162">
        <v>-0.46489999999999998</v>
      </c>
      <c r="I403" s="162">
        <v>-0.4884</v>
      </c>
      <c r="J403" s="162">
        <v>-0.50770000000000004</v>
      </c>
      <c r="K403" s="162">
        <v>-0.52559999999999996</v>
      </c>
      <c r="L403" s="162">
        <v>-0.54020000000000001</v>
      </c>
      <c r="M403" s="162">
        <v>-0.55449999999999999</v>
      </c>
      <c r="N403" s="162">
        <v>-0.56699999999999995</v>
      </c>
      <c r="O403" s="162">
        <v>-0.57809999999999995</v>
      </c>
      <c r="P403" s="162">
        <v>-0.59</v>
      </c>
      <c r="Q403" s="162">
        <v>-0.6008</v>
      </c>
      <c r="R403" s="162">
        <v>-0.61040000000000005</v>
      </c>
      <c r="S403" s="162">
        <v>-0.68330000000000002</v>
      </c>
      <c r="T403" s="162">
        <v>-0.70499999999999996</v>
      </c>
      <c r="U403" s="162">
        <v>-0.70720000000000005</v>
      </c>
      <c r="V403" s="162">
        <v>-0.6925</v>
      </c>
      <c r="W403" s="162">
        <v>-0.66120000000000001</v>
      </c>
      <c r="X403" s="162">
        <v>-0.621</v>
      </c>
      <c r="Y403" s="162">
        <v>-0.57420000000000004</v>
      </c>
      <c r="Z403" s="162">
        <v>-0.52270000000000005</v>
      </c>
      <c r="AA403" s="162">
        <v>-0.47139999999999999</v>
      </c>
      <c r="AB403" s="162">
        <v>-0.42130000000000001</v>
      </c>
      <c r="AC403" s="162">
        <v>-0.377</v>
      </c>
      <c r="AD403" s="162">
        <v>-0.3286</v>
      </c>
      <c r="AE403" s="162">
        <v>-0.28699999999999998</v>
      </c>
      <c r="AF403" s="162">
        <v>-0.24979999999999999</v>
      </c>
      <c r="AG403" s="162">
        <v>-0.2253</v>
      </c>
      <c r="AH403" s="162">
        <v>-0.20080000000000001</v>
      </c>
      <c r="AI403" s="162">
        <v>-0.17630000000000001</v>
      </c>
      <c r="AJ403" s="162">
        <v>-0.15179999999999999</v>
      </c>
      <c r="AK403" s="162">
        <v>-0.12720000000000001</v>
      </c>
      <c r="AL403" s="162">
        <v>-0.1168</v>
      </c>
      <c r="AM403" s="162">
        <v>-0.10639999999999999</v>
      </c>
      <c r="AN403" s="162">
        <v>-9.6000000000000002E-2</v>
      </c>
      <c r="AO403" s="162">
        <v>-8.5599999999999996E-2</v>
      </c>
      <c r="AP403" s="162">
        <v>-7.5200000000000003E-2</v>
      </c>
      <c r="AQ403" s="162">
        <v>-7.2599999999999998E-2</v>
      </c>
      <c r="AR403" s="162">
        <v>-7.0099999999999996E-2</v>
      </c>
      <c r="AS403" s="162">
        <v>-6.7500000000000004E-2</v>
      </c>
      <c r="AT403" s="162">
        <v>-6.5000000000000002E-2</v>
      </c>
      <c r="AU403" s="162">
        <v>-6.2399999999999997E-2</v>
      </c>
    </row>
    <row r="404" spans="1:47" ht="12.75" customHeight="1">
      <c r="A404" s="459">
        <v>43721</v>
      </c>
      <c r="B404" s="139">
        <v>37</v>
      </c>
      <c r="C404" s="162">
        <v>-0.36180000000000001</v>
      </c>
      <c r="D404" s="162">
        <v>-0.36180000000000001</v>
      </c>
      <c r="E404" s="162">
        <v>-0.36280000000000001</v>
      </c>
      <c r="F404" s="162">
        <v>-0.39079999999999998</v>
      </c>
      <c r="G404" s="162">
        <v>-0.45950000000000002</v>
      </c>
      <c r="H404" s="162">
        <v>-0.49249999999999999</v>
      </c>
      <c r="I404" s="162">
        <v>-0.50860000000000005</v>
      </c>
      <c r="J404" s="162">
        <v>-0.52659999999999996</v>
      </c>
      <c r="K404" s="162">
        <v>-0.54259999999999997</v>
      </c>
      <c r="L404" s="162">
        <v>-0.55520000000000003</v>
      </c>
      <c r="M404" s="162">
        <v>-0.56940000000000002</v>
      </c>
      <c r="N404" s="162">
        <v>-0.57999999999999996</v>
      </c>
      <c r="O404" s="162">
        <v>-0.59050000000000002</v>
      </c>
      <c r="P404" s="162">
        <v>-0.60129999999999995</v>
      </c>
      <c r="Q404" s="162">
        <v>-0.61050000000000004</v>
      </c>
      <c r="R404" s="162">
        <v>-0.61960000000000004</v>
      </c>
      <c r="S404" s="162">
        <v>-0.68569999999999998</v>
      </c>
      <c r="T404" s="162">
        <v>-0.7036</v>
      </c>
      <c r="U404" s="162">
        <v>-0.70250000000000001</v>
      </c>
      <c r="V404" s="162">
        <v>-0.68340000000000001</v>
      </c>
      <c r="W404" s="162">
        <v>-0.64649999999999996</v>
      </c>
      <c r="X404" s="162">
        <v>-0.59689999999999999</v>
      </c>
      <c r="Y404" s="162">
        <v>-0.5413</v>
      </c>
      <c r="Z404" s="162">
        <v>-0.48359999999999997</v>
      </c>
      <c r="AA404" s="162">
        <v>-0.42430000000000001</v>
      </c>
      <c r="AB404" s="162">
        <v>-0.3705</v>
      </c>
      <c r="AC404" s="162">
        <v>-0.31530000000000002</v>
      </c>
      <c r="AD404" s="162">
        <v>-0.26740000000000003</v>
      </c>
      <c r="AE404" s="162">
        <v>-0.22220000000000001</v>
      </c>
      <c r="AF404" s="162">
        <v>-0.17760000000000001</v>
      </c>
      <c r="AG404" s="162">
        <v>-0.15090000000000001</v>
      </c>
      <c r="AH404" s="162">
        <v>-0.12429999999999999</v>
      </c>
      <c r="AI404" s="162">
        <v>-9.7600000000000006E-2</v>
      </c>
      <c r="AJ404" s="162">
        <v>-7.0999999999999994E-2</v>
      </c>
      <c r="AK404" s="162">
        <v>-4.4400000000000002E-2</v>
      </c>
      <c r="AL404" s="162">
        <v>-3.3500000000000002E-2</v>
      </c>
      <c r="AM404" s="162">
        <v>-2.2599999999999999E-2</v>
      </c>
      <c r="AN404" s="162">
        <v>-1.17E-2</v>
      </c>
      <c r="AO404" s="162">
        <v>-8.0000000000000004E-4</v>
      </c>
      <c r="AP404" s="162">
        <v>1.01E-2</v>
      </c>
      <c r="AQ404" s="162">
        <v>1.2999999999999999E-2</v>
      </c>
      <c r="AR404" s="162">
        <v>1.6E-2</v>
      </c>
      <c r="AS404" s="162">
        <v>1.89E-2</v>
      </c>
      <c r="AT404" s="162">
        <v>2.1899999999999999E-2</v>
      </c>
      <c r="AU404" s="162">
        <v>2.4799999999999999E-2</v>
      </c>
    </row>
    <row r="405" spans="1:47" ht="12.75" customHeight="1">
      <c r="A405" s="459">
        <v>43728</v>
      </c>
      <c r="B405" s="139">
        <v>38</v>
      </c>
      <c r="C405" s="162">
        <v>-0.36499999999999999</v>
      </c>
      <c r="D405" s="162">
        <v>-0.36499999999999999</v>
      </c>
      <c r="E405" s="162">
        <v>-0.4042</v>
      </c>
      <c r="F405" s="162">
        <v>-0.44359999999999999</v>
      </c>
      <c r="G405" s="162">
        <v>-0.46739999999999998</v>
      </c>
      <c r="H405" s="162">
        <v>-0.47870000000000001</v>
      </c>
      <c r="I405" s="162">
        <v>-0.48380000000000001</v>
      </c>
      <c r="J405" s="162">
        <v>-0.49819999999999998</v>
      </c>
      <c r="K405" s="162">
        <v>-0.50949999999999995</v>
      </c>
      <c r="L405" s="162">
        <v>-0.51870000000000005</v>
      </c>
      <c r="M405" s="162">
        <v>-0.52969999999999995</v>
      </c>
      <c r="N405" s="162">
        <v>-0.53859999999999997</v>
      </c>
      <c r="O405" s="162">
        <v>-0.54479999999999995</v>
      </c>
      <c r="P405" s="162">
        <v>-0.55479999999999996</v>
      </c>
      <c r="Q405" s="162">
        <v>-0.56100000000000005</v>
      </c>
      <c r="R405" s="162">
        <v>-0.56720000000000004</v>
      </c>
      <c r="S405" s="162">
        <v>-0.61480000000000001</v>
      </c>
      <c r="T405" s="162">
        <v>-0.62250000000000005</v>
      </c>
      <c r="U405" s="162">
        <v>-0.61170000000000002</v>
      </c>
      <c r="V405" s="162">
        <v>-0.5827</v>
      </c>
      <c r="W405" s="162">
        <v>-0.53800000000000003</v>
      </c>
      <c r="X405" s="162">
        <v>-0.48070000000000002</v>
      </c>
      <c r="Y405" s="162">
        <v>-0.41639999999999999</v>
      </c>
      <c r="Z405" s="162">
        <v>-0.35039999999999999</v>
      </c>
      <c r="AA405" s="162">
        <v>-0.2863</v>
      </c>
      <c r="AB405" s="162">
        <v>-0.22639999999999999</v>
      </c>
      <c r="AC405" s="162">
        <v>-0.16750000000000001</v>
      </c>
      <c r="AD405" s="162">
        <v>-0.11600000000000001</v>
      </c>
      <c r="AE405" s="162">
        <v>-6.6900000000000001E-2</v>
      </c>
      <c r="AF405" s="162">
        <v>-1.6400000000000001E-2</v>
      </c>
      <c r="AG405" s="162">
        <v>1.2200000000000001E-2</v>
      </c>
      <c r="AH405" s="162">
        <v>4.0899999999999999E-2</v>
      </c>
      <c r="AI405" s="162">
        <v>6.9599999999999995E-2</v>
      </c>
      <c r="AJ405" s="162">
        <v>9.8199999999999996E-2</v>
      </c>
      <c r="AK405" s="162">
        <v>0.12690000000000001</v>
      </c>
      <c r="AL405" s="162">
        <v>0.1381</v>
      </c>
      <c r="AM405" s="162">
        <v>0.14929999999999999</v>
      </c>
      <c r="AN405" s="162">
        <v>0.1605</v>
      </c>
      <c r="AO405" s="162">
        <v>0.17180000000000001</v>
      </c>
      <c r="AP405" s="162">
        <v>0.183</v>
      </c>
      <c r="AQ405" s="162">
        <v>0.18629999999999999</v>
      </c>
      <c r="AR405" s="162">
        <v>0.18959999999999999</v>
      </c>
      <c r="AS405" s="162">
        <v>0.19289999999999999</v>
      </c>
      <c r="AT405" s="162">
        <v>0.1963</v>
      </c>
      <c r="AU405" s="162">
        <v>0.1996</v>
      </c>
    </row>
    <row r="406" spans="1:47" ht="12.75" customHeight="1">
      <c r="A406" s="459">
        <v>43735</v>
      </c>
      <c r="B406" s="139">
        <v>39</v>
      </c>
      <c r="C406" s="162">
        <v>-0.4118</v>
      </c>
      <c r="D406" s="162">
        <v>-0.4118</v>
      </c>
      <c r="E406" s="162">
        <v>-0.45750000000000002</v>
      </c>
      <c r="F406" s="162">
        <v>-0.45839999999999997</v>
      </c>
      <c r="G406" s="162">
        <v>-0.46060000000000001</v>
      </c>
      <c r="H406" s="162">
        <v>-0.45129999999999998</v>
      </c>
      <c r="I406" s="162">
        <v>-0.44919999999999999</v>
      </c>
      <c r="J406" s="162">
        <v>-0.45789999999999997</v>
      </c>
      <c r="K406" s="162">
        <v>-0.46500000000000002</v>
      </c>
      <c r="L406" s="162">
        <v>-0.47089999999999999</v>
      </c>
      <c r="M406" s="162">
        <v>-0.48180000000000001</v>
      </c>
      <c r="N406" s="162">
        <v>-0.48909999999999998</v>
      </c>
      <c r="O406" s="162">
        <v>-0.49669999999999997</v>
      </c>
      <c r="P406" s="162">
        <v>-0.50509999999999999</v>
      </c>
      <c r="Q406" s="162">
        <v>-0.51259999999999994</v>
      </c>
      <c r="R406" s="162">
        <v>-0.51780000000000004</v>
      </c>
      <c r="S406" s="162">
        <v>-0.56200000000000006</v>
      </c>
      <c r="T406" s="162">
        <v>-0.57210000000000005</v>
      </c>
      <c r="U406" s="162">
        <v>-0.56459999999999999</v>
      </c>
      <c r="V406" s="162">
        <v>-0.53769999999999996</v>
      </c>
      <c r="W406" s="162">
        <v>-0.49630000000000002</v>
      </c>
      <c r="X406" s="162">
        <v>-0.4456</v>
      </c>
      <c r="Y406" s="162">
        <v>-0.38529999999999998</v>
      </c>
      <c r="Z406" s="162">
        <v>-0.3221</v>
      </c>
      <c r="AA406" s="162">
        <v>-0.26019999999999999</v>
      </c>
      <c r="AB406" s="162">
        <v>-0.19900000000000001</v>
      </c>
      <c r="AC406" s="162">
        <v>-0.1424</v>
      </c>
      <c r="AD406" s="162">
        <v>-8.4199999999999997E-2</v>
      </c>
      <c r="AE406" s="162">
        <v>-3.5000000000000003E-2</v>
      </c>
      <c r="AF406" s="162">
        <v>6.6E-3</v>
      </c>
      <c r="AG406" s="162">
        <v>3.4599999999999999E-2</v>
      </c>
      <c r="AH406" s="162">
        <v>6.2600000000000003E-2</v>
      </c>
      <c r="AI406" s="162">
        <v>9.0499999999999997E-2</v>
      </c>
      <c r="AJ406" s="162">
        <v>0.11849999999999999</v>
      </c>
      <c r="AK406" s="162">
        <v>0.14649999999999999</v>
      </c>
      <c r="AL406" s="162">
        <v>0.15690000000000001</v>
      </c>
      <c r="AM406" s="162">
        <v>0.1673</v>
      </c>
      <c r="AN406" s="162">
        <v>0.1777</v>
      </c>
      <c r="AO406" s="162">
        <v>0.188</v>
      </c>
      <c r="AP406" s="162">
        <v>0.19839999999999999</v>
      </c>
      <c r="AQ406" s="162">
        <v>0.20050000000000001</v>
      </c>
      <c r="AR406" s="162">
        <v>0.2026</v>
      </c>
      <c r="AS406" s="162">
        <v>0.20469999999999999</v>
      </c>
      <c r="AT406" s="162">
        <v>0.20680000000000001</v>
      </c>
      <c r="AU406" s="162">
        <v>0.2089</v>
      </c>
    </row>
    <row r="407" spans="1:47" ht="12.75" customHeight="1">
      <c r="A407" s="459">
        <v>43742</v>
      </c>
      <c r="B407" s="139">
        <v>40</v>
      </c>
      <c r="C407" s="162">
        <v>-0.45550000000000002</v>
      </c>
      <c r="D407" s="162">
        <v>-0.45550000000000002</v>
      </c>
      <c r="E407" s="162">
        <v>-0.45950000000000002</v>
      </c>
      <c r="F407" s="162">
        <v>-0.46100000000000002</v>
      </c>
      <c r="G407" s="162">
        <v>-0.46089999999999998</v>
      </c>
      <c r="H407" s="162">
        <v>-0.45229999999999998</v>
      </c>
      <c r="I407" s="162">
        <v>-0.45550000000000002</v>
      </c>
      <c r="J407" s="162">
        <v>-0.46660000000000001</v>
      </c>
      <c r="K407" s="162">
        <v>-0.47589999999999999</v>
      </c>
      <c r="L407" s="162">
        <v>-0.48480000000000001</v>
      </c>
      <c r="M407" s="162">
        <v>-0.49519999999999997</v>
      </c>
      <c r="N407" s="162">
        <v>-0.50360000000000005</v>
      </c>
      <c r="O407" s="162">
        <v>-0.51290000000000002</v>
      </c>
      <c r="P407" s="162">
        <v>-0.52159999999999995</v>
      </c>
      <c r="Q407" s="162">
        <v>-0.52829999999999999</v>
      </c>
      <c r="R407" s="162">
        <v>-0.53510000000000002</v>
      </c>
      <c r="S407" s="162">
        <v>-0.58320000000000005</v>
      </c>
      <c r="T407" s="162">
        <v>-0.59689999999999999</v>
      </c>
      <c r="U407" s="162">
        <v>-0.59379999999999999</v>
      </c>
      <c r="V407" s="162">
        <v>-0.5766</v>
      </c>
      <c r="W407" s="162">
        <v>-0.54459999999999997</v>
      </c>
      <c r="X407" s="162">
        <v>-0.50260000000000005</v>
      </c>
      <c r="Y407" s="162">
        <v>-0.45369999999999999</v>
      </c>
      <c r="Z407" s="162">
        <v>-0.40150000000000002</v>
      </c>
      <c r="AA407" s="162">
        <v>-0.34960000000000002</v>
      </c>
      <c r="AB407" s="162">
        <v>-0.2989</v>
      </c>
      <c r="AC407" s="162">
        <v>-0.24879999999999999</v>
      </c>
      <c r="AD407" s="162">
        <v>-0.20419999999999999</v>
      </c>
      <c r="AE407" s="162">
        <v>-0.16239999999999999</v>
      </c>
      <c r="AF407" s="162">
        <v>-0.12139999999999999</v>
      </c>
      <c r="AG407" s="162">
        <v>-9.7500000000000003E-2</v>
      </c>
      <c r="AH407" s="162">
        <v>-7.3499999999999996E-2</v>
      </c>
      <c r="AI407" s="162">
        <v>-4.9500000000000002E-2</v>
      </c>
      <c r="AJ407" s="162">
        <v>-2.5600000000000001E-2</v>
      </c>
      <c r="AK407" s="162">
        <v>-1.6000000000000001E-3</v>
      </c>
      <c r="AL407" s="162">
        <v>6.7000000000000002E-3</v>
      </c>
      <c r="AM407" s="162">
        <v>1.4999999999999999E-2</v>
      </c>
      <c r="AN407" s="162">
        <v>2.3300000000000001E-2</v>
      </c>
      <c r="AO407" s="162">
        <v>3.1600000000000003E-2</v>
      </c>
      <c r="AP407" s="162">
        <v>3.9899999999999998E-2</v>
      </c>
      <c r="AQ407" s="162">
        <v>4.1000000000000002E-2</v>
      </c>
      <c r="AR407" s="162">
        <v>4.2099999999999999E-2</v>
      </c>
      <c r="AS407" s="162">
        <v>4.3200000000000002E-2</v>
      </c>
      <c r="AT407" s="162">
        <v>4.4299999999999999E-2</v>
      </c>
      <c r="AU407" s="162">
        <v>4.5400000000000003E-2</v>
      </c>
    </row>
    <row r="408" spans="1:47" ht="12.75" customHeight="1">
      <c r="A408" s="459">
        <v>43749</v>
      </c>
      <c r="B408" s="139">
        <v>41</v>
      </c>
      <c r="C408" s="162">
        <v>-0.46279999999999999</v>
      </c>
      <c r="D408" s="162">
        <v>-0.46279999999999999</v>
      </c>
      <c r="E408" s="162">
        <v>-0.46410000000000001</v>
      </c>
      <c r="F408" s="162">
        <v>-0.46389999999999998</v>
      </c>
      <c r="G408" s="162">
        <v>-0.46160000000000001</v>
      </c>
      <c r="H408" s="162">
        <v>-0.45600000000000002</v>
      </c>
      <c r="I408" s="162">
        <v>-0.46589999999999998</v>
      </c>
      <c r="J408" s="162">
        <v>-0.47760000000000002</v>
      </c>
      <c r="K408" s="162">
        <v>-0.48749999999999999</v>
      </c>
      <c r="L408" s="162">
        <v>-0.49869999999999998</v>
      </c>
      <c r="M408" s="162">
        <v>-0.50939999999999996</v>
      </c>
      <c r="N408" s="162">
        <v>-0.51919999999999999</v>
      </c>
      <c r="O408" s="162">
        <v>-0.52839999999999998</v>
      </c>
      <c r="P408" s="162">
        <v>-0.53710000000000002</v>
      </c>
      <c r="Q408" s="162">
        <v>-0.54410000000000003</v>
      </c>
      <c r="R408" s="162">
        <v>-0.55079999999999996</v>
      </c>
      <c r="S408" s="162">
        <v>-0.5998</v>
      </c>
      <c r="T408" s="162">
        <v>-0.61060000000000003</v>
      </c>
      <c r="U408" s="162">
        <v>-0.60399999999999998</v>
      </c>
      <c r="V408" s="162">
        <v>-0.57969999999999999</v>
      </c>
      <c r="W408" s="162">
        <v>-0.54110000000000003</v>
      </c>
      <c r="X408" s="162">
        <v>-0.49490000000000001</v>
      </c>
      <c r="Y408" s="162">
        <v>-0.4395</v>
      </c>
      <c r="Z408" s="162">
        <v>-0.38300000000000001</v>
      </c>
      <c r="AA408" s="162">
        <v>-0.32719999999999999</v>
      </c>
      <c r="AB408" s="162">
        <v>-0.27100000000000002</v>
      </c>
      <c r="AC408" s="162">
        <v>-0.22</v>
      </c>
      <c r="AD408" s="162">
        <v>-0.17100000000000001</v>
      </c>
      <c r="AE408" s="162">
        <v>-0.12640000000000001</v>
      </c>
      <c r="AF408" s="162">
        <v>-8.5800000000000001E-2</v>
      </c>
      <c r="AG408" s="162">
        <v>-6.0199999999999997E-2</v>
      </c>
      <c r="AH408" s="162">
        <v>-3.4599999999999999E-2</v>
      </c>
      <c r="AI408" s="162">
        <v>-8.9999999999999993E-3</v>
      </c>
      <c r="AJ408" s="162">
        <v>1.66E-2</v>
      </c>
      <c r="AK408" s="162">
        <v>4.2200000000000001E-2</v>
      </c>
      <c r="AL408" s="162">
        <v>5.11E-2</v>
      </c>
      <c r="AM408" s="162">
        <v>6.0100000000000001E-2</v>
      </c>
      <c r="AN408" s="162">
        <v>6.9000000000000006E-2</v>
      </c>
      <c r="AO408" s="162">
        <v>7.7899999999999997E-2</v>
      </c>
      <c r="AP408" s="162">
        <v>8.6800000000000002E-2</v>
      </c>
      <c r="AQ408" s="162">
        <v>8.7999999999999995E-2</v>
      </c>
      <c r="AR408" s="162">
        <v>8.9300000000000004E-2</v>
      </c>
      <c r="AS408" s="162">
        <v>9.0499999999999997E-2</v>
      </c>
      <c r="AT408" s="162">
        <v>9.1800000000000007E-2</v>
      </c>
      <c r="AU408" s="162">
        <v>9.2999999999999999E-2</v>
      </c>
    </row>
    <row r="409" spans="1:47" ht="12.75" customHeight="1">
      <c r="A409" s="459">
        <v>43756</v>
      </c>
      <c r="B409" s="139">
        <v>42</v>
      </c>
      <c r="C409" s="162">
        <v>-0.46750000000000003</v>
      </c>
      <c r="D409" s="162">
        <v>-0.46750000000000003</v>
      </c>
      <c r="E409" s="162">
        <v>-0.46579999999999999</v>
      </c>
      <c r="F409" s="162">
        <v>-0.4652</v>
      </c>
      <c r="G409" s="162">
        <v>-0.4582</v>
      </c>
      <c r="H409" s="162">
        <v>-0.45369999999999999</v>
      </c>
      <c r="I409" s="162">
        <v>-0.46560000000000001</v>
      </c>
      <c r="J409" s="162">
        <v>-0.47460000000000002</v>
      </c>
      <c r="K409" s="162">
        <v>-0.48309999999999997</v>
      </c>
      <c r="L409" s="162">
        <v>-0.49419999999999997</v>
      </c>
      <c r="M409" s="162">
        <v>-0.503</v>
      </c>
      <c r="N409" s="162">
        <v>-0.5111</v>
      </c>
      <c r="O409" s="162">
        <v>-0.51990000000000003</v>
      </c>
      <c r="P409" s="162">
        <v>-0.52749999999999997</v>
      </c>
      <c r="Q409" s="162">
        <v>-0.53510000000000002</v>
      </c>
      <c r="R409" s="162">
        <v>-0.54179999999999995</v>
      </c>
      <c r="S409" s="162">
        <v>-0.58460000000000001</v>
      </c>
      <c r="T409" s="162">
        <v>-0.58919999999999995</v>
      </c>
      <c r="U409" s="162">
        <v>-0.57320000000000004</v>
      </c>
      <c r="V409" s="162">
        <v>-0.54490000000000005</v>
      </c>
      <c r="W409" s="162">
        <v>-0.50280000000000002</v>
      </c>
      <c r="X409" s="162">
        <v>-0.45240000000000002</v>
      </c>
      <c r="Y409" s="162">
        <v>-0.3962</v>
      </c>
      <c r="Z409" s="162">
        <v>-0.33660000000000001</v>
      </c>
      <c r="AA409" s="162">
        <v>-0.27789999999999998</v>
      </c>
      <c r="AB409" s="162">
        <v>-0.22189999999999999</v>
      </c>
      <c r="AC409" s="162">
        <v>-0.1691</v>
      </c>
      <c r="AD409" s="162">
        <v>-0.1195</v>
      </c>
      <c r="AE409" s="162">
        <v>-7.3200000000000001E-2</v>
      </c>
      <c r="AF409" s="162">
        <v>-3.0700000000000002E-2</v>
      </c>
      <c r="AG409" s="162">
        <v>-3.8E-3</v>
      </c>
      <c r="AH409" s="162">
        <v>2.3199999999999998E-2</v>
      </c>
      <c r="AI409" s="162">
        <v>5.0200000000000002E-2</v>
      </c>
      <c r="AJ409" s="162">
        <v>7.7100000000000002E-2</v>
      </c>
      <c r="AK409" s="162">
        <v>0.1041</v>
      </c>
      <c r="AL409" s="162">
        <v>0.1134</v>
      </c>
      <c r="AM409" s="162">
        <v>0.12280000000000001</v>
      </c>
      <c r="AN409" s="162">
        <v>0.1321</v>
      </c>
      <c r="AO409" s="162">
        <v>0.14149999999999999</v>
      </c>
      <c r="AP409" s="162">
        <v>0.15079999999999999</v>
      </c>
      <c r="AQ409" s="162">
        <v>0.15260000000000001</v>
      </c>
      <c r="AR409" s="162">
        <v>0.15429999999999999</v>
      </c>
      <c r="AS409" s="162">
        <v>0.15609999999999999</v>
      </c>
      <c r="AT409" s="162">
        <v>0.1578</v>
      </c>
      <c r="AU409" s="162">
        <v>0.1595</v>
      </c>
    </row>
    <row r="410" spans="1:47" ht="12.75" customHeight="1">
      <c r="A410" s="459">
        <v>43763</v>
      </c>
      <c r="B410" s="139">
        <v>43</v>
      </c>
      <c r="C410" s="162">
        <v>-0.46400000000000002</v>
      </c>
      <c r="D410" s="162">
        <v>-0.46400000000000002</v>
      </c>
      <c r="E410" s="162">
        <v>-0.46429999999999999</v>
      </c>
      <c r="F410" s="162">
        <v>-0.45900000000000002</v>
      </c>
      <c r="G410" s="162">
        <v>-0.44940000000000002</v>
      </c>
      <c r="H410" s="162">
        <v>-0.44540000000000002</v>
      </c>
      <c r="I410" s="162">
        <v>-0.4531</v>
      </c>
      <c r="J410" s="162">
        <v>-0.45850000000000002</v>
      </c>
      <c r="K410" s="162">
        <v>-0.46279999999999999</v>
      </c>
      <c r="L410" s="162">
        <v>-0.47089999999999999</v>
      </c>
      <c r="M410" s="162">
        <v>-0.47699999999999998</v>
      </c>
      <c r="N410" s="162">
        <v>-0.48320000000000002</v>
      </c>
      <c r="O410" s="162">
        <v>-0.4889</v>
      </c>
      <c r="P410" s="162">
        <v>-0.49370000000000003</v>
      </c>
      <c r="Q410" s="162">
        <v>-0.498</v>
      </c>
      <c r="R410" s="162">
        <v>-0.50229999999999997</v>
      </c>
      <c r="S410" s="162">
        <v>-0.52410000000000001</v>
      </c>
      <c r="T410" s="162">
        <v>-0.51419999999999999</v>
      </c>
      <c r="U410" s="162">
        <v>-0.4914</v>
      </c>
      <c r="V410" s="162">
        <v>-0.45440000000000003</v>
      </c>
      <c r="W410" s="162">
        <v>-0.4052</v>
      </c>
      <c r="X410" s="162">
        <v>-0.34789999999999999</v>
      </c>
      <c r="Y410" s="162">
        <v>-0.28560000000000002</v>
      </c>
      <c r="Z410" s="162">
        <v>-0.22339999999999999</v>
      </c>
      <c r="AA410" s="162">
        <v>-0.15920000000000001</v>
      </c>
      <c r="AB410" s="162">
        <v>-0.10009999999999999</v>
      </c>
      <c r="AC410" s="162">
        <v>-4.5199999999999997E-2</v>
      </c>
      <c r="AD410" s="162">
        <v>1.1299999999999999E-2</v>
      </c>
      <c r="AE410" s="162">
        <v>5.9799999999999999E-2</v>
      </c>
      <c r="AF410" s="162">
        <v>0.10100000000000001</v>
      </c>
      <c r="AG410" s="162">
        <v>0.12909999999999999</v>
      </c>
      <c r="AH410" s="162">
        <v>0.1573</v>
      </c>
      <c r="AI410" s="162">
        <v>0.1855</v>
      </c>
      <c r="AJ410" s="162">
        <v>0.21360000000000001</v>
      </c>
      <c r="AK410" s="162">
        <v>0.24179999999999999</v>
      </c>
      <c r="AL410" s="162">
        <v>0.25169999999999998</v>
      </c>
      <c r="AM410" s="162">
        <v>0.26150000000000001</v>
      </c>
      <c r="AN410" s="162">
        <v>0.27139999999999997</v>
      </c>
      <c r="AO410" s="162">
        <v>0.28120000000000001</v>
      </c>
      <c r="AP410" s="162">
        <v>0.29110000000000003</v>
      </c>
      <c r="AQ410" s="162">
        <v>0.29299999999999998</v>
      </c>
      <c r="AR410" s="162">
        <v>0.2949</v>
      </c>
      <c r="AS410" s="162">
        <v>0.2969</v>
      </c>
      <c r="AT410" s="162">
        <v>0.29880000000000001</v>
      </c>
      <c r="AU410" s="162">
        <v>0.30080000000000001</v>
      </c>
    </row>
    <row r="411" spans="1:47" ht="12.75" customHeight="1">
      <c r="A411" s="459">
        <v>43770</v>
      </c>
      <c r="B411" s="139">
        <v>44</v>
      </c>
      <c r="C411" s="162">
        <v>-0.46300000000000002</v>
      </c>
      <c r="D411" s="162">
        <v>-0.46300000000000002</v>
      </c>
      <c r="E411" s="162">
        <v>-0.45150000000000001</v>
      </c>
      <c r="F411" s="162">
        <v>-0.4451</v>
      </c>
      <c r="G411" s="162">
        <v>-0.44119999999999998</v>
      </c>
      <c r="H411" s="162">
        <v>-0.44280000000000003</v>
      </c>
      <c r="I411" s="162">
        <v>-0.4486</v>
      </c>
      <c r="J411" s="162">
        <v>-0.45350000000000001</v>
      </c>
      <c r="K411" s="162">
        <v>-0.45739999999999997</v>
      </c>
      <c r="L411" s="162">
        <v>-0.46350000000000002</v>
      </c>
      <c r="M411" s="162">
        <v>-0.46860000000000002</v>
      </c>
      <c r="N411" s="162">
        <v>-0.4733</v>
      </c>
      <c r="O411" s="162">
        <v>-0.47689999999999999</v>
      </c>
      <c r="P411" s="162">
        <v>-0.48049999999999998</v>
      </c>
      <c r="Q411" s="162">
        <v>-0.4839</v>
      </c>
      <c r="R411" s="162">
        <v>-0.48720000000000002</v>
      </c>
      <c r="S411" s="162">
        <v>-0.50160000000000005</v>
      </c>
      <c r="T411" s="162">
        <v>-0.48820000000000002</v>
      </c>
      <c r="U411" s="162">
        <v>-0.46160000000000001</v>
      </c>
      <c r="V411" s="162">
        <v>-0.42309999999999998</v>
      </c>
      <c r="W411" s="162">
        <v>-0.37369999999999998</v>
      </c>
      <c r="X411" s="162">
        <v>-0.31780000000000003</v>
      </c>
      <c r="Y411" s="162">
        <v>-0.25690000000000002</v>
      </c>
      <c r="Z411" s="162">
        <v>-0.19489999999999999</v>
      </c>
      <c r="AA411" s="162">
        <v>-0.13400000000000001</v>
      </c>
      <c r="AB411" s="162">
        <v>-7.5999999999999998E-2</v>
      </c>
      <c r="AC411" s="162">
        <v>-2.1000000000000001E-2</v>
      </c>
      <c r="AD411" s="162">
        <v>3.1600000000000003E-2</v>
      </c>
      <c r="AE411" s="162">
        <v>7.9600000000000004E-2</v>
      </c>
      <c r="AF411" s="162">
        <v>0.122</v>
      </c>
      <c r="AG411" s="162">
        <v>0.14940000000000001</v>
      </c>
      <c r="AH411" s="162">
        <v>0.1769</v>
      </c>
      <c r="AI411" s="162">
        <v>0.20430000000000001</v>
      </c>
      <c r="AJ411" s="162">
        <v>0.23180000000000001</v>
      </c>
      <c r="AK411" s="162">
        <v>0.25919999999999999</v>
      </c>
      <c r="AL411" s="162">
        <v>0.26879999999999998</v>
      </c>
      <c r="AM411" s="162">
        <v>0.27839999999999998</v>
      </c>
      <c r="AN411" s="162">
        <v>0.28789999999999999</v>
      </c>
      <c r="AO411" s="162">
        <v>0.29749999999999999</v>
      </c>
      <c r="AP411" s="162">
        <v>0.30709999999999998</v>
      </c>
      <c r="AQ411" s="162">
        <v>0.30880000000000002</v>
      </c>
      <c r="AR411" s="162">
        <v>0.31059999999999999</v>
      </c>
      <c r="AS411" s="162">
        <v>0.31240000000000001</v>
      </c>
      <c r="AT411" s="162">
        <v>0.31409999999999999</v>
      </c>
      <c r="AU411" s="162">
        <v>0.31590000000000001</v>
      </c>
    </row>
    <row r="412" spans="1:47" ht="12.75" customHeight="1">
      <c r="A412" s="459">
        <v>43777</v>
      </c>
      <c r="B412" s="139">
        <v>45</v>
      </c>
      <c r="C412" s="162">
        <v>-0.46100000000000002</v>
      </c>
      <c r="D412" s="162">
        <v>-0.46100000000000002</v>
      </c>
      <c r="E412" s="162">
        <v>-0.4395</v>
      </c>
      <c r="F412" s="162">
        <v>-0.4405</v>
      </c>
      <c r="G412" s="162">
        <v>-0.44219999999999998</v>
      </c>
      <c r="H412" s="162">
        <v>-0.44519999999999998</v>
      </c>
      <c r="I412" s="162">
        <v>-0.4486</v>
      </c>
      <c r="J412" s="162">
        <v>-0.45190000000000002</v>
      </c>
      <c r="K412" s="162">
        <v>-0.45619999999999999</v>
      </c>
      <c r="L412" s="162">
        <v>-0.4602</v>
      </c>
      <c r="M412" s="162">
        <v>-0.46450000000000002</v>
      </c>
      <c r="N412" s="162">
        <v>-0.46860000000000002</v>
      </c>
      <c r="O412" s="162">
        <v>-0.47249999999999998</v>
      </c>
      <c r="P412" s="162">
        <v>-0.47489999999999999</v>
      </c>
      <c r="Q412" s="162">
        <v>-0.47760000000000002</v>
      </c>
      <c r="R412" s="162">
        <v>-0.48130000000000001</v>
      </c>
      <c r="S412" s="162">
        <v>-0.49299999999999999</v>
      </c>
      <c r="T412" s="162">
        <v>-0.4723</v>
      </c>
      <c r="U412" s="162">
        <v>-0.44130000000000003</v>
      </c>
      <c r="V412" s="162">
        <v>-0.39950000000000002</v>
      </c>
      <c r="W412" s="162">
        <v>-0.34770000000000001</v>
      </c>
      <c r="X412" s="162">
        <v>-0.2918</v>
      </c>
      <c r="Y412" s="162">
        <v>-0.2303</v>
      </c>
      <c r="Z412" s="162">
        <v>-0.16880000000000001</v>
      </c>
      <c r="AA412" s="162">
        <v>-0.1072</v>
      </c>
      <c r="AB412" s="162">
        <v>-4.6899999999999997E-2</v>
      </c>
      <c r="AC412" s="162">
        <v>8.5000000000000006E-3</v>
      </c>
      <c r="AD412" s="162">
        <v>5.7500000000000002E-2</v>
      </c>
      <c r="AE412" s="162">
        <v>0.1065</v>
      </c>
      <c r="AF412" s="162">
        <v>0.15459999999999999</v>
      </c>
      <c r="AG412" s="162">
        <v>0.18229999999999999</v>
      </c>
      <c r="AH412" s="162">
        <v>0.21010000000000001</v>
      </c>
      <c r="AI412" s="162">
        <v>0.2379</v>
      </c>
      <c r="AJ412" s="162">
        <v>0.2656</v>
      </c>
      <c r="AK412" s="162">
        <v>0.29339999999999999</v>
      </c>
      <c r="AL412" s="162">
        <v>0.30349999999999999</v>
      </c>
      <c r="AM412" s="162">
        <v>0.31359999999999999</v>
      </c>
      <c r="AN412" s="162">
        <v>0.32379999999999998</v>
      </c>
      <c r="AO412" s="162">
        <v>0.33389999999999997</v>
      </c>
      <c r="AP412" s="162">
        <v>0.34410000000000002</v>
      </c>
      <c r="AQ412" s="162">
        <v>0.34539999999999998</v>
      </c>
      <c r="AR412" s="162">
        <v>0.34670000000000001</v>
      </c>
      <c r="AS412" s="162">
        <v>0.34810000000000002</v>
      </c>
      <c r="AT412" s="162">
        <v>0.34939999999999999</v>
      </c>
      <c r="AU412" s="162">
        <v>0.3508</v>
      </c>
    </row>
    <row r="413" spans="1:47" ht="12.75" customHeight="1">
      <c r="A413" s="459">
        <v>43784</v>
      </c>
      <c r="B413" s="139">
        <v>46</v>
      </c>
      <c r="C413" s="162">
        <v>-0.45329999999999998</v>
      </c>
      <c r="D413" s="162">
        <v>-0.45329999999999998</v>
      </c>
      <c r="E413" s="162">
        <v>-0.45240000000000002</v>
      </c>
      <c r="F413" s="162">
        <v>-0.4521</v>
      </c>
      <c r="G413" s="162">
        <v>-0.45229999999999998</v>
      </c>
      <c r="H413" s="162">
        <v>-0.45240000000000002</v>
      </c>
      <c r="I413" s="162">
        <v>-0.45319999999999999</v>
      </c>
      <c r="J413" s="162">
        <v>-0.45519999999999999</v>
      </c>
      <c r="K413" s="162">
        <v>-0.45800000000000002</v>
      </c>
      <c r="L413" s="162">
        <v>-0.46100000000000002</v>
      </c>
      <c r="M413" s="162">
        <v>-0.4637</v>
      </c>
      <c r="N413" s="162">
        <v>-0.46600000000000003</v>
      </c>
      <c r="O413" s="162">
        <v>-0.46929999999999999</v>
      </c>
      <c r="P413" s="162">
        <v>-0.4718</v>
      </c>
      <c r="Q413" s="162">
        <v>-0.47520000000000001</v>
      </c>
      <c r="R413" s="162">
        <v>-0.47820000000000001</v>
      </c>
      <c r="S413" s="162">
        <v>-0.48570000000000002</v>
      </c>
      <c r="T413" s="162">
        <v>-0.46489999999999998</v>
      </c>
      <c r="U413" s="162">
        <v>-0.42959999999999998</v>
      </c>
      <c r="V413" s="162">
        <v>-0.3821</v>
      </c>
      <c r="W413" s="162">
        <v>-0.32550000000000001</v>
      </c>
      <c r="X413" s="162">
        <v>-0.26169999999999999</v>
      </c>
      <c r="Y413" s="162">
        <v>-0.19689999999999999</v>
      </c>
      <c r="Z413" s="162">
        <v>-0.13100000000000001</v>
      </c>
      <c r="AA413" s="162">
        <v>-6.6500000000000004E-2</v>
      </c>
      <c r="AB413" s="162">
        <v>-1.4E-3</v>
      </c>
      <c r="AC413" s="162">
        <v>5.6599999999999998E-2</v>
      </c>
      <c r="AD413" s="162">
        <v>0.1135</v>
      </c>
      <c r="AE413" s="162">
        <v>0.1646</v>
      </c>
      <c r="AF413" s="162">
        <v>0.20860000000000001</v>
      </c>
      <c r="AG413" s="162">
        <v>0.2379</v>
      </c>
      <c r="AH413" s="162">
        <v>0.26719999999999999</v>
      </c>
      <c r="AI413" s="162">
        <v>0.29659999999999997</v>
      </c>
      <c r="AJ413" s="162">
        <v>0.32590000000000002</v>
      </c>
      <c r="AK413" s="162">
        <v>0.35520000000000002</v>
      </c>
      <c r="AL413" s="162">
        <v>0.36520000000000002</v>
      </c>
      <c r="AM413" s="162">
        <v>0.37519999999999998</v>
      </c>
      <c r="AN413" s="162">
        <v>0.3851</v>
      </c>
      <c r="AO413" s="162">
        <v>0.39510000000000001</v>
      </c>
      <c r="AP413" s="162">
        <v>0.40510000000000002</v>
      </c>
      <c r="AQ413" s="162">
        <v>0.40670000000000001</v>
      </c>
      <c r="AR413" s="162">
        <v>0.40820000000000001</v>
      </c>
      <c r="AS413" s="162">
        <v>0.4098</v>
      </c>
      <c r="AT413" s="162">
        <v>0.41139999999999999</v>
      </c>
      <c r="AU413" s="162">
        <v>0.41299999999999998</v>
      </c>
    </row>
    <row r="414" spans="1:47" ht="12.75" customHeight="1">
      <c r="A414" s="459">
        <v>43791</v>
      </c>
      <c r="B414" s="139">
        <v>47</v>
      </c>
      <c r="C414" s="162">
        <v>-0.45129999999999998</v>
      </c>
      <c r="D414" s="162">
        <v>-0.45129999999999998</v>
      </c>
      <c r="E414" s="162">
        <v>-0.45119999999999999</v>
      </c>
      <c r="F414" s="162">
        <v>-0.4511</v>
      </c>
      <c r="G414" s="162">
        <v>-0.45119999999999999</v>
      </c>
      <c r="H414" s="162">
        <v>-0.45079999999999998</v>
      </c>
      <c r="I414" s="162">
        <v>-0.4521</v>
      </c>
      <c r="J414" s="162">
        <v>-0.45350000000000001</v>
      </c>
      <c r="K414" s="162">
        <v>-0.45590000000000003</v>
      </c>
      <c r="L414" s="162">
        <v>-0.45789999999999997</v>
      </c>
      <c r="M414" s="162">
        <v>-0.46060000000000001</v>
      </c>
      <c r="N414" s="162">
        <v>-0.46339999999999998</v>
      </c>
      <c r="O414" s="162">
        <v>-0.46650000000000003</v>
      </c>
      <c r="P414" s="162">
        <v>-0.46939999999999998</v>
      </c>
      <c r="Q414" s="162">
        <v>-0.47210000000000002</v>
      </c>
      <c r="R414" s="162">
        <v>-0.47460000000000002</v>
      </c>
      <c r="S414" s="162">
        <v>-0.48530000000000001</v>
      </c>
      <c r="T414" s="162">
        <v>-0.46689999999999998</v>
      </c>
      <c r="U414" s="162">
        <v>-0.43219999999999997</v>
      </c>
      <c r="V414" s="162">
        <v>-0.38479999999999998</v>
      </c>
      <c r="W414" s="162">
        <v>-0.32869999999999999</v>
      </c>
      <c r="X414" s="162">
        <v>-0.26519999999999999</v>
      </c>
      <c r="Y414" s="162">
        <v>-0.20130000000000001</v>
      </c>
      <c r="Z414" s="162">
        <v>-0.13730000000000001</v>
      </c>
      <c r="AA414" s="162">
        <v>-7.3800000000000004E-2</v>
      </c>
      <c r="AB414" s="162">
        <v>-1.18E-2</v>
      </c>
      <c r="AC414" s="162">
        <v>4.2200000000000001E-2</v>
      </c>
      <c r="AD414" s="162">
        <v>0.10589999999999999</v>
      </c>
      <c r="AE414" s="162">
        <v>0.15529999999999999</v>
      </c>
      <c r="AF414" s="162">
        <v>0.18959999999999999</v>
      </c>
      <c r="AG414" s="162">
        <v>0.21779999999999999</v>
      </c>
      <c r="AH414" s="162">
        <v>0.246</v>
      </c>
      <c r="AI414" s="162">
        <v>0.2742</v>
      </c>
      <c r="AJ414" s="162">
        <v>0.30249999999999999</v>
      </c>
      <c r="AK414" s="162">
        <v>0.33069999999999999</v>
      </c>
      <c r="AL414" s="162">
        <v>0.34060000000000001</v>
      </c>
      <c r="AM414" s="162">
        <v>0.35049999999999998</v>
      </c>
      <c r="AN414" s="162">
        <v>0.3604</v>
      </c>
      <c r="AO414" s="162">
        <v>0.37030000000000002</v>
      </c>
      <c r="AP414" s="162">
        <v>0.38019999999999998</v>
      </c>
      <c r="AQ414" s="162">
        <v>0.38179999999999997</v>
      </c>
      <c r="AR414" s="162">
        <v>0.38340000000000002</v>
      </c>
      <c r="AS414" s="162">
        <v>0.38500000000000001</v>
      </c>
      <c r="AT414" s="162">
        <v>0.3866</v>
      </c>
      <c r="AU414" s="162">
        <v>0.38819999999999999</v>
      </c>
    </row>
    <row r="415" spans="1:47" ht="12.75" customHeight="1">
      <c r="A415" s="459">
        <v>43798</v>
      </c>
      <c r="B415" s="139">
        <v>48</v>
      </c>
      <c r="C415" s="162">
        <v>-0.44900000000000001</v>
      </c>
      <c r="D415" s="162">
        <v>-0.44900000000000001</v>
      </c>
      <c r="E415" s="162">
        <v>-0.45250000000000001</v>
      </c>
      <c r="F415" s="162">
        <v>-0.4521</v>
      </c>
      <c r="G415" s="162">
        <v>-0.45269999999999999</v>
      </c>
      <c r="H415" s="162">
        <v>-0.45400000000000001</v>
      </c>
      <c r="I415" s="162">
        <v>-0.45590000000000003</v>
      </c>
      <c r="J415" s="162">
        <v>-0.45810000000000001</v>
      </c>
      <c r="K415" s="162">
        <v>-0.45979999999999999</v>
      </c>
      <c r="L415" s="162">
        <v>-0.46150000000000002</v>
      </c>
      <c r="M415" s="162">
        <v>-0.46350000000000002</v>
      </c>
      <c r="N415" s="162">
        <v>-0.46589999999999998</v>
      </c>
      <c r="O415" s="162">
        <v>-0.46820000000000001</v>
      </c>
      <c r="P415" s="162">
        <v>-0.47</v>
      </c>
      <c r="Q415" s="162">
        <v>-0.4723</v>
      </c>
      <c r="R415" s="162">
        <v>-0.47449999999999998</v>
      </c>
      <c r="S415" s="162">
        <v>-0.48199999999999998</v>
      </c>
      <c r="T415" s="162">
        <v>-0.4667</v>
      </c>
      <c r="U415" s="162">
        <v>-0.43830000000000002</v>
      </c>
      <c r="V415" s="162">
        <v>-0.39460000000000001</v>
      </c>
      <c r="W415" s="162">
        <v>-0.34520000000000001</v>
      </c>
      <c r="X415" s="162">
        <v>-0.28810000000000002</v>
      </c>
      <c r="Y415" s="162">
        <v>-0.2283</v>
      </c>
      <c r="Z415" s="162">
        <v>-0.16719999999999999</v>
      </c>
      <c r="AA415" s="162">
        <v>-0.10680000000000001</v>
      </c>
      <c r="AB415" s="162">
        <v>-4.53E-2</v>
      </c>
      <c r="AC415" s="162">
        <v>8.5000000000000006E-3</v>
      </c>
      <c r="AD415" s="162">
        <v>6.5600000000000006E-2</v>
      </c>
      <c r="AE415" s="162">
        <v>0.1145</v>
      </c>
      <c r="AF415" s="162">
        <v>0.15390000000000001</v>
      </c>
      <c r="AG415" s="162">
        <v>0.182</v>
      </c>
      <c r="AH415" s="162">
        <v>0.21</v>
      </c>
      <c r="AI415" s="162">
        <v>0.23799999999999999</v>
      </c>
      <c r="AJ415" s="162">
        <v>0.26600000000000001</v>
      </c>
      <c r="AK415" s="162">
        <v>0.29409999999999997</v>
      </c>
      <c r="AL415" s="162">
        <v>0.30399999999999999</v>
      </c>
      <c r="AM415" s="162">
        <v>0.314</v>
      </c>
      <c r="AN415" s="162">
        <v>0.32400000000000001</v>
      </c>
      <c r="AO415" s="162">
        <v>0.33400000000000002</v>
      </c>
      <c r="AP415" s="162">
        <v>0.34399999999999997</v>
      </c>
      <c r="AQ415" s="162">
        <v>0.34489999999999998</v>
      </c>
      <c r="AR415" s="162">
        <v>0.34570000000000001</v>
      </c>
      <c r="AS415" s="162">
        <v>0.34660000000000002</v>
      </c>
      <c r="AT415" s="162">
        <v>0.34749999999999998</v>
      </c>
      <c r="AU415" s="162">
        <v>0.34839999999999999</v>
      </c>
    </row>
    <row r="416" spans="1:47" ht="12.75" customHeight="1">
      <c r="A416" s="459">
        <v>43805</v>
      </c>
      <c r="B416" s="139">
        <v>49</v>
      </c>
      <c r="C416" s="162">
        <v>-0.44750000000000001</v>
      </c>
      <c r="D416" s="162">
        <v>-0.44750000000000001</v>
      </c>
      <c r="E416" s="162">
        <v>-0.44940000000000002</v>
      </c>
      <c r="F416" s="162">
        <v>-0.44840000000000002</v>
      </c>
      <c r="G416" s="162">
        <v>-0.4491</v>
      </c>
      <c r="H416" s="162">
        <v>-0.44929999999999998</v>
      </c>
      <c r="I416" s="162">
        <v>-0.45190000000000002</v>
      </c>
      <c r="J416" s="162">
        <v>-0.4546</v>
      </c>
      <c r="K416" s="162">
        <v>-0.45729999999999998</v>
      </c>
      <c r="L416" s="162">
        <v>-0.46</v>
      </c>
      <c r="M416" s="162">
        <v>-0.46279999999999999</v>
      </c>
      <c r="N416" s="162">
        <v>-0.46510000000000001</v>
      </c>
      <c r="O416" s="162">
        <v>-0.46760000000000002</v>
      </c>
      <c r="P416" s="162">
        <v>-0.47039999999999998</v>
      </c>
      <c r="Q416" s="162">
        <v>-0.4723</v>
      </c>
      <c r="R416" s="162">
        <v>-0.47460000000000002</v>
      </c>
      <c r="S416" s="162">
        <v>-0.4859</v>
      </c>
      <c r="T416" s="162">
        <v>-0.47310000000000002</v>
      </c>
      <c r="U416" s="162">
        <v>-0.4456</v>
      </c>
      <c r="V416" s="162">
        <v>-0.40660000000000002</v>
      </c>
      <c r="W416" s="162">
        <v>-0.3574</v>
      </c>
      <c r="X416" s="162">
        <v>-0.30209999999999998</v>
      </c>
      <c r="Y416" s="162">
        <v>-0.2427</v>
      </c>
      <c r="Z416" s="162">
        <v>-0.18310000000000001</v>
      </c>
      <c r="AA416" s="162">
        <v>-0.1229</v>
      </c>
      <c r="AB416" s="162">
        <v>-6.5199999999999994E-2</v>
      </c>
      <c r="AC416" s="162">
        <v>-9.7999999999999997E-3</v>
      </c>
      <c r="AD416" s="162">
        <v>4.5999999999999999E-2</v>
      </c>
      <c r="AE416" s="162">
        <v>9.5100000000000004E-2</v>
      </c>
      <c r="AF416" s="162">
        <v>0.1363</v>
      </c>
      <c r="AG416" s="162">
        <v>0.16450000000000001</v>
      </c>
      <c r="AH416" s="162">
        <v>0.19270000000000001</v>
      </c>
      <c r="AI416" s="162">
        <v>0.22090000000000001</v>
      </c>
      <c r="AJ416" s="162">
        <v>0.24909999999999999</v>
      </c>
      <c r="AK416" s="162">
        <v>0.2772</v>
      </c>
      <c r="AL416" s="162">
        <v>0.2868</v>
      </c>
      <c r="AM416" s="162">
        <v>0.2964</v>
      </c>
      <c r="AN416" s="162">
        <v>0.30599999999999999</v>
      </c>
      <c r="AO416" s="162">
        <v>0.31559999999999999</v>
      </c>
      <c r="AP416" s="162">
        <v>0.32519999999999999</v>
      </c>
      <c r="AQ416" s="162">
        <v>0.3261</v>
      </c>
      <c r="AR416" s="162">
        <v>0.32700000000000001</v>
      </c>
      <c r="AS416" s="162">
        <v>0.32790000000000002</v>
      </c>
      <c r="AT416" s="162">
        <v>0.32890000000000003</v>
      </c>
      <c r="AU416" s="162">
        <v>0.32979999999999998</v>
      </c>
    </row>
    <row r="417" spans="1:47" ht="12.75" customHeight="1">
      <c r="A417" s="459">
        <v>43812</v>
      </c>
      <c r="B417" s="139">
        <v>50</v>
      </c>
      <c r="C417" s="162">
        <v>-0.45500000000000002</v>
      </c>
      <c r="D417" s="162">
        <v>-0.45500000000000002</v>
      </c>
      <c r="E417" s="162">
        <v>-0.45219999999999999</v>
      </c>
      <c r="F417" s="162">
        <v>-0.44840000000000002</v>
      </c>
      <c r="G417" s="162">
        <v>-0.44790000000000002</v>
      </c>
      <c r="H417" s="162">
        <v>-0.44790000000000002</v>
      </c>
      <c r="I417" s="162">
        <v>-0.45019999999999999</v>
      </c>
      <c r="J417" s="162">
        <v>-0.45290000000000002</v>
      </c>
      <c r="K417" s="162">
        <v>-0.45639999999999997</v>
      </c>
      <c r="L417" s="162">
        <v>-0.45839999999999997</v>
      </c>
      <c r="M417" s="162">
        <v>-0.46089999999999998</v>
      </c>
      <c r="N417" s="162">
        <v>-0.46310000000000001</v>
      </c>
      <c r="O417" s="162">
        <v>-0.46479999999999999</v>
      </c>
      <c r="P417" s="162">
        <v>-0.46660000000000001</v>
      </c>
      <c r="Q417" s="162">
        <v>-0.46839999999999998</v>
      </c>
      <c r="R417" s="162">
        <v>-0.46960000000000002</v>
      </c>
      <c r="S417" s="162">
        <v>-0.47020000000000001</v>
      </c>
      <c r="T417" s="162">
        <v>-0.44969999999999999</v>
      </c>
      <c r="U417" s="162">
        <v>-0.4173</v>
      </c>
      <c r="V417" s="162">
        <v>-0.37390000000000001</v>
      </c>
      <c r="W417" s="162">
        <v>-0.32079999999999997</v>
      </c>
      <c r="X417" s="162">
        <v>-0.26469999999999999</v>
      </c>
      <c r="Y417" s="162">
        <v>-0.20319999999999999</v>
      </c>
      <c r="Z417" s="162">
        <v>-0.14169999999999999</v>
      </c>
      <c r="AA417" s="162">
        <v>-8.0299999999999996E-2</v>
      </c>
      <c r="AB417" s="162">
        <v>-0.02</v>
      </c>
      <c r="AC417" s="162">
        <v>3.5700000000000003E-2</v>
      </c>
      <c r="AD417" s="162">
        <v>8.7599999999999997E-2</v>
      </c>
      <c r="AE417" s="162">
        <v>0.13639999999999999</v>
      </c>
      <c r="AF417" s="162">
        <v>0.1794</v>
      </c>
      <c r="AG417" s="162">
        <v>0.2074</v>
      </c>
      <c r="AH417" s="162">
        <v>0.23549999999999999</v>
      </c>
      <c r="AI417" s="162">
        <v>0.2636</v>
      </c>
      <c r="AJ417" s="162">
        <v>0.29170000000000001</v>
      </c>
      <c r="AK417" s="162">
        <v>0.31969999999999998</v>
      </c>
      <c r="AL417" s="162">
        <v>0.32950000000000002</v>
      </c>
      <c r="AM417" s="162">
        <v>0.33939999999999998</v>
      </c>
      <c r="AN417" s="162">
        <v>0.34920000000000001</v>
      </c>
      <c r="AO417" s="162">
        <v>0.35899999999999999</v>
      </c>
      <c r="AP417" s="162">
        <v>0.36890000000000001</v>
      </c>
      <c r="AQ417" s="162">
        <v>0.36969999999999997</v>
      </c>
      <c r="AR417" s="162">
        <v>0.3705</v>
      </c>
      <c r="AS417" s="162">
        <v>0.37130000000000002</v>
      </c>
      <c r="AT417" s="162">
        <v>0.37209999999999999</v>
      </c>
      <c r="AU417" s="162">
        <v>0.37290000000000001</v>
      </c>
    </row>
    <row r="418" spans="1:47" ht="12.75" customHeight="1">
      <c r="A418" s="459">
        <v>43819</v>
      </c>
      <c r="B418" s="139">
        <v>51</v>
      </c>
      <c r="C418" s="162">
        <v>-0.45829999999999999</v>
      </c>
      <c r="D418" s="162">
        <v>-0.45829999999999999</v>
      </c>
      <c r="E418" s="162">
        <v>-0.44919999999999999</v>
      </c>
      <c r="F418" s="162">
        <v>-0.44869999999999999</v>
      </c>
      <c r="G418" s="162">
        <v>-0.44919999999999999</v>
      </c>
      <c r="H418" s="162">
        <v>-0.45100000000000001</v>
      </c>
      <c r="I418" s="162">
        <v>-0.45219999999999999</v>
      </c>
      <c r="J418" s="162">
        <v>-0.4556</v>
      </c>
      <c r="K418" s="162">
        <v>-0.4582</v>
      </c>
      <c r="L418" s="162">
        <v>-0.4602</v>
      </c>
      <c r="M418" s="162">
        <v>-0.46229999999999999</v>
      </c>
      <c r="N418" s="162">
        <v>-0.46439999999999998</v>
      </c>
      <c r="O418" s="162">
        <v>-0.46560000000000001</v>
      </c>
      <c r="P418" s="162">
        <v>-0.46710000000000002</v>
      </c>
      <c r="Q418" s="162">
        <v>-0.46860000000000002</v>
      </c>
      <c r="R418" s="162">
        <v>-0.47020000000000001</v>
      </c>
      <c r="S418" s="162">
        <v>-0.4708</v>
      </c>
      <c r="T418" s="162">
        <v>-0.4466</v>
      </c>
      <c r="U418" s="162">
        <v>-0.4083</v>
      </c>
      <c r="V418" s="162">
        <v>-0.3619</v>
      </c>
      <c r="W418" s="162">
        <v>-0.30780000000000002</v>
      </c>
      <c r="X418" s="162">
        <v>-0.24970000000000001</v>
      </c>
      <c r="Y418" s="162">
        <v>-0.188</v>
      </c>
      <c r="Z418" s="162">
        <v>-0.12540000000000001</v>
      </c>
      <c r="AA418" s="162">
        <v>-6.2799999999999995E-2</v>
      </c>
      <c r="AB418" s="162">
        <v>-2.8E-3</v>
      </c>
      <c r="AC418" s="162">
        <v>5.3600000000000002E-2</v>
      </c>
      <c r="AD418" s="162">
        <v>0.11</v>
      </c>
      <c r="AE418" s="162">
        <v>0.15920000000000001</v>
      </c>
      <c r="AF418" s="162">
        <v>0.2016</v>
      </c>
      <c r="AG418" s="162">
        <v>0.23019999999999999</v>
      </c>
      <c r="AH418" s="162">
        <v>0.25869999999999999</v>
      </c>
      <c r="AI418" s="162">
        <v>0.28720000000000001</v>
      </c>
      <c r="AJ418" s="162">
        <v>0.31580000000000003</v>
      </c>
      <c r="AK418" s="162">
        <v>0.34429999999999999</v>
      </c>
      <c r="AL418" s="162">
        <v>0.3538</v>
      </c>
      <c r="AM418" s="162">
        <v>0.36330000000000001</v>
      </c>
      <c r="AN418" s="162">
        <v>0.37280000000000002</v>
      </c>
      <c r="AO418" s="162">
        <v>0.38229999999999997</v>
      </c>
      <c r="AP418" s="162">
        <v>0.39179999999999998</v>
      </c>
      <c r="AQ418" s="162">
        <v>0.39300000000000002</v>
      </c>
      <c r="AR418" s="162">
        <v>0.39419999999999999</v>
      </c>
      <c r="AS418" s="162">
        <v>0.39539999999999997</v>
      </c>
      <c r="AT418" s="162">
        <v>0.39660000000000001</v>
      </c>
      <c r="AU418" s="162">
        <v>0.39779999999999999</v>
      </c>
    </row>
    <row r="419" spans="1:47" ht="12.75" customHeight="1">
      <c r="A419" s="459">
        <v>43826</v>
      </c>
      <c r="B419" s="139">
        <v>52</v>
      </c>
      <c r="C419" s="162">
        <v>-0.45479999999999998</v>
      </c>
      <c r="D419" s="162">
        <v>-0.45479999999999998</v>
      </c>
      <c r="E419" s="162">
        <v>-0.44429999999999997</v>
      </c>
      <c r="F419" s="162">
        <v>-0.44479999999999997</v>
      </c>
      <c r="G419" s="162">
        <v>-0.4456</v>
      </c>
      <c r="H419" s="162">
        <v>-0.44679999999999997</v>
      </c>
      <c r="I419" s="162">
        <v>-0.44719999999999999</v>
      </c>
      <c r="J419" s="162">
        <v>-0.44929999999999998</v>
      </c>
      <c r="K419" s="162">
        <v>-0.4506</v>
      </c>
      <c r="L419" s="162">
        <v>-0.4521</v>
      </c>
      <c r="M419" s="162">
        <v>-0.45390000000000003</v>
      </c>
      <c r="N419" s="162">
        <v>-0.45500000000000002</v>
      </c>
      <c r="O419" s="162">
        <v>-0.45610000000000001</v>
      </c>
      <c r="P419" s="162">
        <v>-0.45689999999999997</v>
      </c>
      <c r="Q419" s="162">
        <v>-0.4582</v>
      </c>
      <c r="R419" s="162">
        <v>-0.45939999999999998</v>
      </c>
      <c r="S419" s="162">
        <v>-0.45519999999999999</v>
      </c>
      <c r="T419" s="162">
        <v>-0.42699999999999999</v>
      </c>
      <c r="U419" s="162">
        <v>-0.3861</v>
      </c>
      <c r="V419" s="162">
        <v>-0.33560000000000001</v>
      </c>
      <c r="W419" s="162">
        <v>-0.27989999999999998</v>
      </c>
      <c r="X419" s="162">
        <v>-0.22040000000000001</v>
      </c>
      <c r="Y419" s="162">
        <v>-0.15740000000000001</v>
      </c>
      <c r="Z419" s="162">
        <v>-9.3799999999999994E-2</v>
      </c>
      <c r="AA419" s="162">
        <v>-3.1600000000000003E-2</v>
      </c>
      <c r="AB419" s="162">
        <v>2.81E-2</v>
      </c>
      <c r="AC419" s="162">
        <v>8.5000000000000006E-2</v>
      </c>
      <c r="AD419" s="162">
        <v>0.13689999999999999</v>
      </c>
      <c r="AE419" s="162">
        <v>0.18529999999999999</v>
      </c>
      <c r="AF419" s="162">
        <v>0.2319</v>
      </c>
      <c r="AG419" s="162">
        <v>0.26019999999999999</v>
      </c>
      <c r="AH419" s="162">
        <v>0.28860000000000002</v>
      </c>
      <c r="AI419" s="162">
        <v>0.31690000000000002</v>
      </c>
      <c r="AJ419" s="162">
        <v>0.34520000000000001</v>
      </c>
      <c r="AK419" s="162">
        <v>0.3735</v>
      </c>
      <c r="AL419" s="162">
        <v>0.38269999999999998</v>
      </c>
      <c r="AM419" s="162">
        <v>0.39200000000000002</v>
      </c>
      <c r="AN419" s="162">
        <v>0.4012</v>
      </c>
      <c r="AO419" s="162">
        <v>0.41039999999999999</v>
      </c>
      <c r="AP419" s="162">
        <v>0.41970000000000002</v>
      </c>
      <c r="AQ419" s="162">
        <v>0.42030000000000001</v>
      </c>
      <c r="AR419" s="162">
        <v>0.4209</v>
      </c>
      <c r="AS419" s="162">
        <v>0.42149999999999999</v>
      </c>
      <c r="AT419" s="162">
        <v>0.42209999999999998</v>
      </c>
      <c r="AU419" s="162">
        <v>0.42270000000000002</v>
      </c>
    </row>
    <row r="420" spans="1:47" ht="12.75" customHeight="1">
      <c r="A420" s="459">
        <v>43833</v>
      </c>
      <c r="B420" s="139">
        <v>1</v>
      </c>
      <c r="C420" s="162">
        <v>-0.46200000000000002</v>
      </c>
      <c r="D420" s="162">
        <v>-0.46200000000000002</v>
      </c>
      <c r="E420" s="162">
        <v>-0.44379999999999997</v>
      </c>
      <c r="F420" s="162">
        <v>-0.44319999999999998</v>
      </c>
      <c r="G420" s="162">
        <v>-0.44409999999999999</v>
      </c>
      <c r="H420" s="162">
        <v>-0.44379999999999997</v>
      </c>
      <c r="I420" s="162">
        <v>-0.4446</v>
      </c>
      <c r="J420" s="162">
        <v>-0.44929999999999998</v>
      </c>
      <c r="K420" s="162">
        <v>-0.44540000000000002</v>
      </c>
      <c r="L420" s="162">
        <v>-0.4461</v>
      </c>
      <c r="M420" s="162">
        <v>-0.4481</v>
      </c>
      <c r="N420" s="162">
        <v>-0.44890000000000002</v>
      </c>
      <c r="O420" s="162">
        <v>-0.44919999999999999</v>
      </c>
      <c r="P420" s="162">
        <v>-0.45689999999999997</v>
      </c>
      <c r="Q420" s="162">
        <v>-0.4582</v>
      </c>
      <c r="R420" s="162">
        <v>-0.45939999999999998</v>
      </c>
      <c r="S420" s="162">
        <v>-0.44340000000000002</v>
      </c>
      <c r="T420" s="162">
        <v>-0.42699999999999999</v>
      </c>
      <c r="U420" s="162">
        <v>-0.37109999999999999</v>
      </c>
      <c r="V420" s="162">
        <v>-0.31440000000000001</v>
      </c>
      <c r="W420" s="162">
        <v>-0.27989999999999998</v>
      </c>
      <c r="X420" s="162">
        <v>-0.19700000000000001</v>
      </c>
      <c r="Y420" s="162">
        <v>-0.1336</v>
      </c>
      <c r="Z420" s="162">
        <v>-6.8599999999999994E-2</v>
      </c>
      <c r="AA420" s="162">
        <v>-3.1600000000000003E-2</v>
      </c>
      <c r="AB420" s="162">
        <v>5.5E-2</v>
      </c>
      <c r="AC420" s="162">
        <v>0.1142</v>
      </c>
      <c r="AD420" s="162">
        <v>0.1646</v>
      </c>
      <c r="AE420" s="162">
        <v>0.18529999999999999</v>
      </c>
      <c r="AF420" s="162">
        <v>0.26350000000000001</v>
      </c>
      <c r="AG420" s="162">
        <v>0.29239999999999999</v>
      </c>
      <c r="AH420" s="162">
        <v>0.32119999999999999</v>
      </c>
      <c r="AI420" s="162">
        <v>0.35010000000000002</v>
      </c>
      <c r="AJ420" s="162">
        <v>0.37890000000000001</v>
      </c>
      <c r="AK420" s="162">
        <v>0.4078</v>
      </c>
      <c r="AL420" s="162">
        <v>0.41689999999999999</v>
      </c>
      <c r="AM420" s="162">
        <v>0.42609999999999998</v>
      </c>
      <c r="AN420" s="162">
        <v>0.43519999999999998</v>
      </c>
      <c r="AO420" s="162">
        <v>0.44440000000000002</v>
      </c>
      <c r="AP420" s="162">
        <v>0.45350000000000001</v>
      </c>
      <c r="AQ420" s="162">
        <v>0.45450000000000002</v>
      </c>
      <c r="AR420" s="162">
        <v>0.45550000000000002</v>
      </c>
      <c r="AS420" s="162">
        <v>0.45660000000000001</v>
      </c>
      <c r="AT420" s="162">
        <v>0.45760000000000001</v>
      </c>
      <c r="AU420" s="162">
        <v>0.45860000000000001</v>
      </c>
    </row>
    <row r="421" spans="1:47" ht="12.75" customHeight="1">
      <c r="A421" s="459">
        <v>43840</v>
      </c>
      <c r="B421" s="139">
        <v>2</v>
      </c>
      <c r="C421" s="162">
        <v>-0.45200000000000001</v>
      </c>
      <c r="D421" s="162">
        <v>-0.45200000000000001</v>
      </c>
      <c r="E421" s="162">
        <v>-0.44690000000000002</v>
      </c>
      <c r="F421" s="162">
        <v>-0.44669999999999999</v>
      </c>
      <c r="G421" s="162">
        <v>-0.4471</v>
      </c>
      <c r="H421" s="162">
        <v>-0.44550000000000001</v>
      </c>
      <c r="I421" s="162">
        <v>-0.44579999999999997</v>
      </c>
      <c r="J421" s="162">
        <v>-0.44569999999999999</v>
      </c>
      <c r="K421" s="162">
        <v>-0.44590000000000002</v>
      </c>
      <c r="L421" s="162">
        <v>-0.44679999999999997</v>
      </c>
      <c r="M421" s="162">
        <v>-0.44779999999999998</v>
      </c>
      <c r="N421" s="162">
        <v>-0.44800000000000001</v>
      </c>
      <c r="O421" s="162">
        <v>-0.44869999999999999</v>
      </c>
      <c r="P421" s="162">
        <v>-0.44840000000000002</v>
      </c>
      <c r="Q421" s="162">
        <v>-0.44940000000000002</v>
      </c>
      <c r="R421" s="162">
        <v>-0.44929999999999998</v>
      </c>
      <c r="S421" s="162">
        <v>-0.43830000000000002</v>
      </c>
      <c r="T421" s="162">
        <v>-0.40620000000000001</v>
      </c>
      <c r="U421" s="162">
        <v>-0.36</v>
      </c>
      <c r="V421" s="162">
        <v>-0.3165</v>
      </c>
      <c r="W421" s="162">
        <v>-0.24779999999999999</v>
      </c>
      <c r="X421" s="162">
        <v>-0.18529999999999999</v>
      </c>
      <c r="Y421" s="162">
        <v>-0.12180000000000001</v>
      </c>
      <c r="Z421" s="162">
        <v>-5.7299999999999997E-2</v>
      </c>
      <c r="AA421" s="162">
        <v>4.4999999999999997E-3</v>
      </c>
      <c r="AB421" s="162">
        <v>5.2600000000000001E-2</v>
      </c>
      <c r="AC421" s="162">
        <v>0.1134</v>
      </c>
      <c r="AD421" s="162">
        <v>0.17660000000000001</v>
      </c>
      <c r="AE421" s="162">
        <v>0.22600000000000001</v>
      </c>
      <c r="AF421" s="162">
        <v>0.26090000000000002</v>
      </c>
      <c r="AG421" s="162">
        <v>0.28960000000000002</v>
      </c>
      <c r="AH421" s="162">
        <v>0.31840000000000002</v>
      </c>
      <c r="AI421" s="162">
        <v>0.34710000000000002</v>
      </c>
      <c r="AJ421" s="162">
        <v>0.37580000000000002</v>
      </c>
      <c r="AK421" s="162">
        <v>0.40460000000000002</v>
      </c>
      <c r="AL421" s="162">
        <v>0.4138</v>
      </c>
      <c r="AM421" s="162">
        <v>0.42309999999999998</v>
      </c>
      <c r="AN421" s="162">
        <v>0.43240000000000001</v>
      </c>
      <c r="AO421" s="162">
        <v>0.44159999999999999</v>
      </c>
      <c r="AP421" s="162">
        <v>0.45090000000000002</v>
      </c>
      <c r="AQ421" s="162">
        <v>0.45129999999999998</v>
      </c>
      <c r="AR421" s="162">
        <v>0.45169999999999999</v>
      </c>
      <c r="AS421" s="162">
        <v>0.4521</v>
      </c>
      <c r="AT421" s="162">
        <v>0.45250000000000001</v>
      </c>
      <c r="AU421" s="162">
        <v>0.45290000000000002</v>
      </c>
    </row>
    <row r="422" spans="1:47" ht="12.75" customHeight="1">
      <c r="A422" s="459">
        <v>43847</v>
      </c>
      <c r="B422" s="139">
        <v>3</v>
      </c>
      <c r="C422" s="162">
        <v>-0.45350000000000001</v>
      </c>
      <c r="D422" s="162">
        <v>-0.45350000000000001</v>
      </c>
      <c r="E422" s="162">
        <v>-0.45240000000000002</v>
      </c>
      <c r="F422" s="162">
        <v>-0.4516</v>
      </c>
      <c r="G422" s="162">
        <v>-0.45219999999999999</v>
      </c>
      <c r="H422" s="162">
        <v>-0.4521</v>
      </c>
      <c r="I422" s="162">
        <v>-0.4526</v>
      </c>
      <c r="J422" s="162">
        <v>-0.45250000000000001</v>
      </c>
      <c r="K422" s="162">
        <v>-0.4536</v>
      </c>
      <c r="L422" s="162">
        <v>-0.45379999999999998</v>
      </c>
      <c r="M422" s="162">
        <v>-0.4546</v>
      </c>
      <c r="N422" s="162">
        <v>-0.4551</v>
      </c>
      <c r="O422" s="162">
        <v>-0.45629999999999998</v>
      </c>
      <c r="P422" s="162">
        <v>-0.45600000000000002</v>
      </c>
      <c r="Q422" s="162">
        <v>-0.45650000000000002</v>
      </c>
      <c r="R422" s="162">
        <v>-0.45739999999999997</v>
      </c>
      <c r="S422" s="162">
        <v>-0.44990000000000002</v>
      </c>
      <c r="T422" s="162">
        <v>-0.42280000000000001</v>
      </c>
      <c r="U422" s="162">
        <v>-0.38340000000000002</v>
      </c>
      <c r="V422" s="162">
        <v>-0.33550000000000002</v>
      </c>
      <c r="W422" s="162">
        <v>-0.27939999999999998</v>
      </c>
      <c r="X422" s="162">
        <v>-0.21890000000000001</v>
      </c>
      <c r="Y422" s="162">
        <v>-0.15540000000000001</v>
      </c>
      <c r="Z422" s="162">
        <v>-9.1499999999999998E-2</v>
      </c>
      <c r="AA422" s="162">
        <v>-2.8899999999999999E-2</v>
      </c>
      <c r="AB422" s="162">
        <v>3.2399999999999998E-2</v>
      </c>
      <c r="AC422" s="162">
        <v>8.9099999999999999E-2</v>
      </c>
      <c r="AD422" s="162">
        <v>0.14249999999999999</v>
      </c>
      <c r="AE422" s="162">
        <v>0.19189999999999999</v>
      </c>
      <c r="AF422" s="162">
        <v>0.23760000000000001</v>
      </c>
      <c r="AG422" s="162">
        <v>0.26690000000000003</v>
      </c>
      <c r="AH422" s="162">
        <v>0.29620000000000002</v>
      </c>
      <c r="AI422" s="162">
        <v>0.32550000000000001</v>
      </c>
      <c r="AJ422" s="162">
        <v>0.3548</v>
      </c>
      <c r="AK422" s="162">
        <v>0.3841</v>
      </c>
      <c r="AL422" s="162">
        <v>0.39439999999999997</v>
      </c>
      <c r="AM422" s="162">
        <v>0.40460000000000002</v>
      </c>
      <c r="AN422" s="162">
        <v>0.4148</v>
      </c>
      <c r="AO422" s="162">
        <v>0.42499999999999999</v>
      </c>
      <c r="AP422" s="162">
        <v>0.43519999999999998</v>
      </c>
      <c r="AQ422" s="162">
        <v>0.43590000000000001</v>
      </c>
      <c r="AR422" s="162">
        <v>0.43659999999999999</v>
      </c>
      <c r="AS422" s="162">
        <v>0.43730000000000002</v>
      </c>
      <c r="AT422" s="162">
        <v>0.438</v>
      </c>
      <c r="AU422" s="162">
        <v>0.43880000000000002</v>
      </c>
    </row>
    <row r="423" spans="1:47" ht="12.75" customHeight="1">
      <c r="A423" s="459">
        <v>43854</v>
      </c>
      <c r="B423" s="139">
        <v>4</v>
      </c>
      <c r="C423" s="162">
        <v>-0.45229999999999998</v>
      </c>
      <c r="D423" s="162">
        <v>-0.45229999999999998</v>
      </c>
      <c r="E423" s="162">
        <v>-0.45100000000000001</v>
      </c>
      <c r="F423" s="162">
        <v>-0.4511</v>
      </c>
      <c r="G423" s="162">
        <v>-0.45090000000000002</v>
      </c>
      <c r="H423" s="162">
        <v>-0.45090000000000002</v>
      </c>
      <c r="I423" s="162">
        <v>-0.45079999999999998</v>
      </c>
      <c r="J423" s="162">
        <v>-0.45090000000000002</v>
      </c>
      <c r="K423" s="162">
        <v>-0.45090000000000002</v>
      </c>
      <c r="L423" s="162">
        <v>-0.45090000000000002</v>
      </c>
      <c r="M423" s="162">
        <v>-0.4506</v>
      </c>
      <c r="N423" s="162">
        <v>-0.45040000000000002</v>
      </c>
      <c r="O423" s="162">
        <v>-0.45079999999999998</v>
      </c>
      <c r="P423" s="162">
        <v>-0.4506</v>
      </c>
      <c r="Q423" s="162">
        <v>-0.45050000000000001</v>
      </c>
      <c r="R423" s="162">
        <v>-0.45029999999999998</v>
      </c>
      <c r="S423" s="162">
        <v>-0.434</v>
      </c>
      <c r="T423" s="162">
        <v>-0.39979999999999999</v>
      </c>
      <c r="U423" s="162">
        <v>-0.35699999999999998</v>
      </c>
      <c r="V423" s="162">
        <v>-0.30669999999999997</v>
      </c>
      <c r="W423" s="162">
        <v>-0.25019999999999998</v>
      </c>
      <c r="X423" s="162">
        <v>-0.19070000000000001</v>
      </c>
      <c r="Y423" s="162">
        <v>-0.1275</v>
      </c>
      <c r="Z423" s="162">
        <v>-6.4000000000000001E-2</v>
      </c>
      <c r="AA423" s="162">
        <v>-8.9999999999999998E-4</v>
      </c>
      <c r="AB423" s="162">
        <v>5.8500000000000003E-2</v>
      </c>
      <c r="AC423" s="162">
        <v>0.1186</v>
      </c>
      <c r="AD423" s="162">
        <v>0.1671</v>
      </c>
      <c r="AE423" s="162">
        <v>0.21679999999999999</v>
      </c>
      <c r="AF423" s="162">
        <v>0.26840000000000003</v>
      </c>
      <c r="AG423" s="162">
        <v>0.29820000000000002</v>
      </c>
      <c r="AH423" s="162">
        <v>0.32800000000000001</v>
      </c>
      <c r="AI423" s="162">
        <v>0.35780000000000001</v>
      </c>
      <c r="AJ423" s="162">
        <v>0.3876</v>
      </c>
      <c r="AK423" s="162">
        <v>0.41739999999999999</v>
      </c>
      <c r="AL423" s="162">
        <v>0.42830000000000001</v>
      </c>
      <c r="AM423" s="162">
        <v>0.43919999999999998</v>
      </c>
      <c r="AN423" s="162">
        <v>0.45</v>
      </c>
      <c r="AO423" s="162">
        <v>0.46089999999999998</v>
      </c>
      <c r="AP423" s="162">
        <v>0.4718</v>
      </c>
      <c r="AQ423" s="162">
        <v>0.47360000000000002</v>
      </c>
      <c r="AR423" s="162">
        <v>0.47539999999999999</v>
      </c>
      <c r="AS423" s="162">
        <v>0.4773</v>
      </c>
      <c r="AT423" s="162">
        <v>0.47910000000000003</v>
      </c>
      <c r="AU423" s="162">
        <v>0.48089999999999999</v>
      </c>
    </row>
    <row r="424" spans="1:47" ht="12.75" customHeight="1">
      <c r="A424" s="459">
        <v>43861</v>
      </c>
      <c r="B424" s="139">
        <v>5</v>
      </c>
      <c r="C424" s="162">
        <v>-0.45150000000000001</v>
      </c>
      <c r="D424" s="162">
        <v>-0.45150000000000001</v>
      </c>
      <c r="E424" s="162">
        <v>-0.45100000000000001</v>
      </c>
      <c r="F424" s="162">
        <v>-0.45069999999999999</v>
      </c>
      <c r="G424" s="162">
        <v>-0.45090000000000002</v>
      </c>
      <c r="H424" s="162">
        <v>-0.45040000000000002</v>
      </c>
      <c r="I424" s="162">
        <v>-0.4501</v>
      </c>
      <c r="J424" s="162">
        <v>-0.4501</v>
      </c>
      <c r="K424" s="162">
        <v>-0.44979999999999998</v>
      </c>
      <c r="L424" s="162">
        <v>-0.44969999999999999</v>
      </c>
      <c r="M424" s="162">
        <v>-0.4501</v>
      </c>
      <c r="N424" s="162">
        <v>-0.4501</v>
      </c>
      <c r="O424" s="162">
        <v>-0.4501</v>
      </c>
      <c r="P424" s="162">
        <v>-0.45050000000000001</v>
      </c>
      <c r="Q424" s="162">
        <v>-0.45040000000000002</v>
      </c>
      <c r="R424" s="162">
        <v>-0.45</v>
      </c>
      <c r="S424" s="162">
        <v>-0.43909999999999999</v>
      </c>
      <c r="T424" s="162">
        <v>-0.41720000000000002</v>
      </c>
      <c r="U424" s="162">
        <v>-0.3861</v>
      </c>
      <c r="V424" s="162">
        <v>-0.34499999999999997</v>
      </c>
      <c r="W424" s="162">
        <v>-0.2959</v>
      </c>
      <c r="X424" s="162">
        <v>-0.2419</v>
      </c>
      <c r="Y424" s="162">
        <v>-0.1842</v>
      </c>
      <c r="Z424" s="162">
        <v>-0.1246</v>
      </c>
      <c r="AA424" s="162">
        <v>-6.5500000000000003E-2</v>
      </c>
      <c r="AB424" s="162">
        <v>-8.3999999999999995E-3</v>
      </c>
      <c r="AC424" s="162">
        <v>4.8300000000000003E-2</v>
      </c>
      <c r="AD424" s="162">
        <v>0.1031</v>
      </c>
      <c r="AE424" s="162">
        <v>0.1517</v>
      </c>
      <c r="AF424" s="162">
        <v>0.19600000000000001</v>
      </c>
      <c r="AG424" s="162">
        <v>0.22550000000000001</v>
      </c>
      <c r="AH424" s="162">
        <v>0.255</v>
      </c>
      <c r="AI424" s="162">
        <v>0.28449999999999998</v>
      </c>
      <c r="AJ424" s="162">
        <v>0.314</v>
      </c>
      <c r="AK424" s="162">
        <v>0.34350000000000003</v>
      </c>
      <c r="AL424" s="162">
        <v>0.35420000000000001</v>
      </c>
      <c r="AM424" s="162">
        <v>0.3649</v>
      </c>
      <c r="AN424" s="162">
        <v>0.37559999999999999</v>
      </c>
      <c r="AO424" s="162">
        <v>0.38629999999999998</v>
      </c>
      <c r="AP424" s="162">
        <v>0.39700000000000002</v>
      </c>
      <c r="AQ424" s="162">
        <v>0.3987</v>
      </c>
      <c r="AR424" s="162">
        <v>0.40039999999999998</v>
      </c>
      <c r="AS424" s="162">
        <v>0.40200000000000002</v>
      </c>
      <c r="AT424" s="162">
        <v>0.4037</v>
      </c>
      <c r="AU424" s="162">
        <v>0.40539999999999998</v>
      </c>
    </row>
    <row r="425" spans="1:47" ht="12.75" customHeight="1">
      <c r="A425" s="459">
        <v>43868</v>
      </c>
      <c r="B425" s="139">
        <v>6</v>
      </c>
      <c r="C425" s="162">
        <v>-0.45329999999999998</v>
      </c>
      <c r="D425" s="162">
        <v>-0.45329999999999998</v>
      </c>
      <c r="E425" s="162">
        <v>-0.4506</v>
      </c>
      <c r="F425" s="162">
        <v>-0.45090000000000002</v>
      </c>
      <c r="G425" s="162">
        <v>-0.45100000000000001</v>
      </c>
      <c r="H425" s="162">
        <v>-0.45350000000000001</v>
      </c>
      <c r="I425" s="162">
        <v>-0.45500000000000002</v>
      </c>
      <c r="J425" s="162">
        <v>-0.45650000000000002</v>
      </c>
      <c r="K425" s="162">
        <v>-0.45989999999999998</v>
      </c>
      <c r="L425" s="162">
        <v>-0.46189999999999998</v>
      </c>
      <c r="M425" s="162">
        <v>-0.46489999999999998</v>
      </c>
      <c r="N425" s="162">
        <v>-0.46639999999999998</v>
      </c>
      <c r="O425" s="162">
        <v>-0.46960000000000002</v>
      </c>
      <c r="P425" s="162">
        <v>-0.47099999999999997</v>
      </c>
      <c r="Q425" s="162">
        <v>-0.47310000000000002</v>
      </c>
      <c r="R425" s="162">
        <v>-0.4748</v>
      </c>
      <c r="S425" s="162">
        <v>-0.48020000000000002</v>
      </c>
      <c r="T425" s="162">
        <v>-0.46929999999999999</v>
      </c>
      <c r="U425" s="162">
        <v>-0.45140000000000002</v>
      </c>
      <c r="V425" s="162">
        <v>-0.42280000000000001</v>
      </c>
      <c r="W425" s="162">
        <v>-0.38400000000000001</v>
      </c>
      <c r="X425" s="162">
        <v>-0.33729999999999999</v>
      </c>
      <c r="Y425" s="162">
        <v>-0.28520000000000001</v>
      </c>
      <c r="Z425" s="162">
        <v>-0.23050000000000001</v>
      </c>
      <c r="AA425" s="162">
        <v>-0.17560000000000001</v>
      </c>
      <c r="AB425" s="162">
        <v>-0.1207</v>
      </c>
      <c r="AC425" s="162">
        <v>-6.5199999999999994E-2</v>
      </c>
      <c r="AD425" s="162">
        <v>-1.7399999999999999E-2</v>
      </c>
      <c r="AE425" s="162">
        <v>2.92E-2</v>
      </c>
      <c r="AF425" s="162">
        <v>7.5600000000000001E-2</v>
      </c>
      <c r="AG425" s="162">
        <v>0.1038</v>
      </c>
      <c r="AH425" s="162">
        <v>0.13200000000000001</v>
      </c>
      <c r="AI425" s="162">
        <v>0.16009999999999999</v>
      </c>
      <c r="AJ425" s="162">
        <v>0.1883</v>
      </c>
      <c r="AK425" s="162">
        <v>0.21640000000000001</v>
      </c>
      <c r="AL425" s="162">
        <v>0.2268</v>
      </c>
      <c r="AM425" s="162">
        <v>0.23719999999999999</v>
      </c>
      <c r="AN425" s="162">
        <v>0.24759999999999999</v>
      </c>
      <c r="AO425" s="162">
        <v>0.25800000000000001</v>
      </c>
      <c r="AP425" s="162">
        <v>0.26840000000000003</v>
      </c>
      <c r="AQ425" s="162">
        <v>0.26929999999999998</v>
      </c>
      <c r="AR425" s="162">
        <v>0.27010000000000001</v>
      </c>
      <c r="AS425" s="162">
        <v>0.27100000000000002</v>
      </c>
      <c r="AT425" s="162">
        <v>0.27179999999999999</v>
      </c>
      <c r="AU425" s="162">
        <v>0.2727</v>
      </c>
    </row>
    <row r="426" spans="1:47" ht="12.75" customHeight="1">
      <c r="A426" s="459">
        <v>43875</v>
      </c>
      <c r="B426" s="139">
        <v>7</v>
      </c>
      <c r="C426" s="162">
        <v>-0.45100000000000001</v>
      </c>
      <c r="D426" s="162">
        <v>-0.45100000000000001</v>
      </c>
      <c r="E426" s="162">
        <v>-0.45150000000000001</v>
      </c>
      <c r="F426" s="162">
        <v>-0.45129999999999998</v>
      </c>
      <c r="G426" s="162">
        <v>-0.45140000000000002</v>
      </c>
      <c r="H426" s="162">
        <v>-0.45440000000000003</v>
      </c>
      <c r="I426" s="162">
        <v>-0.45629999999999998</v>
      </c>
      <c r="J426" s="162">
        <v>-0.45750000000000002</v>
      </c>
      <c r="K426" s="162">
        <v>-0.46189999999999998</v>
      </c>
      <c r="L426" s="162">
        <v>-0.46489999999999998</v>
      </c>
      <c r="M426" s="162">
        <v>-0.46760000000000002</v>
      </c>
      <c r="N426" s="162">
        <v>-0.47020000000000001</v>
      </c>
      <c r="O426" s="162">
        <v>-0.47320000000000001</v>
      </c>
      <c r="P426" s="162">
        <v>-0.47549999999999998</v>
      </c>
      <c r="Q426" s="162">
        <v>-0.47760000000000002</v>
      </c>
      <c r="R426" s="162">
        <v>-0.47960000000000003</v>
      </c>
      <c r="S426" s="162">
        <v>-0.48780000000000001</v>
      </c>
      <c r="T426" s="162">
        <v>-0.47770000000000001</v>
      </c>
      <c r="U426" s="162">
        <v>-0.45500000000000002</v>
      </c>
      <c r="V426" s="162">
        <v>-0.4234</v>
      </c>
      <c r="W426" s="162">
        <v>-0.38290000000000002</v>
      </c>
      <c r="X426" s="162">
        <v>-0.33729999999999999</v>
      </c>
      <c r="Y426" s="162">
        <v>-0.2863</v>
      </c>
      <c r="Z426" s="162">
        <v>-0.2306</v>
      </c>
      <c r="AA426" s="162">
        <v>-0.17499999999999999</v>
      </c>
      <c r="AB426" s="162">
        <v>-0.12</v>
      </c>
      <c r="AC426" s="162">
        <v>-6.5600000000000006E-2</v>
      </c>
      <c r="AD426" s="162">
        <v>-1.6799999999999999E-2</v>
      </c>
      <c r="AE426" s="162">
        <v>3.04E-2</v>
      </c>
      <c r="AF426" s="162">
        <v>7.5899999999999995E-2</v>
      </c>
      <c r="AG426" s="162">
        <v>0.1042</v>
      </c>
      <c r="AH426" s="162">
        <v>0.13239999999999999</v>
      </c>
      <c r="AI426" s="162">
        <v>0.16070000000000001</v>
      </c>
      <c r="AJ426" s="162">
        <v>0.189</v>
      </c>
      <c r="AK426" s="162">
        <v>0.21729999999999999</v>
      </c>
      <c r="AL426" s="162">
        <v>0.22700000000000001</v>
      </c>
      <c r="AM426" s="162">
        <v>0.23669999999999999</v>
      </c>
      <c r="AN426" s="162">
        <v>0.24629999999999999</v>
      </c>
      <c r="AO426" s="162">
        <v>0.25600000000000001</v>
      </c>
      <c r="AP426" s="162">
        <v>0.26569999999999999</v>
      </c>
      <c r="AQ426" s="162">
        <v>0.26679999999999998</v>
      </c>
      <c r="AR426" s="162">
        <v>0.26779999999999998</v>
      </c>
      <c r="AS426" s="162">
        <v>0.26889999999999997</v>
      </c>
      <c r="AT426" s="162">
        <v>0.27</v>
      </c>
      <c r="AU426" s="162">
        <v>0.27110000000000001</v>
      </c>
    </row>
    <row r="427" spans="1:47" ht="12.75" customHeight="1">
      <c r="A427" s="459">
        <v>43882</v>
      </c>
      <c r="B427" s="139">
        <v>8</v>
      </c>
      <c r="C427" s="162">
        <v>-0.45479999999999998</v>
      </c>
      <c r="D427" s="162">
        <v>-0.45479999999999998</v>
      </c>
      <c r="E427" s="162">
        <v>-0.45200000000000001</v>
      </c>
      <c r="F427" s="162">
        <v>-0.45140000000000002</v>
      </c>
      <c r="G427" s="162">
        <v>-0.45190000000000002</v>
      </c>
      <c r="H427" s="162">
        <v>-0.45529999999999998</v>
      </c>
      <c r="I427" s="162">
        <v>-0.45779999999999998</v>
      </c>
      <c r="J427" s="162">
        <v>-0.46089999999999998</v>
      </c>
      <c r="K427" s="162">
        <v>-0.46529999999999999</v>
      </c>
      <c r="L427" s="162">
        <v>-0.46839999999999998</v>
      </c>
      <c r="M427" s="162">
        <v>-0.47160000000000002</v>
      </c>
      <c r="N427" s="162">
        <v>-0.4753</v>
      </c>
      <c r="O427" s="162">
        <v>-0.4788</v>
      </c>
      <c r="P427" s="162">
        <v>-0.48149999999999998</v>
      </c>
      <c r="Q427" s="162">
        <v>-0.48370000000000002</v>
      </c>
      <c r="R427" s="162">
        <v>-0.48620000000000002</v>
      </c>
      <c r="S427" s="162">
        <v>-0.49430000000000002</v>
      </c>
      <c r="T427" s="162">
        <v>-0.48530000000000001</v>
      </c>
      <c r="U427" s="162">
        <v>-0.4637</v>
      </c>
      <c r="V427" s="162">
        <v>-0.43390000000000001</v>
      </c>
      <c r="W427" s="162">
        <v>-0.39439999999999997</v>
      </c>
      <c r="X427" s="162">
        <v>-0.34970000000000001</v>
      </c>
      <c r="Y427" s="162">
        <v>-0.30020000000000002</v>
      </c>
      <c r="Z427" s="162">
        <v>-0.2475</v>
      </c>
      <c r="AA427" s="162">
        <v>-0.19339999999999999</v>
      </c>
      <c r="AB427" s="162">
        <v>-0.13919999999999999</v>
      </c>
      <c r="AC427" s="162">
        <v>-8.5400000000000004E-2</v>
      </c>
      <c r="AD427" s="162">
        <v>-3.3599999999999998E-2</v>
      </c>
      <c r="AE427" s="162">
        <v>1.34E-2</v>
      </c>
      <c r="AF427" s="162">
        <v>5.6000000000000001E-2</v>
      </c>
      <c r="AG427" s="162">
        <v>8.43E-2</v>
      </c>
      <c r="AH427" s="162">
        <v>0.1125</v>
      </c>
      <c r="AI427" s="162">
        <v>0.14080000000000001</v>
      </c>
      <c r="AJ427" s="162">
        <v>0.16900000000000001</v>
      </c>
      <c r="AK427" s="162">
        <v>0.1973</v>
      </c>
      <c r="AL427" s="162">
        <v>0.20699999999999999</v>
      </c>
      <c r="AM427" s="162">
        <v>0.2167</v>
      </c>
      <c r="AN427" s="162">
        <v>0.22639999999999999</v>
      </c>
      <c r="AO427" s="162">
        <v>0.2361</v>
      </c>
      <c r="AP427" s="162">
        <v>0.24579999999999999</v>
      </c>
      <c r="AQ427" s="162">
        <v>0.24629999999999999</v>
      </c>
      <c r="AR427" s="162">
        <v>0.24679999999999999</v>
      </c>
      <c r="AS427" s="162">
        <v>0.24729999999999999</v>
      </c>
      <c r="AT427" s="162">
        <v>0.24779999999999999</v>
      </c>
      <c r="AU427" s="162">
        <v>0.24829999999999999</v>
      </c>
    </row>
    <row r="428" spans="1:47" ht="12.75" customHeight="1">
      <c r="A428" s="459">
        <v>43889</v>
      </c>
      <c r="B428" s="139">
        <v>9</v>
      </c>
      <c r="C428" s="162">
        <v>-0.45329999999999998</v>
      </c>
      <c r="D428" s="162">
        <v>-0.45329999999999998</v>
      </c>
      <c r="E428" s="162">
        <v>-0.4516</v>
      </c>
      <c r="F428" s="162">
        <v>-0.45129999999999998</v>
      </c>
      <c r="G428" s="162">
        <v>-0.45229999999999998</v>
      </c>
      <c r="H428" s="162">
        <v>-0.45390000000000003</v>
      </c>
      <c r="I428" s="162">
        <v>-0.45610000000000001</v>
      </c>
      <c r="J428" s="162">
        <v>-0.46039999999999998</v>
      </c>
      <c r="K428" s="162">
        <v>-0.46479999999999999</v>
      </c>
      <c r="L428" s="162">
        <v>-0.46860000000000002</v>
      </c>
      <c r="M428" s="162">
        <v>-0.47199999999999998</v>
      </c>
      <c r="N428" s="162">
        <v>-0.47639999999999999</v>
      </c>
      <c r="O428" s="162">
        <v>-0.48020000000000002</v>
      </c>
      <c r="P428" s="162">
        <v>-0.4829</v>
      </c>
      <c r="Q428" s="162">
        <v>-0.48609999999999998</v>
      </c>
      <c r="R428" s="162">
        <v>-0.48880000000000001</v>
      </c>
      <c r="S428" s="162">
        <v>-0.50270000000000004</v>
      </c>
      <c r="T428" s="162">
        <v>-0.49809999999999999</v>
      </c>
      <c r="U428" s="162">
        <v>-0.48180000000000001</v>
      </c>
      <c r="V428" s="162">
        <v>-0.45629999999999998</v>
      </c>
      <c r="W428" s="162">
        <v>-0.42149999999999999</v>
      </c>
      <c r="X428" s="162">
        <v>-0.38109999999999999</v>
      </c>
      <c r="Y428" s="162">
        <v>-0.33510000000000001</v>
      </c>
      <c r="Z428" s="162">
        <v>-0.2858</v>
      </c>
      <c r="AA428" s="162">
        <v>-0.23530000000000001</v>
      </c>
      <c r="AB428" s="162">
        <v>-0.1845</v>
      </c>
      <c r="AC428" s="162">
        <v>-0.13619999999999999</v>
      </c>
      <c r="AD428" s="162">
        <v>-8.6199999999999999E-2</v>
      </c>
      <c r="AE428" s="162">
        <v>-4.2000000000000003E-2</v>
      </c>
      <c r="AF428" s="162">
        <v>-2.3E-3</v>
      </c>
      <c r="AG428" s="162">
        <v>2.46E-2</v>
      </c>
      <c r="AH428" s="162">
        <v>5.16E-2</v>
      </c>
      <c r="AI428" s="162">
        <v>7.85E-2</v>
      </c>
      <c r="AJ428" s="162">
        <v>0.1055</v>
      </c>
      <c r="AK428" s="162">
        <v>0.13239999999999999</v>
      </c>
      <c r="AL428" s="162">
        <v>0.14099999999999999</v>
      </c>
      <c r="AM428" s="162">
        <v>0.14949999999999999</v>
      </c>
      <c r="AN428" s="162">
        <v>0.15809999999999999</v>
      </c>
      <c r="AO428" s="162">
        <v>0.1666</v>
      </c>
      <c r="AP428" s="162">
        <v>0.17519999999999999</v>
      </c>
      <c r="AQ428" s="162">
        <v>0.17480000000000001</v>
      </c>
      <c r="AR428" s="162">
        <v>0.1744</v>
      </c>
      <c r="AS428" s="162">
        <v>0.17399999999999999</v>
      </c>
      <c r="AT428" s="162">
        <v>0.1736</v>
      </c>
      <c r="AU428" s="162">
        <v>0.17319999999999999</v>
      </c>
    </row>
    <row r="429" spans="1:47" ht="12.75" customHeight="1">
      <c r="A429" s="459">
        <v>43896</v>
      </c>
      <c r="B429" s="139">
        <v>10</v>
      </c>
      <c r="C429" s="162">
        <v>-0.45400000000000001</v>
      </c>
      <c r="D429" s="162">
        <v>-0.45400000000000001</v>
      </c>
      <c r="E429" s="162">
        <v>-0.45269999999999999</v>
      </c>
      <c r="F429" s="162">
        <v>-0.45219999999999999</v>
      </c>
      <c r="G429" s="162">
        <v>-0.46150000000000002</v>
      </c>
      <c r="H429" s="162">
        <v>-0.46920000000000001</v>
      </c>
      <c r="I429" s="162">
        <v>-0.47739999999999999</v>
      </c>
      <c r="J429" s="162">
        <v>-0.48699999999999999</v>
      </c>
      <c r="K429" s="162">
        <v>-0.49399999999999999</v>
      </c>
      <c r="L429" s="162">
        <v>-0.49880000000000002</v>
      </c>
      <c r="M429" s="162">
        <v>-0.50449999999999995</v>
      </c>
      <c r="N429" s="162">
        <v>-0.50980000000000003</v>
      </c>
      <c r="O429" s="162">
        <v>-0.51400000000000001</v>
      </c>
      <c r="P429" s="162">
        <v>-0.51819999999999999</v>
      </c>
      <c r="Q429" s="162">
        <v>-0.52070000000000005</v>
      </c>
      <c r="R429" s="162">
        <v>-0.5242</v>
      </c>
      <c r="S429" s="162">
        <v>-0.54349999999999998</v>
      </c>
      <c r="T429" s="162">
        <v>-0.5403</v>
      </c>
      <c r="U429" s="162">
        <v>-0.5292</v>
      </c>
      <c r="V429" s="162">
        <v>-0.50690000000000002</v>
      </c>
      <c r="W429" s="162">
        <v>-0.47770000000000001</v>
      </c>
      <c r="X429" s="162">
        <v>-0.441</v>
      </c>
      <c r="Y429" s="162">
        <v>-0.39979999999999999</v>
      </c>
      <c r="Z429" s="162">
        <v>-0.35499999999999998</v>
      </c>
      <c r="AA429" s="162">
        <v>-0.30790000000000001</v>
      </c>
      <c r="AB429" s="162">
        <v>-0.26040000000000002</v>
      </c>
      <c r="AC429" s="162">
        <v>-0.21560000000000001</v>
      </c>
      <c r="AD429" s="162">
        <v>-0.1696</v>
      </c>
      <c r="AE429" s="162">
        <v>-0.1285</v>
      </c>
      <c r="AF429" s="162">
        <v>-9.2700000000000005E-2</v>
      </c>
      <c r="AG429" s="162">
        <v>-6.8099999999999994E-2</v>
      </c>
      <c r="AH429" s="162">
        <v>-4.3499999999999997E-2</v>
      </c>
      <c r="AI429" s="162">
        <v>-1.9E-2</v>
      </c>
      <c r="AJ429" s="162">
        <v>5.5999999999999999E-3</v>
      </c>
      <c r="AK429" s="162">
        <v>3.0200000000000001E-2</v>
      </c>
      <c r="AL429" s="162">
        <v>3.7900000000000003E-2</v>
      </c>
      <c r="AM429" s="162">
        <v>4.5499999999999999E-2</v>
      </c>
      <c r="AN429" s="162">
        <v>5.3199999999999997E-2</v>
      </c>
      <c r="AO429" s="162">
        <v>6.0900000000000003E-2</v>
      </c>
      <c r="AP429" s="162">
        <v>6.8599999999999994E-2</v>
      </c>
      <c r="AQ429" s="162">
        <v>6.7900000000000002E-2</v>
      </c>
      <c r="AR429" s="162">
        <v>6.7299999999999999E-2</v>
      </c>
      <c r="AS429" s="162">
        <v>6.6699999999999995E-2</v>
      </c>
      <c r="AT429" s="162">
        <v>6.6000000000000003E-2</v>
      </c>
      <c r="AU429" s="162">
        <v>6.54E-2</v>
      </c>
    </row>
    <row r="430" spans="1:47" ht="12.75" customHeight="1">
      <c r="A430" s="459">
        <v>43903</v>
      </c>
      <c r="B430" s="139">
        <v>11</v>
      </c>
      <c r="C430" s="162">
        <v>-0.45629999999999998</v>
      </c>
      <c r="D430" s="162">
        <v>-0.45629999999999998</v>
      </c>
      <c r="E430" s="162">
        <v>-0.47049999999999997</v>
      </c>
      <c r="F430" s="162">
        <v>-0.48449999999999999</v>
      </c>
      <c r="G430" s="162">
        <v>-0.51539999999999997</v>
      </c>
      <c r="H430" s="162">
        <v>-0.52649999999999997</v>
      </c>
      <c r="I430" s="162">
        <v>-0.54259999999999997</v>
      </c>
      <c r="J430" s="162">
        <v>-0.55669999999999997</v>
      </c>
      <c r="K430" s="162">
        <v>-0.56679999999999997</v>
      </c>
      <c r="L430" s="162">
        <v>-0.5766</v>
      </c>
      <c r="M430" s="162">
        <v>-0.58520000000000005</v>
      </c>
      <c r="N430" s="162">
        <v>-0.59179999999999999</v>
      </c>
      <c r="O430" s="162">
        <v>-0.5978</v>
      </c>
      <c r="P430" s="162">
        <v>-0.60340000000000005</v>
      </c>
      <c r="Q430" s="162">
        <v>-0.60850000000000004</v>
      </c>
      <c r="R430" s="162">
        <v>-0.61119999999999997</v>
      </c>
      <c r="S430" s="162">
        <v>-0.63019999999999998</v>
      </c>
      <c r="T430" s="162">
        <v>-0.63380000000000003</v>
      </c>
      <c r="U430" s="162">
        <v>-0.62029999999999996</v>
      </c>
      <c r="V430" s="162">
        <v>-0.59960000000000002</v>
      </c>
      <c r="W430" s="162">
        <v>-0.56850000000000001</v>
      </c>
      <c r="X430" s="162">
        <v>-0.53169999999999995</v>
      </c>
      <c r="Y430" s="162">
        <v>-0.49070000000000003</v>
      </c>
      <c r="Z430" s="162">
        <v>-0.44769999999999999</v>
      </c>
      <c r="AA430" s="162">
        <v>-0.40310000000000001</v>
      </c>
      <c r="AB430" s="162">
        <v>-0.35859999999999997</v>
      </c>
      <c r="AC430" s="162">
        <v>-0.31640000000000001</v>
      </c>
      <c r="AD430" s="162">
        <v>-0.26679999999999998</v>
      </c>
      <c r="AE430" s="162">
        <v>-0.23080000000000001</v>
      </c>
      <c r="AF430" s="162">
        <v>-0.19769999999999999</v>
      </c>
      <c r="AG430" s="162">
        <v>-0.17430000000000001</v>
      </c>
      <c r="AH430" s="162">
        <v>-0.15090000000000001</v>
      </c>
      <c r="AI430" s="162">
        <v>-0.12740000000000001</v>
      </c>
      <c r="AJ430" s="162">
        <v>-0.104</v>
      </c>
      <c r="AK430" s="162">
        <v>-8.0500000000000002E-2</v>
      </c>
      <c r="AL430" s="162">
        <v>-7.3499999999999996E-2</v>
      </c>
      <c r="AM430" s="162">
        <v>-6.6500000000000004E-2</v>
      </c>
      <c r="AN430" s="162">
        <v>-5.9499999999999997E-2</v>
      </c>
      <c r="AO430" s="162">
        <v>-5.2499999999999998E-2</v>
      </c>
      <c r="AP430" s="162">
        <v>-4.5400000000000003E-2</v>
      </c>
      <c r="AQ430" s="162">
        <v>-4.7500000000000001E-2</v>
      </c>
      <c r="AR430" s="162">
        <v>-4.9599999999999998E-2</v>
      </c>
      <c r="AS430" s="162">
        <v>-5.1799999999999999E-2</v>
      </c>
      <c r="AT430" s="162">
        <v>-5.3900000000000003E-2</v>
      </c>
      <c r="AU430" s="162">
        <v>-5.6000000000000001E-2</v>
      </c>
    </row>
    <row r="431" spans="1:47" ht="12.75" customHeight="1">
      <c r="A431" s="459">
        <v>43910</v>
      </c>
      <c r="B431" s="139">
        <v>12</v>
      </c>
      <c r="C431" s="162">
        <v>-0.45579999999999998</v>
      </c>
      <c r="D431" s="162">
        <v>-0.45579999999999998</v>
      </c>
      <c r="E431" s="162">
        <v>-0.4854</v>
      </c>
      <c r="F431" s="162">
        <v>-0.50890000000000002</v>
      </c>
      <c r="G431" s="162">
        <v>-0.52359999999999995</v>
      </c>
      <c r="H431" s="162">
        <v>-0.53759999999999997</v>
      </c>
      <c r="I431" s="162">
        <v>-0.5534</v>
      </c>
      <c r="J431" s="162">
        <v>-0.56699999999999995</v>
      </c>
      <c r="K431" s="162">
        <v>-0.57679999999999998</v>
      </c>
      <c r="L431" s="162">
        <v>-0.58479999999999999</v>
      </c>
      <c r="M431" s="162">
        <v>-0.59630000000000005</v>
      </c>
      <c r="N431" s="162">
        <v>-0.6048</v>
      </c>
      <c r="O431" s="162">
        <v>-0.61109999999999998</v>
      </c>
      <c r="P431" s="162">
        <v>-0.61850000000000005</v>
      </c>
      <c r="Q431" s="162">
        <v>-0.62439999999999996</v>
      </c>
      <c r="R431" s="162">
        <v>-0.62529999999999997</v>
      </c>
      <c r="S431" s="162">
        <v>-0.6472</v>
      </c>
      <c r="T431" s="162">
        <v>-0.64090000000000003</v>
      </c>
      <c r="U431" s="162">
        <v>-0.61319999999999997</v>
      </c>
      <c r="V431" s="162">
        <v>-0.58860000000000001</v>
      </c>
      <c r="W431" s="162">
        <v>-0.54900000000000004</v>
      </c>
      <c r="X431" s="162">
        <v>-0.51359999999999995</v>
      </c>
      <c r="Y431" s="162">
        <v>-0.4819</v>
      </c>
      <c r="Z431" s="162">
        <v>-0.4496</v>
      </c>
      <c r="AA431" s="162">
        <v>-0.41460000000000002</v>
      </c>
      <c r="AB431" s="162">
        <v>-0.38540000000000002</v>
      </c>
      <c r="AC431" s="162">
        <v>-0.35909999999999997</v>
      </c>
      <c r="AD431" s="162">
        <v>-0.31850000000000001</v>
      </c>
      <c r="AE431" s="162">
        <v>-0.29420000000000002</v>
      </c>
      <c r="AF431" s="162">
        <v>-0.28170000000000001</v>
      </c>
      <c r="AG431" s="162">
        <v>-0.27410000000000001</v>
      </c>
      <c r="AH431" s="162">
        <v>-0.26650000000000001</v>
      </c>
      <c r="AI431" s="162">
        <v>-0.25879999999999997</v>
      </c>
      <c r="AJ431" s="162">
        <v>-0.25119999999999998</v>
      </c>
      <c r="AK431" s="162">
        <v>-0.24360000000000001</v>
      </c>
      <c r="AL431" s="162">
        <v>-0.2492</v>
      </c>
      <c r="AM431" s="162">
        <v>-0.25480000000000003</v>
      </c>
      <c r="AN431" s="162">
        <v>-0.26050000000000001</v>
      </c>
      <c r="AO431" s="162">
        <v>-0.2661</v>
      </c>
      <c r="AP431" s="162">
        <v>-0.2717</v>
      </c>
      <c r="AQ431" s="162">
        <v>-0.28220000000000001</v>
      </c>
      <c r="AR431" s="162">
        <v>-0.29270000000000002</v>
      </c>
      <c r="AS431" s="162">
        <v>-0.30320000000000003</v>
      </c>
      <c r="AT431" s="162">
        <v>-0.31369999999999998</v>
      </c>
      <c r="AU431" s="162">
        <v>-0.32419999999999999</v>
      </c>
    </row>
    <row r="432" spans="1:47" ht="12.75" customHeight="1">
      <c r="A432" s="459">
        <v>43917</v>
      </c>
      <c r="B432" s="139">
        <v>13</v>
      </c>
      <c r="C432" s="162">
        <v>-0.44550000000000001</v>
      </c>
      <c r="D432" s="162">
        <v>-0.44550000000000001</v>
      </c>
      <c r="E432" s="162">
        <v>-0.48380000000000001</v>
      </c>
      <c r="F432" s="162">
        <v>-0.48159999999999997</v>
      </c>
      <c r="G432" s="162">
        <v>-0.4824</v>
      </c>
      <c r="H432" s="162">
        <v>-0.4919</v>
      </c>
      <c r="I432" s="162">
        <v>-0.50819999999999999</v>
      </c>
      <c r="J432" s="162">
        <v>-0.51839999999999997</v>
      </c>
      <c r="K432" s="162">
        <v>-0.52439999999999998</v>
      </c>
      <c r="L432" s="162">
        <v>-0.52849999999999997</v>
      </c>
      <c r="M432" s="162">
        <v>-0.53659999999999997</v>
      </c>
      <c r="N432" s="162">
        <v>-0.53710000000000002</v>
      </c>
      <c r="O432" s="162">
        <v>-0.54190000000000005</v>
      </c>
      <c r="P432" s="162">
        <v>-0.54449999999999998</v>
      </c>
      <c r="Q432" s="162">
        <v>-0.54610000000000003</v>
      </c>
      <c r="R432" s="162">
        <v>-0.54679999999999995</v>
      </c>
      <c r="S432" s="162">
        <v>-0.53180000000000005</v>
      </c>
      <c r="T432" s="162">
        <v>-0.4894</v>
      </c>
      <c r="U432" s="162">
        <v>-0.44140000000000001</v>
      </c>
      <c r="V432" s="162">
        <v>-0.37930000000000003</v>
      </c>
      <c r="W432" s="162">
        <v>-0.32269999999999999</v>
      </c>
      <c r="X432" s="162">
        <v>-0.27029999999999998</v>
      </c>
      <c r="Y432" s="162">
        <v>-0.22700000000000001</v>
      </c>
      <c r="Z432" s="162">
        <v>-0.18440000000000001</v>
      </c>
      <c r="AA432" s="162">
        <v>-0.1512</v>
      </c>
      <c r="AB432" s="162">
        <v>-0.1164</v>
      </c>
      <c r="AC432" s="162">
        <v>-8.5900000000000004E-2</v>
      </c>
      <c r="AD432" s="162">
        <v>-6.1600000000000002E-2</v>
      </c>
      <c r="AE432" s="162">
        <v>-4.1200000000000001E-2</v>
      </c>
      <c r="AF432" s="162">
        <v>-1.7000000000000001E-2</v>
      </c>
      <c r="AG432" s="162">
        <v>-1.11E-2</v>
      </c>
      <c r="AH432" s="162">
        <v>-5.1999999999999998E-3</v>
      </c>
      <c r="AI432" s="162">
        <v>8.0000000000000004E-4</v>
      </c>
      <c r="AJ432" s="162">
        <v>6.7000000000000002E-3</v>
      </c>
      <c r="AK432" s="162">
        <v>1.26E-2</v>
      </c>
      <c r="AL432" s="162">
        <v>1.6999999999999999E-3</v>
      </c>
      <c r="AM432" s="162">
        <v>-9.2999999999999992E-3</v>
      </c>
      <c r="AN432" s="162">
        <v>-2.0199999999999999E-2</v>
      </c>
      <c r="AO432" s="162">
        <v>-3.1199999999999999E-2</v>
      </c>
      <c r="AP432" s="162">
        <v>-4.2099999999999999E-2</v>
      </c>
      <c r="AQ432" s="162">
        <v>-5.7799999999999997E-2</v>
      </c>
      <c r="AR432" s="162">
        <v>-7.3499999999999996E-2</v>
      </c>
      <c r="AS432" s="162">
        <v>-8.9200000000000002E-2</v>
      </c>
      <c r="AT432" s="162">
        <v>-0.10489999999999999</v>
      </c>
      <c r="AU432" s="162">
        <v>-0.1206</v>
      </c>
    </row>
    <row r="433" spans="1:47" ht="12.75" customHeight="1">
      <c r="A433" s="459">
        <v>43924</v>
      </c>
      <c r="B433" s="139">
        <v>14</v>
      </c>
      <c r="C433" s="162">
        <v>-0.442</v>
      </c>
      <c r="D433" s="162">
        <v>-0.442</v>
      </c>
      <c r="E433" s="162">
        <v>-0.46500000000000002</v>
      </c>
      <c r="F433" s="162">
        <v>-0.46460000000000001</v>
      </c>
      <c r="G433" s="162">
        <v>-0.46560000000000001</v>
      </c>
      <c r="H433" s="162">
        <v>-0.47510000000000002</v>
      </c>
      <c r="I433" s="162">
        <v>-0.48630000000000001</v>
      </c>
      <c r="J433" s="162">
        <v>-0.4929</v>
      </c>
      <c r="K433" s="162">
        <v>-0.496</v>
      </c>
      <c r="L433" s="162">
        <v>-0.50039999999999996</v>
      </c>
      <c r="M433" s="162">
        <v>-0.50419999999999998</v>
      </c>
      <c r="N433" s="162">
        <v>-0.5071</v>
      </c>
      <c r="O433" s="162">
        <v>-0.50990000000000002</v>
      </c>
      <c r="P433" s="162">
        <v>-0.5111</v>
      </c>
      <c r="Q433" s="162">
        <v>-0.51170000000000004</v>
      </c>
      <c r="R433" s="162">
        <v>-0.51200000000000001</v>
      </c>
      <c r="S433" s="162">
        <v>-0.50009999999999999</v>
      </c>
      <c r="T433" s="162">
        <v>-0.4698</v>
      </c>
      <c r="U433" s="162">
        <v>-0.43290000000000001</v>
      </c>
      <c r="V433" s="162">
        <v>-0.38690000000000002</v>
      </c>
      <c r="W433" s="162">
        <v>-0.33579999999999999</v>
      </c>
      <c r="X433" s="162">
        <v>-0.28160000000000002</v>
      </c>
      <c r="Y433" s="162">
        <v>-0.23419999999999999</v>
      </c>
      <c r="Z433" s="162">
        <v>-0.192</v>
      </c>
      <c r="AA433" s="162">
        <v>-0.15040000000000001</v>
      </c>
      <c r="AB433" s="162">
        <v>-0.11020000000000001</v>
      </c>
      <c r="AC433" s="162">
        <v>-6.0400000000000002E-2</v>
      </c>
      <c r="AD433" s="162">
        <v>-3.5400000000000001E-2</v>
      </c>
      <c r="AE433" s="162">
        <v>-1.2E-2</v>
      </c>
      <c r="AF433" s="162">
        <v>3.2399999999999998E-2</v>
      </c>
      <c r="AG433" s="162">
        <v>4.3299999999999998E-2</v>
      </c>
      <c r="AH433" s="162">
        <v>5.4199999999999998E-2</v>
      </c>
      <c r="AI433" s="162">
        <v>6.5199999999999994E-2</v>
      </c>
      <c r="AJ433" s="162">
        <v>7.6100000000000001E-2</v>
      </c>
      <c r="AK433" s="162">
        <v>8.6999999999999994E-2</v>
      </c>
      <c r="AL433" s="162">
        <v>8.4900000000000003E-2</v>
      </c>
      <c r="AM433" s="162">
        <v>8.2799999999999999E-2</v>
      </c>
      <c r="AN433" s="162">
        <v>8.0699999999999994E-2</v>
      </c>
      <c r="AO433" s="162">
        <v>7.8600000000000003E-2</v>
      </c>
      <c r="AP433" s="162">
        <v>7.6499999999999999E-2</v>
      </c>
      <c r="AQ433" s="162">
        <v>6.5799999999999997E-2</v>
      </c>
      <c r="AR433" s="162">
        <v>5.5100000000000003E-2</v>
      </c>
      <c r="AS433" s="162">
        <v>4.4499999999999998E-2</v>
      </c>
      <c r="AT433" s="162">
        <v>3.3799999999999997E-2</v>
      </c>
      <c r="AU433" s="162">
        <v>2.3099999999999999E-2</v>
      </c>
    </row>
    <row r="434" spans="1:47" ht="12.75" customHeight="1">
      <c r="A434" s="459">
        <v>43931</v>
      </c>
      <c r="B434" s="139">
        <v>15</v>
      </c>
      <c r="C434" s="162">
        <v>-0.44280000000000003</v>
      </c>
      <c r="D434" s="162">
        <v>-0.44280000000000003</v>
      </c>
      <c r="E434" s="162">
        <v>-0.45200000000000001</v>
      </c>
      <c r="F434" s="162">
        <v>-0.44979999999999998</v>
      </c>
      <c r="G434" s="162">
        <v>-0.45240000000000002</v>
      </c>
      <c r="H434" s="162">
        <v>-0.45639999999999997</v>
      </c>
      <c r="I434" s="162">
        <v>-0.46189999999999998</v>
      </c>
      <c r="J434" s="162">
        <v>-0.46579999999999999</v>
      </c>
      <c r="K434" s="162">
        <v>-0.46879999999999999</v>
      </c>
      <c r="L434" s="162">
        <v>-0.4723</v>
      </c>
      <c r="M434" s="162">
        <v>-0.47810000000000002</v>
      </c>
      <c r="N434" s="162">
        <v>-0.48130000000000001</v>
      </c>
      <c r="O434" s="162">
        <v>-0.48449999999999999</v>
      </c>
      <c r="P434" s="162">
        <v>-0.48920000000000002</v>
      </c>
      <c r="Q434" s="162">
        <v>-0.49249999999999999</v>
      </c>
      <c r="R434" s="162">
        <v>-0.4945</v>
      </c>
      <c r="S434" s="162">
        <v>-0.50049999999999994</v>
      </c>
      <c r="T434" s="162">
        <v>-0.49030000000000001</v>
      </c>
      <c r="U434" s="162">
        <v>-0.46429999999999999</v>
      </c>
      <c r="V434" s="162">
        <v>-0.42899999999999999</v>
      </c>
      <c r="W434" s="162">
        <v>-0.38379999999999997</v>
      </c>
      <c r="X434" s="162">
        <v>-0.34139999999999998</v>
      </c>
      <c r="Y434" s="162">
        <v>-0.29830000000000001</v>
      </c>
      <c r="Z434" s="162">
        <v>-0.25519999999999998</v>
      </c>
      <c r="AA434" s="162">
        <v>-0.21190000000000001</v>
      </c>
      <c r="AB434" s="162">
        <v>-0.17080000000000001</v>
      </c>
      <c r="AC434" s="162">
        <v>-0.12620000000000001</v>
      </c>
      <c r="AD434" s="162">
        <v>-9.8000000000000004E-2</v>
      </c>
      <c r="AE434" s="162">
        <v>-6.3899999999999998E-2</v>
      </c>
      <c r="AF434" s="162">
        <v>-2.4400000000000002E-2</v>
      </c>
      <c r="AG434" s="162">
        <v>-1.1599999999999999E-2</v>
      </c>
      <c r="AH434" s="162">
        <v>1.2999999999999999E-3</v>
      </c>
      <c r="AI434" s="162">
        <v>1.41E-2</v>
      </c>
      <c r="AJ434" s="162">
        <v>2.7E-2</v>
      </c>
      <c r="AK434" s="162">
        <v>3.9800000000000002E-2</v>
      </c>
      <c r="AL434" s="162">
        <v>3.7600000000000001E-2</v>
      </c>
      <c r="AM434" s="162">
        <v>3.5499999999999997E-2</v>
      </c>
      <c r="AN434" s="162">
        <v>3.3300000000000003E-2</v>
      </c>
      <c r="AO434" s="162">
        <v>3.1099999999999999E-2</v>
      </c>
      <c r="AP434" s="162">
        <v>2.8899999999999999E-2</v>
      </c>
      <c r="AQ434" s="162">
        <v>2.18E-2</v>
      </c>
      <c r="AR434" s="162">
        <v>1.46E-2</v>
      </c>
      <c r="AS434" s="162">
        <v>7.4000000000000003E-3</v>
      </c>
      <c r="AT434" s="162">
        <v>2.0000000000000001E-4</v>
      </c>
      <c r="AU434" s="162">
        <v>-7.0000000000000001E-3</v>
      </c>
    </row>
    <row r="435" spans="1:47" ht="12.75" customHeight="1">
      <c r="A435" s="459">
        <v>43938</v>
      </c>
      <c r="B435" s="139">
        <v>16</v>
      </c>
      <c r="C435" s="162">
        <v>-0.44869999999999999</v>
      </c>
      <c r="D435" s="162">
        <v>-0.44869999999999999</v>
      </c>
      <c r="E435" s="162">
        <v>-0.4551</v>
      </c>
      <c r="F435" s="162">
        <v>-0.45300000000000001</v>
      </c>
      <c r="G435" s="162">
        <v>-0.45429999999999998</v>
      </c>
      <c r="H435" s="162">
        <v>-0.45689999999999997</v>
      </c>
      <c r="I435" s="162">
        <v>-0.45910000000000001</v>
      </c>
      <c r="J435" s="162">
        <v>-0.46129999999999999</v>
      </c>
      <c r="K435" s="162">
        <v>-0.46450000000000002</v>
      </c>
      <c r="L435" s="162">
        <v>-0.46400000000000002</v>
      </c>
      <c r="M435" s="162">
        <v>-0.46920000000000001</v>
      </c>
      <c r="N435" s="162">
        <v>-0.46760000000000002</v>
      </c>
      <c r="O435" s="162">
        <v>-0.47110000000000002</v>
      </c>
      <c r="P435" s="162">
        <v>-0.47289999999999999</v>
      </c>
      <c r="Q435" s="162">
        <v>-0.47710000000000002</v>
      </c>
      <c r="R435" s="162">
        <v>-0.48010000000000003</v>
      </c>
      <c r="S435" s="162">
        <v>-0.48749999999999999</v>
      </c>
      <c r="T435" s="162">
        <v>-0.47310000000000002</v>
      </c>
      <c r="U435" s="162">
        <v>-0.44469999999999998</v>
      </c>
      <c r="V435" s="162">
        <v>-0.40600000000000003</v>
      </c>
      <c r="W435" s="162">
        <v>-0.36099999999999999</v>
      </c>
      <c r="X435" s="162">
        <v>-0.31459999999999999</v>
      </c>
      <c r="Y435" s="162">
        <v>-0.26700000000000002</v>
      </c>
      <c r="Z435" s="162">
        <v>-0.223</v>
      </c>
      <c r="AA435" s="162">
        <v>-0.17499999999999999</v>
      </c>
      <c r="AB435" s="162">
        <v>-0.1295</v>
      </c>
      <c r="AC435" s="162">
        <v>-9.2499999999999999E-2</v>
      </c>
      <c r="AD435" s="162">
        <v>-5.2299999999999999E-2</v>
      </c>
      <c r="AE435" s="162">
        <v>-1.9E-2</v>
      </c>
      <c r="AF435" s="162">
        <v>6.3E-3</v>
      </c>
      <c r="AG435" s="162">
        <v>1.9099999999999999E-2</v>
      </c>
      <c r="AH435" s="162">
        <v>3.2000000000000001E-2</v>
      </c>
      <c r="AI435" s="162">
        <v>4.48E-2</v>
      </c>
      <c r="AJ435" s="162">
        <v>5.7700000000000001E-2</v>
      </c>
      <c r="AK435" s="162">
        <v>7.0599999999999996E-2</v>
      </c>
      <c r="AL435" s="162">
        <v>6.7500000000000004E-2</v>
      </c>
      <c r="AM435" s="162">
        <v>6.4500000000000002E-2</v>
      </c>
      <c r="AN435" s="162">
        <v>6.1400000000000003E-2</v>
      </c>
      <c r="AO435" s="162">
        <v>5.8400000000000001E-2</v>
      </c>
      <c r="AP435" s="162">
        <v>5.5300000000000002E-2</v>
      </c>
      <c r="AQ435" s="162">
        <v>4.6600000000000003E-2</v>
      </c>
      <c r="AR435" s="162">
        <v>3.7900000000000003E-2</v>
      </c>
      <c r="AS435" s="162">
        <v>2.9100000000000001E-2</v>
      </c>
      <c r="AT435" s="162">
        <v>2.0400000000000001E-2</v>
      </c>
      <c r="AU435" s="162">
        <v>1.17E-2</v>
      </c>
    </row>
    <row r="436" spans="1:47" ht="12.75" customHeight="1">
      <c r="A436" s="459">
        <v>43945</v>
      </c>
      <c r="B436" s="139">
        <v>17</v>
      </c>
      <c r="C436" s="162">
        <v>-0.44929999999999998</v>
      </c>
      <c r="D436" s="162">
        <v>-0.44929999999999998</v>
      </c>
      <c r="E436" s="162">
        <v>-0.45200000000000001</v>
      </c>
      <c r="F436" s="162">
        <v>-0.45079999999999998</v>
      </c>
      <c r="G436" s="162">
        <v>-0.45190000000000002</v>
      </c>
      <c r="H436" s="162">
        <v>-0.45750000000000002</v>
      </c>
      <c r="I436" s="162">
        <v>-0.46139999999999998</v>
      </c>
      <c r="J436" s="162">
        <v>-0.46500000000000002</v>
      </c>
      <c r="K436" s="162">
        <v>-0.46629999999999999</v>
      </c>
      <c r="L436" s="162">
        <v>-0.47039999999999998</v>
      </c>
      <c r="M436" s="162">
        <v>-0.4748</v>
      </c>
      <c r="N436" s="162">
        <v>-0.4778</v>
      </c>
      <c r="O436" s="162">
        <v>-0.4798</v>
      </c>
      <c r="P436" s="162">
        <v>-0.48530000000000001</v>
      </c>
      <c r="Q436" s="162">
        <v>-0.48759999999999998</v>
      </c>
      <c r="R436" s="162">
        <v>-0.49270000000000003</v>
      </c>
      <c r="S436" s="162">
        <v>-0.51800000000000002</v>
      </c>
      <c r="T436" s="162">
        <v>-0.51770000000000005</v>
      </c>
      <c r="U436" s="162">
        <v>-0.49640000000000001</v>
      </c>
      <c r="V436" s="162">
        <v>-0.46750000000000003</v>
      </c>
      <c r="W436" s="162">
        <v>-0.4279</v>
      </c>
      <c r="X436" s="162">
        <v>-0.37780000000000002</v>
      </c>
      <c r="Y436" s="162">
        <v>-0.33410000000000001</v>
      </c>
      <c r="Z436" s="162">
        <v>-0.29220000000000002</v>
      </c>
      <c r="AA436" s="162">
        <v>-0.24879999999999999</v>
      </c>
      <c r="AB436" s="162">
        <v>-0.2019</v>
      </c>
      <c r="AC436" s="162">
        <v>-0.17929999999999999</v>
      </c>
      <c r="AD436" s="162">
        <v>-0.1201</v>
      </c>
      <c r="AE436" s="162">
        <v>-8.8300000000000003E-2</v>
      </c>
      <c r="AF436" s="162">
        <v>-8.1500000000000003E-2</v>
      </c>
      <c r="AG436" s="162">
        <v>-6.9500000000000006E-2</v>
      </c>
      <c r="AH436" s="162">
        <v>-5.7500000000000002E-2</v>
      </c>
      <c r="AI436" s="162">
        <v>-4.5499999999999999E-2</v>
      </c>
      <c r="AJ436" s="162">
        <v>-3.3500000000000002E-2</v>
      </c>
      <c r="AK436" s="162">
        <v>-2.1499999999999998E-2</v>
      </c>
      <c r="AL436" s="162">
        <v>-2.46E-2</v>
      </c>
      <c r="AM436" s="162">
        <v>-2.76E-2</v>
      </c>
      <c r="AN436" s="162">
        <v>-3.0700000000000002E-2</v>
      </c>
      <c r="AO436" s="162">
        <v>-3.3700000000000001E-2</v>
      </c>
      <c r="AP436" s="162">
        <v>-3.6799999999999999E-2</v>
      </c>
      <c r="AQ436" s="162">
        <v>-4.65E-2</v>
      </c>
      <c r="AR436" s="162">
        <v>-5.6300000000000003E-2</v>
      </c>
      <c r="AS436" s="162">
        <v>-6.6000000000000003E-2</v>
      </c>
      <c r="AT436" s="162">
        <v>-7.5800000000000006E-2</v>
      </c>
      <c r="AU436" s="162">
        <v>-8.5500000000000007E-2</v>
      </c>
    </row>
    <row r="437" spans="1:47" ht="12.75" customHeight="1">
      <c r="A437" s="459">
        <v>43952</v>
      </c>
      <c r="B437" s="139">
        <v>18</v>
      </c>
      <c r="C437" s="162">
        <v>-0.45500000000000002</v>
      </c>
      <c r="D437" s="162">
        <v>-0.45500000000000002</v>
      </c>
      <c r="E437" s="162">
        <v>-0.4556</v>
      </c>
      <c r="F437" s="162">
        <v>-0.45450000000000002</v>
      </c>
      <c r="G437" s="162">
        <v>-0.45789999999999997</v>
      </c>
      <c r="H437" s="162">
        <v>-0.45950000000000002</v>
      </c>
      <c r="I437" s="162">
        <v>-0.46329999999999999</v>
      </c>
      <c r="J437" s="162">
        <v>-0.46560000000000001</v>
      </c>
      <c r="K437" s="162">
        <v>-0.46779999999999999</v>
      </c>
      <c r="L437" s="162">
        <v>-0.46660000000000001</v>
      </c>
      <c r="M437" s="162">
        <v>-0.47420000000000001</v>
      </c>
      <c r="N437" s="162">
        <v>-0.4763</v>
      </c>
      <c r="O437" s="162">
        <v>-0.4763</v>
      </c>
      <c r="P437" s="162">
        <v>-0.47849999999999998</v>
      </c>
      <c r="Q437" s="162">
        <v>-0.48180000000000001</v>
      </c>
      <c r="R437" s="162">
        <v>-0.48199999999999998</v>
      </c>
      <c r="S437" s="162">
        <v>-0.48909999999999998</v>
      </c>
      <c r="T437" s="162">
        <v>-0.48730000000000001</v>
      </c>
      <c r="U437" s="162">
        <v>-0.46829999999999999</v>
      </c>
      <c r="V437" s="162">
        <v>-0.44269999999999998</v>
      </c>
      <c r="W437" s="162">
        <v>-0.40589999999999998</v>
      </c>
      <c r="X437" s="162">
        <v>-0.37090000000000001</v>
      </c>
      <c r="Y437" s="162">
        <v>-0.33179999999999998</v>
      </c>
      <c r="Z437" s="162">
        <v>-0.29039999999999999</v>
      </c>
      <c r="AA437" s="162">
        <v>-0.24859999999999999</v>
      </c>
      <c r="AB437" s="162">
        <v>-0.20569999999999999</v>
      </c>
      <c r="AC437" s="162">
        <v>-0.16300000000000001</v>
      </c>
      <c r="AD437" s="162">
        <v>-0.13350000000000001</v>
      </c>
      <c r="AE437" s="162">
        <v>-0.1028</v>
      </c>
      <c r="AF437" s="162">
        <v>-7.0099999999999996E-2</v>
      </c>
      <c r="AG437" s="162">
        <v>-5.8900000000000001E-2</v>
      </c>
      <c r="AH437" s="162">
        <v>-4.7600000000000003E-2</v>
      </c>
      <c r="AI437" s="162">
        <v>-3.6400000000000002E-2</v>
      </c>
      <c r="AJ437" s="162">
        <v>-2.5100000000000001E-2</v>
      </c>
      <c r="AK437" s="162">
        <v>-1.3899999999999999E-2</v>
      </c>
      <c r="AL437" s="162">
        <v>-1.8599999999999998E-2</v>
      </c>
      <c r="AM437" s="162">
        <v>-2.3300000000000001E-2</v>
      </c>
      <c r="AN437" s="162">
        <v>-2.81E-2</v>
      </c>
      <c r="AO437" s="162">
        <v>-3.2800000000000003E-2</v>
      </c>
      <c r="AP437" s="162">
        <v>-3.7600000000000001E-2</v>
      </c>
      <c r="AQ437" s="162">
        <v>-4.7600000000000003E-2</v>
      </c>
      <c r="AR437" s="162">
        <v>-5.7700000000000001E-2</v>
      </c>
      <c r="AS437" s="162">
        <v>-6.7799999999999999E-2</v>
      </c>
      <c r="AT437" s="162">
        <v>-7.7799999999999994E-2</v>
      </c>
      <c r="AU437" s="162">
        <v>-8.7900000000000006E-2</v>
      </c>
    </row>
    <row r="438" spans="1:47" ht="12.75" customHeight="1">
      <c r="A438" s="459">
        <v>43959</v>
      </c>
      <c r="B438" s="139">
        <v>19</v>
      </c>
      <c r="C438" s="162">
        <v>-0.45600000000000002</v>
      </c>
      <c r="D438" s="162">
        <v>-0.45600000000000002</v>
      </c>
      <c r="E438" s="162">
        <v>-0.4617</v>
      </c>
      <c r="F438" s="162">
        <v>-0.46510000000000001</v>
      </c>
      <c r="G438" s="162">
        <v>-0.46700000000000003</v>
      </c>
      <c r="H438" s="162">
        <v>-0.47410000000000002</v>
      </c>
      <c r="I438" s="162">
        <v>-0.47889999999999999</v>
      </c>
      <c r="J438" s="162">
        <v>-0.48399999999999999</v>
      </c>
      <c r="K438" s="162">
        <v>-0.48820000000000002</v>
      </c>
      <c r="L438" s="162">
        <v>-0.49109999999999998</v>
      </c>
      <c r="M438" s="162">
        <v>-0.49590000000000001</v>
      </c>
      <c r="N438" s="162">
        <v>-0.49909999999999999</v>
      </c>
      <c r="O438" s="162">
        <v>-0.50209999999999999</v>
      </c>
      <c r="P438" s="162">
        <v>-0.50470000000000004</v>
      </c>
      <c r="Q438" s="162">
        <v>-0.50880000000000003</v>
      </c>
      <c r="R438" s="162">
        <v>-0.51060000000000005</v>
      </c>
      <c r="S438" s="162">
        <v>-0.52869999999999995</v>
      </c>
      <c r="T438" s="162">
        <v>-0.52569999999999995</v>
      </c>
      <c r="U438" s="162">
        <v>-0.50629999999999997</v>
      </c>
      <c r="V438" s="162">
        <v>-0.47539999999999999</v>
      </c>
      <c r="W438" s="162">
        <v>-0.44109999999999999</v>
      </c>
      <c r="X438" s="162">
        <v>-0.40079999999999999</v>
      </c>
      <c r="Y438" s="162">
        <v>-0.35949999999999999</v>
      </c>
      <c r="Z438" s="162">
        <v>-0.31590000000000001</v>
      </c>
      <c r="AA438" s="162">
        <v>-0.27189999999999998</v>
      </c>
      <c r="AB438" s="162">
        <v>-0.2306</v>
      </c>
      <c r="AC438" s="162">
        <v>-0.1918</v>
      </c>
      <c r="AD438" s="162">
        <v>-0.15890000000000001</v>
      </c>
      <c r="AE438" s="162">
        <v>-0.12889999999999999</v>
      </c>
      <c r="AF438" s="162">
        <v>-9.8799999999999999E-2</v>
      </c>
      <c r="AG438" s="162">
        <v>-8.7599999999999997E-2</v>
      </c>
      <c r="AH438" s="162">
        <v>-7.6399999999999996E-2</v>
      </c>
      <c r="AI438" s="162">
        <v>-6.5199999999999994E-2</v>
      </c>
      <c r="AJ438" s="162">
        <v>-5.4100000000000002E-2</v>
      </c>
      <c r="AK438" s="162">
        <v>-4.2900000000000001E-2</v>
      </c>
      <c r="AL438" s="162">
        <v>-4.87E-2</v>
      </c>
      <c r="AM438" s="162">
        <v>-5.4399999999999997E-2</v>
      </c>
      <c r="AN438" s="162">
        <v>-6.0199999999999997E-2</v>
      </c>
      <c r="AO438" s="162">
        <v>-6.6000000000000003E-2</v>
      </c>
      <c r="AP438" s="162">
        <v>-7.1800000000000003E-2</v>
      </c>
      <c r="AQ438" s="162">
        <v>-8.2699999999999996E-2</v>
      </c>
      <c r="AR438" s="162">
        <v>-9.3700000000000006E-2</v>
      </c>
      <c r="AS438" s="162">
        <v>-0.1046</v>
      </c>
      <c r="AT438" s="162">
        <v>-0.11559999999999999</v>
      </c>
      <c r="AU438" s="162">
        <v>-0.1265</v>
      </c>
    </row>
    <row r="439" spans="1:47" ht="12.75" customHeight="1">
      <c r="A439" s="459">
        <v>43966</v>
      </c>
      <c r="B439" s="139">
        <v>20</v>
      </c>
      <c r="C439" s="162">
        <v>-0.45629999999999998</v>
      </c>
      <c r="D439" s="162">
        <v>-0.45629999999999998</v>
      </c>
      <c r="E439" s="162">
        <v>-0.46089999999999998</v>
      </c>
      <c r="F439" s="162">
        <v>-0.46039999999999998</v>
      </c>
      <c r="G439" s="162">
        <v>-0.4607</v>
      </c>
      <c r="H439" s="162">
        <v>-0.46779999999999999</v>
      </c>
      <c r="I439" s="162">
        <v>-0.47360000000000002</v>
      </c>
      <c r="J439" s="162">
        <v>-0.47939999999999999</v>
      </c>
      <c r="K439" s="162">
        <v>-0.48409999999999997</v>
      </c>
      <c r="L439" s="162">
        <v>-0.4874</v>
      </c>
      <c r="M439" s="162">
        <v>-0.49170000000000003</v>
      </c>
      <c r="N439" s="162">
        <v>-0.49630000000000002</v>
      </c>
      <c r="O439" s="162">
        <v>-0.49940000000000001</v>
      </c>
      <c r="P439" s="162">
        <v>-0.50460000000000005</v>
      </c>
      <c r="Q439" s="162">
        <v>-0.50780000000000003</v>
      </c>
      <c r="R439" s="162">
        <v>-0.51080000000000003</v>
      </c>
      <c r="S439" s="162">
        <v>-0.54300000000000004</v>
      </c>
      <c r="T439" s="162">
        <v>-0.54949999999999999</v>
      </c>
      <c r="U439" s="162">
        <v>-0.54110000000000003</v>
      </c>
      <c r="V439" s="162">
        <v>-0.51780000000000004</v>
      </c>
      <c r="W439" s="162">
        <v>-0.48430000000000001</v>
      </c>
      <c r="X439" s="162">
        <v>-0.44409999999999999</v>
      </c>
      <c r="Y439" s="162">
        <v>-0.4027</v>
      </c>
      <c r="Z439" s="162">
        <v>-0.36080000000000001</v>
      </c>
      <c r="AA439" s="162">
        <v>-0.31659999999999999</v>
      </c>
      <c r="AB439" s="162">
        <v>-0.27560000000000001</v>
      </c>
      <c r="AC439" s="162">
        <v>-0.2298</v>
      </c>
      <c r="AD439" s="162">
        <v>-0.19719999999999999</v>
      </c>
      <c r="AE439" s="162">
        <v>-0.1686</v>
      </c>
      <c r="AF439" s="162">
        <v>-0.13139999999999999</v>
      </c>
      <c r="AG439" s="162">
        <v>-0.1191</v>
      </c>
      <c r="AH439" s="162">
        <v>-0.1067</v>
      </c>
      <c r="AI439" s="162">
        <v>-9.4399999999999998E-2</v>
      </c>
      <c r="AJ439" s="162">
        <v>-8.2000000000000003E-2</v>
      </c>
      <c r="AK439" s="162">
        <v>-6.9699999999999998E-2</v>
      </c>
      <c r="AL439" s="162">
        <v>-7.3899999999999993E-2</v>
      </c>
      <c r="AM439" s="162">
        <v>-7.8E-2</v>
      </c>
      <c r="AN439" s="162">
        <v>-8.2199999999999995E-2</v>
      </c>
      <c r="AO439" s="162">
        <v>-8.6400000000000005E-2</v>
      </c>
      <c r="AP439" s="162">
        <v>-9.06E-2</v>
      </c>
      <c r="AQ439" s="162">
        <v>-0.1002</v>
      </c>
      <c r="AR439" s="162">
        <v>-0.10979999999999999</v>
      </c>
      <c r="AS439" s="162">
        <v>-0.11940000000000001</v>
      </c>
      <c r="AT439" s="162">
        <v>-0.129</v>
      </c>
      <c r="AU439" s="162">
        <v>-0.1386</v>
      </c>
    </row>
    <row r="440" spans="1:47" ht="12.75" customHeight="1">
      <c r="A440" s="459">
        <v>43973</v>
      </c>
      <c r="B440" s="139">
        <v>21</v>
      </c>
      <c r="C440" s="162">
        <v>-0.45750000000000002</v>
      </c>
      <c r="D440" s="162">
        <v>-0.45750000000000002</v>
      </c>
      <c r="E440" s="162">
        <v>-0.45800000000000002</v>
      </c>
      <c r="F440" s="162">
        <v>-0.45800000000000002</v>
      </c>
      <c r="G440" s="162">
        <v>-0.4597</v>
      </c>
      <c r="H440" s="162">
        <v>-0.46350000000000002</v>
      </c>
      <c r="I440" s="162">
        <v>-0.47020000000000001</v>
      </c>
      <c r="J440" s="162">
        <v>-0.47460000000000002</v>
      </c>
      <c r="K440" s="162">
        <v>-0.48010000000000003</v>
      </c>
      <c r="L440" s="162">
        <v>-0.48399999999999999</v>
      </c>
      <c r="M440" s="162">
        <v>-0.48849999999999999</v>
      </c>
      <c r="N440" s="162">
        <v>-0.49170000000000003</v>
      </c>
      <c r="O440" s="162">
        <v>-0.49619999999999997</v>
      </c>
      <c r="P440" s="162">
        <v>-0.49769999999999998</v>
      </c>
      <c r="Q440" s="162">
        <v>-0.50160000000000005</v>
      </c>
      <c r="R440" s="162">
        <v>-0.505</v>
      </c>
      <c r="S440" s="162">
        <v>-0.53369999999999995</v>
      </c>
      <c r="T440" s="162">
        <v>-0.54220000000000002</v>
      </c>
      <c r="U440" s="162">
        <v>-0.53510000000000002</v>
      </c>
      <c r="V440" s="162">
        <v>-0.51600000000000001</v>
      </c>
      <c r="W440" s="162">
        <v>-0.48720000000000002</v>
      </c>
      <c r="X440" s="162">
        <v>-0.45600000000000002</v>
      </c>
      <c r="Y440" s="162">
        <v>-0.41799999999999998</v>
      </c>
      <c r="Z440" s="162">
        <v>-0.37830000000000003</v>
      </c>
      <c r="AA440" s="162">
        <v>-0.3387</v>
      </c>
      <c r="AB440" s="162">
        <v>-0.29730000000000001</v>
      </c>
      <c r="AC440" s="162">
        <v>-0.26179999999999998</v>
      </c>
      <c r="AD440" s="162">
        <v>-0.22020000000000001</v>
      </c>
      <c r="AE440" s="162">
        <v>-0.19020000000000001</v>
      </c>
      <c r="AF440" s="162">
        <v>-0.1704</v>
      </c>
      <c r="AG440" s="162">
        <v>-0.15820000000000001</v>
      </c>
      <c r="AH440" s="162">
        <v>-0.14599999999999999</v>
      </c>
      <c r="AI440" s="162">
        <v>-0.13370000000000001</v>
      </c>
      <c r="AJ440" s="162">
        <v>-0.1215</v>
      </c>
      <c r="AK440" s="162">
        <v>-0.10929999999999999</v>
      </c>
      <c r="AL440" s="162">
        <v>-0.1135</v>
      </c>
      <c r="AM440" s="162">
        <v>-0.1178</v>
      </c>
      <c r="AN440" s="162">
        <v>-0.122</v>
      </c>
      <c r="AO440" s="162">
        <v>-0.1263</v>
      </c>
      <c r="AP440" s="162">
        <v>-0.1305</v>
      </c>
      <c r="AQ440" s="162">
        <v>-0.13980000000000001</v>
      </c>
      <c r="AR440" s="162">
        <v>-0.14910000000000001</v>
      </c>
      <c r="AS440" s="162">
        <v>-0.1585</v>
      </c>
      <c r="AT440" s="162">
        <v>-0.1678</v>
      </c>
      <c r="AU440" s="162">
        <v>-0.17710000000000001</v>
      </c>
    </row>
    <row r="441" spans="1:47" ht="12.75" customHeight="1">
      <c r="A441" s="459">
        <v>43980</v>
      </c>
      <c r="B441" s="139">
        <v>22</v>
      </c>
      <c r="C441" s="162">
        <v>-0.45700000000000002</v>
      </c>
      <c r="D441" s="162">
        <v>-0.45700000000000002</v>
      </c>
      <c r="E441" s="162">
        <v>-0.45710000000000001</v>
      </c>
      <c r="F441" s="162">
        <v>-0.45569999999999999</v>
      </c>
      <c r="G441" s="162">
        <v>-0.45800000000000002</v>
      </c>
      <c r="H441" s="162">
        <v>-0.46129999999999999</v>
      </c>
      <c r="I441" s="162">
        <v>-0.46779999999999999</v>
      </c>
      <c r="J441" s="162">
        <v>-0.47139999999999999</v>
      </c>
      <c r="K441" s="162">
        <v>-0.47670000000000001</v>
      </c>
      <c r="L441" s="162">
        <v>-0.48099999999999998</v>
      </c>
      <c r="M441" s="162">
        <v>-0.48420000000000002</v>
      </c>
      <c r="N441" s="162">
        <v>-0.4879</v>
      </c>
      <c r="O441" s="162">
        <v>-0.49099999999999999</v>
      </c>
      <c r="P441" s="162">
        <v>-0.49309999999999998</v>
      </c>
      <c r="Q441" s="162">
        <v>-0.49469999999999997</v>
      </c>
      <c r="R441" s="162">
        <v>-0.49730000000000002</v>
      </c>
      <c r="S441" s="162">
        <v>-0.51670000000000005</v>
      </c>
      <c r="T441" s="162">
        <v>-0.51470000000000005</v>
      </c>
      <c r="U441" s="162">
        <v>-0.50280000000000002</v>
      </c>
      <c r="V441" s="162">
        <v>-0.48280000000000001</v>
      </c>
      <c r="W441" s="162">
        <v>-0.45729999999999998</v>
      </c>
      <c r="X441" s="162">
        <v>-0.42599999999999999</v>
      </c>
      <c r="Y441" s="162">
        <v>-0.38850000000000001</v>
      </c>
      <c r="Z441" s="162">
        <v>-0.35</v>
      </c>
      <c r="AA441" s="162">
        <v>-0.31119999999999998</v>
      </c>
      <c r="AB441" s="162">
        <v>-0.27360000000000001</v>
      </c>
      <c r="AC441" s="162">
        <v>-0.23499999999999999</v>
      </c>
      <c r="AD441" s="162">
        <v>-0.20930000000000001</v>
      </c>
      <c r="AE441" s="162">
        <v>-0.18110000000000001</v>
      </c>
      <c r="AF441" s="162">
        <v>-0.14599999999999999</v>
      </c>
      <c r="AG441" s="162">
        <v>-0.13469999999999999</v>
      </c>
      <c r="AH441" s="162">
        <v>-0.12330000000000001</v>
      </c>
      <c r="AI441" s="162">
        <v>-0.112</v>
      </c>
      <c r="AJ441" s="162">
        <v>-0.1007</v>
      </c>
      <c r="AK441" s="162">
        <v>-8.9300000000000004E-2</v>
      </c>
      <c r="AL441" s="162">
        <v>-9.2700000000000005E-2</v>
      </c>
      <c r="AM441" s="162">
        <v>-9.6100000000000005E-2</v>
      </c>
      <c r="AN441" s="162">
        <v>-9.9400000000000002E-2</v>
      </c>
      <c r="AO441" s="162">
        <v>-0.1028</v>
      </c>
      <c r="AP441" s="162">
        <v>-0.1062</v>
      </c>
      <c r="AQ441" s="162">
        <v>-0.1154</v>
      </c>
      <c r="AR441" s="162">
        <v>-0.1246</v>
      </c>
      <c r="AS441" s="162">
        <v>-0.13389999999999999</v>
      </c>
      <c r="AT441" s="162">
        <v>-0.1431</v>
      </c>
      <c r="AU441" s="162">
        <v>-0.15229999999999999</v>
      </c>
    </row>
    <row r="442" spans="1:47" ht="12.75" customHeight="1">
      <c r="A442" s="459">
        <v>43987</v>
      </c>
      <c r="B442" s="139">
        <v>23</v>
      </c>
      <c r="C442" s="162">
        <v>-0.45579999999999998</v>
      </c>
      <c r="D442" s="162">
        <v>-0.45579999999999998</v>
      </c>
      <c r="E442" s="162">
        <v>-0.45469999999999999</v>
      </c>
      <c r="F442" s="162">
        <v>-0.4556</v>
      </c>
      <c r="G442" s="162">
        <v>-0.46110000000000001</v>
      </c>
      <c r="H442" s="162">
        <v>-0.4652</v>
      </c>
      <c r="I442" s="162">
        <v>-0.47020000000000001</v>
      </c>
      <c r="J442" s="162">
        <v>-0.47249999999999998</v>
      </c>
      <c r="K442" s="162">
        <v>-0.47760000000000002</v>
      </c>
      <c r="L442" s="162">
        <v>-0.47920000000000001</v>
      </c>
      <c r="M442" s="162">
        <v>-0.48299999999999998</v>
      </c>
      <c r="N442" s="162">
        <v>-0.48649999999999999</v>
      </c>
      <c r="O442" s="162">
        <v>-0.48859999999999998</v>
      </c>
      <c r="P442" s="162">
        <v>-0.49080000000000001</v>
      </c>
      <c r="Q442" s="162">
        <v>-0.49230000000000002</v>
      </c>
      <c r="R442" s="162">
        <v>-0.49409999999999998</v>
      </c>
      <c r="S442" s="162">
        <v>-0.50919999999999999</v>
      </c>
      <c r="T442" s="162">
        <v>-0.50660000000000005</v>
      </c>
      <c r="U442" s="162">
        <v>-0.48920000000000002</v>
      </c>
      <c r="V442" s="162">
        <v>-0.4647</v>
      </c>
      <c r="W442" s="162">
        <v>-0.43709999999999999</v>
      </c>
      <c r="X442" s="162">
        <v>-0.40379999999999999</v>
      </c>
      <c r="Y442" s="162">
        <v>-0.3669</v>
      </c>
      <c r="Z442" s="162">
        <v>-0.3281</v>
      </c>
      <c r="AA442" s="162">
        <v>-0.28820000000000001</v>
      </c>
      <c r="AB442" s="162">
        <v>-0.2535</v>
      </c>
      <c r="AC442" s="162">
        <v>-0.21240000000000001</v>
      </c>
      <c r="AD442" s="162">
        <v>-0.18559999999999999</v>
      </c>
      <c r="AE442" s="162">
        <v>-0.15579999999999999</v>
      </c>
      <c r="AF442" s="162">
        <v>-0.1183</v>
      </c>
      <c r="AG442" s="162">
        <v>-0.1045</v>
      </c>
      <c r="AH442" s="162">
        <v>-9.0800000000000006E-2</v>
      </c>
      <c r="AI442" s="162">
        <v>-7.6999999999999999E-2</v>
      </c>
      <c r="AJ442" s="162">
        <v>-6.3299999999999995E-2</v>
      </c>
      <c r="AK442" s="162">
        <v>-4.9500000000000002E-2</v>
      </c>
      <c r="AL442" s="162">
        <v>-5.0799999999999998E-2</v>
      </c>
      <c r="AM442" s="162">
        <v>-5.21E-2</v>
      </c>
      <c r="AN442" s="162">
        <v>-5.3499999999999999E-2</v>
      </c>
      <c r="AO442" s="162">
        <v>-5.4800000000000001E-2</v>
      </c>
      <c r="AP442" s="162">
        <v>-5.6099999999999997E-2</v>
      </c>
      <c r="AQ442" s="162">
        <v>-6.4100000000000004E-2</v>
      </c>
      <c r="AR442" s="162">
        <v>-7.1999999999999995E-2</v>
      </c>
      <c r="AS442" s="162">
        <v>-0.08</v>
      </c>
      <c r="AT442" s="162">
        <v>-8.7900000000000006E-2</v>
      </c>
      <c r="AU442" s="162">
        <v>-9.5899999999999999E-2</v>
      </c>
    </row>
    <row r="443" spans="1:47" ht="12.75" customHeight="1">
      <c r="A443" s="459">
        <v>43994</v>
      </c>
      <c r="B443" s="139">
        <v>24</v>
      </c>
      <c r="C443" s="162">
        <v>-0.45900000000000002</v>
      </c>
      <c r="D443" s="162">
        <v>-0.45900000000000002</v>
      </c>
      <c r="E443" s="162">
        <v>-0.45739999999999997</v>
      </c>
      <c r="F443" s="162">
        <v>-0.45939999999999998</v>
      </c>
      <c r="G443" s="162">
        <v>-0.46300000000000002</v>
      </c>
      <c r="H443" s="162">
        <v>-0.46689999999999998</v>
      </c>
      <c r="I443" s="162">
        <v>-0.46970000000000001</v>
      </c>
      <c r="J443" s="162">
        <v>-0.4733</v>
      </c>
      <c r="K443" s="162">
        <v>-0.47570000000000001</v>
      </c>
      <c r="L443" s="162">
        <v>-0.47770000000000001</v>
      </c>
      <c r="M443" s="162">
        <v>-0.47989999999999999</v>
      </c>
      <c r="N443" s="162">
        <v>-0.48230000000000001</v>
      </c>
      <c r="O443" s="162">
        <v>-0.4839</v>
      </c>
      <c r="P443" s="162">
        <v>-0.48559999999999998</v>
      </c>
      <c r="Q443" s="162">
        <v>-0.48749999999999999</v>
      </c>
      <c r="R443" s="162">
        <v>-0.48880000000000001</v>
      </c>
      <c r="S443" s="162">
        <v>-0.49590000000000001</v>
      </c>
      <c r="T443" s="162">
        <v>-0.48570000000000002</v>
      </c>
      <c r="U443" s="162">
        <v>-0.46160000000000001</v>
      </c>
      <c r="V443" s="162">
        <v>-0.4289</v>
      </c>
      <c r="W443" s="162">
        <v>-0.39479999999999998</v>
      </c>
      <c r="X443" s="162">
        <v>-0.35339999999999999</v>
      </c>
      <c r="Y443" s="162">
        <v>-0.30980000000000002</v>
      </c>
      <c r="Z443" s="162">
        <v>-0.26579999999999998</v>
      </c>
      <c r="AA443" s="162">
        <v>-0.21970000000000001</v>
      </c>
      <c r="AB443" s="162">
        <v>-0.18</v>
      </c>
      <c r="AC443" s="162">
        <v>-0.13589999999999999</v>
      </c>
      <c r="AD443" s="162">
        <v>-0.1096</v>
      </c>
      <c r="AE443" s="162">
        <v>-7.3800000000000004E-2</v>
      </c>
      <c r="AF443" s="162">
        <v>-3.1099999999999999E-2</v>
      </c>
      <c r="AG443" s="162">
        <v>-1.4E-2</v>
      </c>
      <c r="AH443" s="162">
        <v>3.0000000000000001E-3</v>
      </c>
      <c r="AI443" s="162">
        <v>2.01E-2</v>
      </c>
      <c r="AJ443" s="162">
        <v>3.7199999999999997E-2</v>
      </c>
      <c r="AK443" s="162">
        <v>5.4199999999999998E-2</v>
      </c>
      <c r="AL443" s="162">
        <v>5.5500000000000001E-2</v>
      </c>
      <c r="AM443" s="162">
        <v>5.67E-2</v>
      </c>
      <c r="AN443" s="162">
        <v>5.8000000000000003E-2</v>
      </c>
      <c r="AO443" s="162">
        <v>5.9200000000000003E-2</v>
      </c>
      <c r="AP443" s="162">
        <v>6.0499999999999998E-2</v>
      </c>
      <c r="AQ443" s="162">
        <v>5.57E-2</v>
      </c>
      <c r="AR443" s="162">
        <v>5.0900000000000001E-2</v>
      </c>
      <c r="AS443" s="162">
        <v>4.6199999999999998E-2</v>
      </c>
      <c r="AT443" s="162">
        <v>4.1399999999999999E-2</v>
      </c>
      <c r="AU443" s="162">
        <v>3.6600000000000001E-2</v>
      </c>
    </row>
    <row r="444" spans="1:47" ht="12.75" customHeight="1">
      <c r="A444" s="459">
        <v>44001</v>
      </c>
      <c r="B444" s="139">
        <v>25</v>
      </c>
      <c r="C444" s="162">
        <v>-0.46100000000000002</v>
      </c>
      <c r="D444" s="162">
        <v>-0.46100000000000002</v>
      </c>
      <c r="E444" s="162">
        <v>-0.46210000000000001</v>
      </c>
      <c r="F444" s="162">
        <v>-0.45989999999999998</v>
      </c>
      <c r="G444" s="162">
        <v>-0.4642</v>
      </c>
      <c r="H444" s="162">
        <v>-0.46929999999999999</v>
      </c>
      <c r="I444" s="162">
        <v>-0.47170000000000001</v>
      </c>
      <c r="J444" s="162">
        <v>-0.47560000000000002</v>
      </c>
      <c r="K444" s="162">
        <v>-0.47789999999999999</v>
      </c>
      <c r="L444" s="162">
        <v>-0.47970000000000002</v>
      </c>
      <c r="M444" s="162">
        <v>-0.48180000000000001</v>
      </c>
      <c r="N444" s="162">
        <v>-0.48399999999999999</v>
      </c>
      <c r="O444" s="162">
        <v>-0.48580000000000001</v>
      </c>
      <c r="P444" s="162">
        <v>-0.48720000000000002</v>
      </c>
      <c r="Q444" s="162">
        <v>-0.48830000000000001</v>
      </c>
      <c r="R444" s="162">
        <v>-0.4909</v>
      </c>
      <c r="S444" s="162">
        <v>-0.49659999999999999</v>
      </c>
      <c r="T444" s="162">
        <v>-0.48449999999999999</v>
      </c>
      <c r="U444" s="162">
        <v>-0.46329999999999999</v>
      </c>
      <c r="V444" s="162">
        <v>-0.43149999999999999</v>
      </c>
      <c r="W444" s="162">
        <v>-0.39439999999999997</v>
      </c>
      <c r="X444" s="162">
        <v>-0.35220000000000001</v>
      </c>
      <c r="Y444" s="162">
        <v>-0.30809999999999998</v>
      </c>
      <c r="Z444" s="162">
        <v>-0.26300000000000001</v>
      </c>
      <c r="AA444" s="162">
        <v>-0.2177</v>
      </c>
      <c r="AB444" s="162">
        <v>-0.17019999999999999</v>
      </c>
      <c r="AC444" s="162">
        <v>-0.1258</v>
      </c>
      <c r="AD444" s="162">
        <v>-9.06E-2</v>
      </c>
      <c r="AE444" s="162">
        <v>-5.4899999999999997E-2</v>
      </c>
      <c r="AF444" s="162">
        <v>-2.0500000000000001E-2</v>
      </c>
      <c r="AG444" s="162">
        <v>-5.1000000000000004E-3</v>
      </c>
      <c r="AH444" s="162">
        <v>1.03E-2</v>
      </c>
      <c r="AI444" s="162">
        <v>2.5600000000000001E-2</v>
      </c>
      <c r="AJ444" s="162">
        <v>4.1000000000000002E-2</v>
      </c>
      <c r="AK444" s="162">
        <v>5.6399999999999999E-2</v>
      </c>
      <c r="AL444" s="162">
        <v>5.57E-2</v>
      </c>
      <c r="AM444" s="162">
        <v>5.5100000000000003E-2</v>
      </c>
      <c r="AN444" s="162">
        <v>5.4399999999999997E-2</v>
      </c>
      <c r="AO444" s="162">
        <v>5.3699999999999998E-2</v>
      </c>
      <c r="AP444" s="162">
        <v>5.3100000000000001E-2</v>
      </c>
      <c r="AQ444" s="162">
        <v>4.6699999999999998E-2</v>
      </c>
      <c r="AR444" s="162">
        <v>4.0300000000000002E-2</v>
      </c>
      <c r="AS444" s="162">
        <v>3.39E-2</v>
      </c>
      <c r="AT444" s="162">
        <v>2.75E-2</v>
      </c>
      <c r="AU444" s="162">
        <v>2.12E-2</v>
      </c>
    </row>
    <row r="445" spans="1:47" ht="12.75" customHeight="1">
      <c r="A445" s="459">
        <v>44007</v>
      </c>
      <c r="B445" s="139">
        <v>26</v>
      </c>
      <c r="C445" s="162">
        <v>-0.46029999999999999</v>
      </c>
      <c r="D445" s="162">
        <v>-0.46029999999999999</v>
      </c>
      <c r="E445" s="162">
        <v>-0.46839999999999998</v>
      </c>
      <c r="F445" s="162">
        <v>-0.47099999999999997</v>
      </c>
      <c r="G445" s="162">
        <v>-0.47310000000000002</v>
      </c>
      <c r="H445" s="162">
        <v>-0.47820000000000001</v>
      </c>
      <c r="I445" s="162">
        <v>-0.48159999999999997</v>
      </c>
      <c r="J445" s="162">
        <v>-0.48720000000000002</v>
      </c>
      <c r="K445" s="162">
        <v>-0.49109999999999998</v>
      </c>
      <c r="L445" s="162">
        <v>-0.49430000000000002</v>
      </c>
      <c r="M445" s="162">
        <v>-0.4975</v>
      </c>
      <c r="N445" s="162">
        <v>-0.50019999999999998</v>
      </c>
      <c r="O445" s="162">
        <v>-0.50160000000000005</v>
      </c>
      <c r="P445" s="162">
        <v>-0.50509999999999999</v>
      </c>
      <c r="Q445" s="162">
        <v>-0.50780000000000003</v>
      </c>
      <c r="R445" s="162">
        <v>-0.51019999999999999</v>
      </c>
      <c r="S445" s="162">
        <v>-0.52710000000000001</v>
      </c>
      <c r="T445" s="162">
        <v>-0.52390000000000003</v>
      </c>
      <c r="U445" s="162">
        <v>-0.50560000000000005</v>
      </c>
      <c r="V445" s="162">
        <v>-0.47839999999999999</v>
      </c>
      <c r="W445" s="162">
        <v>-0.4461</v>
      </c>
      <c r="X445" s="162">
        <v>-0.41010000000000002</v>
      </c>
      <c r="Y445" s="162">
        <v>-0.37259999999999999</v>
      </c>
      <c r="Z445" s="162">
        <v>-0.33289999999999997</v>
      </c>
      <c r="AA445" s="162">
        <v>-0.28939999999999999</v>
      </c>
      <c r="AB445" s="162">
        <v>-0.2457</v>
      </c>
      <c r="AC445" s="162">
        <v>-0.20649999999999999</v>
      </c>
      <c r="AD445" s="162">
        <v>-0.1636</v>
      </c>
      <c r="AE445" s="162">
        <v>-0.12839999999999999</v>
      </c>
      <c r="AF445" s="162">
        <v>-0.1022</v>
      </c>
      <c r="AG445" s="162">
        <v>-8.5599999999999996E-2</v>
      </c>
      <c r="AH445" s="162">
        <v>-6.9000000000000006E-2</v>
      </c>
      <c r="AI445" s="162">
        <v>-5.2299999999999999E-2</v>
      </c>
      <c r="AJ445" s="162">
        <v>-3.5700000000000003E-2</v>
      </c>
      <c r="AK445" s="162">
        <v>-1.9099999999999999E-2</v>
      </c>
      <c r="AL445" s="162">
        <v>-1.8599999999999998E-2</v>
      </c>
      <c r="AM445" s="162">
        <v>-1.8100000000000002E-2</v>
      </c>
      <c r="AN445" s="162">
        <v>-1.7500000000000002E-2</v>
      </c>
      <c r="AO445" s="162">
        <v>-1.7000000000000001E-2</v>
      </c>
      <c r="AP445" s="162">
        <v>-1.6500000000000001E-2</v>
      </c>
      <c r="AQ445" s="162">
        <v>-2.1100000000000001E-2</v>
      </c>
      <c r="AR445" s="162">
        <v>-2.5600000000000001E-2</v>
      </c>
      <c r="AS445" s="162">
        <v>-3.0200000000000001E-2</v>
      </c>
      <c r="AT445" s="162">
        <v>-3.4700000000000002E-2</v>
      </c>
      <c r="AU445" s="162">
        <v>-3.9300000000000002E-2</v>
      </c>
    </row>
    <row r="446" spans="1:47" ht="12.75" customHeight="1">
      <c r="A446" s="459">
        <v>44015</v>
      </c>
      <c r="B446" s="139">
        <v>27</v>
      </c>
      <c r="C446" s="162">
        <v>-0.46050000000000002</v>
      </c>
      <c r="D446" s="162">
        <v>-0.46050000000000002</v>
      </c>
      <c r="E446" s="162">
        <v>-0.4718</v>
      </c>
      <c r="F446" s="162">
        <v>-0.47210000000000002</v>
      </c>
      <c r="G446" s="162">
        <v>-0.47289999999999999</v>
      </c>
      <c r="H446" s="162">
        <v>-0.47599999999999998</v>
      </c>
      <c r="I446" s="162">
        <v>-0.47920000000000001</v>
      </c>
      <c r="J446" s="162">
        <v>-0.48330000000000001</v>
      </c>
      <c r="K446" s="162">
        <v>-0.48620000000000002</v>
      </c>
      <c r="L446" s="162">
        <v>-0.48880000000000001</v>
      </c>
      <c r="M446" s="162">
        <v>-0.49349999999999999</v>
      </c>
      <c r="N446" s="162">
        <v>-0.496</v>
      </c>
      <c r="O446" s="162">
        <v>-0.49859999999999999</v>
      </c>
      <c r="P446" s="162">
        <v>-0.50260000000000005</v>
      </c>
      <c r="Q446" s="162">
        <v>-0.50649999999999995</v>
      </c>
      <c r="R446" s="162">
        <v>-0.50900000000000001</v>
      </c>
      <c r="S446" s="162">
        <v>-0.53369999999999995</v>
      </c>
      <c r="T446" s="162">
        <v>-0.53590000000000004</v>
      </c>
      <c r="U446" s="162">
        <v>-0.52129999999999999</v>
      </c>
      <c r="V446" s="162">
        <v>-0.498</v>
      </c>
      <c r="W446" s="162">
        <v>-0.4667</v>
      </c>
      <c r="X446" s="162">
        <v>-0.43180000000000002</v>
      </c>
      <c r="Y446" s="162">
        <v>-0.39410000000000001</v>
      </c>
      <c r="Z446" s="162">
        <v>-0.35420000000000001</v>
      </c>
      <c r="AA446" s="162">
        <v>-0.31130000000000002</v>
      </c>
      <c r="AB446" s="162">
        <v>-0.26419999999999999</v>
      </c>
      <c r="AC446" s="162">
        <v>-0.22500000000000001</v>
      </c>
      <c r="AD446" s="162">
        <v>-0.17979999999999999</v>
      </c>
      <c r="AE446" s="162">
        <v>-0.14419999999999999</v>
      </c>
      <c r="AF446" s="162">
        <v>-0.1178</v>
      </c>
      <c r="AG446" s="162">
        <v>-0.1011</v>
      </c>
      <c r="AH446" s="162">
        <v>-8.4400000000000003E-2</v>
      </c>
      <c r="AI446" s="162">
        <v>-6.7799999999999999E-2</v>
      </c>
      <c r="AJ446" s="162">
        <v>-5.11E-2</v>
      </c>
      <c r="AK446" s="162">
        <v>-3.44E-2</v>
      </c>
      <c r="AL446" s="162">
        <v>-3.4000000000000002E-2</v>
      </c>
      <c r="AM446" s="162">
        <v>-3.3599999999999998E-2</v>
      </c>
      <c r="AN446" s="162">
        <v>-3.3300000000000003E-2</v>
      </c>
      <c r="AO446" s="162">
        <v>-3.2899999999999999E-2</v>
      </c>
      <c r="AP446" s="162">
        <v>-3.2500000000000001E-2</v>
      </c>
      <c r="AQ446" s="162">
        <v>-3.7499999999999999E-2</v>
      </c>
      <c r="AR446" s="162">
        <v>-4.24E-2</v>
      </c>
      <c r="AS446" s="162">
        <v>-4.7399999999999998E-2</v>
      </c>
      <c r="AT446" s="162">
        <v>-5.2299999999999999E-2</v>
      </c>
      <c r="AU446" s="162">
        <v>-5.7299999999999997E-2</v>
      </c>
    </row>
    <row r="447" spans="1:47" ht="12.75" customHeight="1">
      <c r="A447" s="459">
        <v>44022</v>
      </c>
      <c r="B447" s="139">
        <v>28</v>
      </c>
      <c r="C447" s="162">
        <v>-0.46400000000000002</v>
      </c>
      <c r="D447" s="162">
        <v>-0.46400000000000002</v>
      </c>
      <c r="E447" s="162">
        <v>-0.46300000000000002</v>
      </c>
      <c r="F447" s="162">
        <v>-0.46300000000000002</v>
      </c>
      <c r="G447" s="162">
        <v>-0.46560000000000001</v>
      </c>
      <c r="H447" s="162">
        <v>-0.46929999999999999</v>
      </c>
      <c r="I447" s="162">
        <v>-0.47349999999999998</v>
      </c>
      <c r="J447" s="162">
        <v>-0.47789999999999999</v>
      </c>
      <c r="K447" s="162">
        <v>-0.48120000000000002</v>
      </c>
      <c r="L447" s="162">
        <v>-0.48470000000000002</v>
      </c>
      <c r="M447" s="162">
        <v>-0.48899999999999999</v>
      </c>
      <c r="N447" s="162">
        <v>-0.49209999999999998</v>
      </c>
      <c r="O447" s="162">
        <v>-0.49559999999999998</v>
      </c>
      <c r="P447" s="162">
        <v>-0.49890000000000001</v>
      </c>
      <c r="Q447" s="162">
        <v>-0.50260000000000005</v>
      </c>
      <c r="R447" s="162">
        <v>-0.50549999999999995</v>
      </c>
      <c r="S447" s="162">
        <v>-0.52849999999999997</v>
      </c>
      <c r="T447" s="162">
        <v>-0.53049999999999997</v>
      </c>
      <c r="U447" s="162">
        <v>-0.51670000000000005</v>
      </c>
      <c r="V447" s="162">
        <v>-0.49280000000000002</v>
      </c>
      <c r="W447" s="162">
        <v>-0.4622</v>
      </c>
      <c r="X447" s="162">
        <v>-0.42820000000000003</v>
      </c>
      <c r="Y447" s="162">
        <v>-0.39040000000000002</v>
      </c>
      <c r="Z447" s="162">
        <v>-0.3498</v>
      </c>
      <c r="AA447" s="162">
        <v>-0.30590000000000001</v>
      </c>
      <c r="AB447" s="162">
        <v>-0.2631</v>
      </c>
      <c r="AC447" s="162">
        <v>-0.22289999999999999</v>
      </c>
      <c r="AD447" s="162">
        <v>-0.1832</v>
      </c>
      <c r="AE447" s="162">
        <v>-0.14760000000000001</v>
      </c>
      <c r="AF447" s="162">
        <v>-0.1168</v>
      </c>
      <c r="AG447" s="162">
        <v>-9.98E-2</v>
      </c>
      <c r="AH447" s="162">
        <v>-8.2799999999999999E-2</v>
      </c>
      <c r="AI447" s="162">
        <v>-6.59E-2</v>
      </c>
      <c r="AJ447" s="162">
        <v>-4.8899999999999999E-2</v>
      </c>
      <c r="AK447" s="162">
        <v>-3.1899999999999998E-2</v>
      </c>
      <c r="AL447" s="162">
        <v>-3.2199999999999999E-2</v>
      </c>
      <c r="AM447" s="162">
        <v>-3.2500000000000001E-2</v>
      </c>
      <c r="AN447" s="162">
        <v>-3.27E-2</v>
      </c>
      <c r="AO447" s="162">
        <v>-3.3000000000000002E-2</v>
      </c>
      <c r="AP447" s="162">
        <v>-3.3300000000000003E-2</v>
      </c>
      <c r="AQ447" s="162">
        <v>-3.8300000000000001E-2</v>
      </c>
      <c r="AR447" s="162">
        <v>-4.3299999999999998E-2</v>
      </c>
      <c r="AS447" s="162">
        <v>-4.8300000000000003E-2</v>
      </c>
      <c r="AT447" s="162">
        <v>-5.33E-2</v>
      </c>
      <c r="AU447" s="162">
        <v>-5.8299999999999998E-2</v>
      </c>
    </row>
    <row r="448" spans="1:47" ht="12.75" customHeight="1">
      <c r="A448" s="459">
        <v>44029</v>
      </c>
      <c r="B448" s="139">
        <v>29</v>
      </c>
      <c r="C448" s="162">
        <v>-0.46450000000000002</v>
      </c>
      <c r="D448" s="162">
        <v>-0.46450000000000002</v>
      </c>
      <c r="E448" s="162">
        <v>-0.46479999999999999</v>
      </c>
      <c r="F448" s="162">
        <v>-0.4652</v>
      </c>
      <c r="G448" s="162">
        <v>-0.46829999999999999</v>
      </c>
      <c r="H448" s="162">
        <v>-0.46939999999999998</v>
      </c>
      <c r="I448" s="162">
        <v>-0.47460000000000002</v>
      </c>
      <c r="J448" s="162">
        <v>-0.4783</v>
      </c>
      <c r="K448" s="162">
        <v>-0.4803</v>
      </c>
      <c r="L448" s="162">
        <v>-0.48380000000000001</v>
      </c>
      <c r="M448" s="162">
        <v>-0.48630000000000001</v>
      </c>
      <c r="N448" s="162">
        <v>-0.48899999999999999</v>
      </c>
      <c r="O448" s="162">
        <v>-0.49180000000000001</v>
      </c>
      <c r="P448" s="162">
        <v>-0.4945</v>
      </c>
      <c r="Q448" s="162">
        <v>-0.49709999999999999</v>
      </c>
      <c r="R448" s="162">
        <v>-0.5</v>
      </c>
      <c r="S448" s="162">
        <v>-0.52059999999999995</v>
      </c>
      <c r="T448" s="162">
        <v>-0.52149999999999996</v>
      </c>
      <c r="U448" s="162">
        <v>-0.50980000000000003</v>
      </c>
      <c r="V448" s="162">
        <v>-0.48870000000000002</v>
      </c>
      <c r="W448" s="162">
        <v>-0.46189999999999998</v>
      </c>
      <c r="X448" s="162">
        <v>-0.43059999999999998</v>
      </c>
      <c r="Y448" s="162">
        <v>-0.39329999999999998</v>
      </c>
      <c r="Z448" s="162">
        <v>-0.35339999999999999</v>
      </c>
      <c r="AA448" s="162">
        <v>-0.31140000000000001</v>
      </c>
      <c r="AB448" s="162">
        <v>-0.26819999999999999</v>
      </c>
      <c r="AC448" s="162">
        <v>-0.22359999999999999</v>
      </c>
      <c r="AD448" s="162">
        <v>-0.19350000000000001</v>
      </c>
      <c r="AE448" s="162">
        <v>-0.1588</v>
      </c>
      <c r="AF448" s="162">
        <v>-0.1205</v>
      </c>
      <c r="AG448" s="162">
        <v>-0.10489999999999999</v>
      </c>
      <c r="AH448" s="162">
        <v>-8.9300000000000004E-2</v>
      </c>
      <c r="AI448" s="162">
        <v>-7.3599999999999999E-2</v>
      </c>
      <c r="AJ448" s="162">
        <v>-5.8000000000000003E-2</v>
      </c>
      <c r="AK448" s="162">
        <v>-4.24E-2</v>
      </c>
      <c r="AL448" s="162">
        <v>-4.2000000000000003E-2</v>
      </c>
      <c r="AM448" s="162">
        <v>-4.1599999999999998E-2</v>
      </c>
      <c r="AN448" s="162">
        <v>-4.1200000000000001E-2</v>
      </c>
      <c r="AO448" s="162">
        <v>-4.0800000000000003E-2</v>
      </c>
      <c r="AP448" s="162">
        <v>-4.0399999999999998E-2</v>
      </c>
      <c r="AQ448" s="162">
        <v>-4.5699999999999998E-2</v>
      </c>
      <c r="AR448" s="162">
        <v>-5.0999999999999997E-2</v>
      </c>
      <c r="AS448" s="162">
        <v>-5.6300000000000003E-2</v>
      </c>
      <c r="AT448" s="162">
        <v>-6.1699999999999998E-2</v>
      </c>
      <c r="AU448" s="162">
        <v>-6.7000000000000004E-2</v>
      </c>
    </row>
    <row r="449" spans="1:47" ht="12.75" customHeight="1">
      <c r="A449" s="459">
        <v>44036</v>
      </c>
      <c r="B449" s="139">
        <v>30</v>
      </c>
      <c r="C449" s="162">
        <v>-0.46379999999999999</v>
      </c>
      <c r="D449" s="162">
        <v>-0.46379999999999999</v>
      </c>
      <c r="E449" s="162">
        <v>-0.4662</v>
      </c>
      <c r="F449" s="162">
        <v>-0.46679999999999999</v>
      </c>
      <c r="G449" s="162">
        <v>-0.4672</v>
      </c>
      <c r="H449" s="162">
        <v>-0.46800000000000003</v>
      </c>
      <c r="I449" s="162">
        <v>-0.4718</v>
      </c>
      <c r="J449" s="162">
        <v>-0.47449999999999998</v>
      </c>
      <c r="K449" s="162">
        <v>-0.47649999999999998</v>
      </c>
      <c r="L449" s="162">
        <v>-0.47939999999999999</v>
      </c>
      <c r="M449" s="162">
        <v>-0.48259999999999997</v>
      </c>
      <c r="N449" s="162">
        <v>-0.48420000000000002</v>
      </c>
      <c r="O449" s="162">
        <v>-0.4874</v>
      </c>
      <c r="P449" s="162">
        <v>-0.49</v>
      </c>
      <c r="Q449" s="162">
        <v>-0.49259999999999998</v>
      </c>
      <c r="R449" s="162">
        <v>-0.49519999999999997</v>
      </c>
      <c r="S449" s="162">
        <v>-0.51590000000000003</v>
      </c>
      <c r="T449" s="162">
        <v>-0.5212</v>
      </c>
      <c r="U449" s="162">
        <v>-0.51090000000000002</v>
      </c>
      <c r="V449" s="162">
        <v>-0.49030000000000001</v>
      </c>
      <c r="W449" s="162">
        <v>-0.46329999999999999</v>
      </c>
      <c r="X449" s="162">
        <v>-0.43120000000000003</v>
      </c>
      <c r="Y449" s="162">
        <v>-0.39529999999999998</v>
      </c>
      <c r="Z449" s="162">
        <v>-0.35610000000000003</v>
      </c>
      <c r="AA449" s="162">
        <v>-0.3145</v>
      </c>
      <c r="AB449" s="162">
        <v>-0.27289999999999998</v>
      </c>
      <c r="AC449" s="162">
        <v>-0.23039999999999999</v>
      </c>
      <c r="AD449" s="162">
        <v>-0.19139999999999999</v>
      </c>
      <c r="AE449" s="162">
        <v>-0.157</v>
      </c>
      <c r="AF449" s="162">
        <v>-0.1273</v>
      </c>
      <c r="AG449" s="162">
        <v>-0.11210000000000001</v>
      </c>
      <c r="AH449" s="162">
        <v>-9.6799999999999997E-2</v>
      </c>
      <c r="AI449" s="162">
        <v>-8.1600000000000006E-2</v>
      </c>
      <c r="AJ449" s="162">
        <v>-6.6299999999999998E-2</v>
      </c>
      <c r="AK449" s="162">
        <v>-5.11E-2</v>
      </c>
      <c r="AL449" s="162">
        <v>-5.1299999999999998E-2</v>
      </c>
      <c r="AM449" s="162">
        <v>-5.16E-2</v>
      </c>
      <c r="AN449" s="162">
        <v>-5.1799999999999999E-2</v>
      </c>
      <c r="AO449" s="162">
        <v>-5.21E-2</v>
      </c>
      <c r="AP449" s="162">
        <v>-5.2299999999999999E-2</v>
      </c>
      <c r="AQ449" s="162">
        <v>-5.7799999999999997E-2</v>
      </c>
      <c r="AR449" s="162">
        <v>-6.3399999999999998E-2</v>
      </c>
      <c r="AS449" s="162">
        <v>-6.8900000000000003E-2</v>
      </c>
      <c r="AT449" s="162">
        <v>-7.4399999999999994E-2</v>
      </c>
      <c r="AU449" s="162">
        <v>-0.08</v>
      </c>
    </row>
    <row r="450" spans="1:47" ht="12.75" customHeight="1">
      <c r="A450" s="459">
        <v>44043</v>
      </c>
      <c r="B450" s="139">
        <v>31</v>
      </c>
      <c r="C450" s="162">
        <v>-0.46500000000000002</v>
      </c>
      <c r="D450" s="162">
        <v>-0.46500000000000002</v>
      </c>
      <c r="E450" s="162">
        <v>-0.4647</v>
      </c>
      <c r="F450" s="162">
        <v>-0.46500000000000002</v>
      </c>
      <c r="G450" s="162">
        <v>-0.46429999999999999</v>
      </c>
      <c r="H450" s="162">
        <v>-0.4657</v>
      </c>
      <c r="I450" s="162">
        <v>-0.46789999999999998</v>
      </c>
      <c r="J450" s="162">
        <v>-0.47010000000000002</v>
      </c>
      <c r="K450" s="162">
        <v>-0.47270000000000001</v>
      </c>
      <c r="L450" s="162">
        <v>-0.47539999999999999</v>
      </c>
      <c r="M450" s="162">
        <v>-0.47860000000000003</v>
      </c>
      <c r="N450" s="162">
        <v>-0.48149999999999998</v>
      </c>
      <c r="O450" s="162">
        <v>-0.48470000000000002</v>
      </c>
      <c r="P450" s="162">
        <v>-0.48780000000000001</v>
      </c>
      <c r="Q450" s="162">
        <v>-0.49080000000000001</v>
      </c>
      <c r="R450" s="162">
        <v>-0.49380000000000002</v>
      </c>
      <c r="S450" s="162">
        <v>-0.51859999999999995</v>
      </c>
      <c r="T450" s="162">
        <v>-0.52600000000000002</v>
      </c>
      <c r="U450" s="162">
        <v>-0.51970000000000005</v>
      </c>
      <c r="V450" s="162">
        <v>-0.50290000000000001</v>
      </c>
      <c r="W450" s="162">
        <v>-0.47749999999999998</v>
      </c>
      <c r="X450" s="162">
        <v>-0.4466</v>
      </c>
      <c r="Y450" s="162">
        <v>-0.4128</v>
      </c>
      <c r="Z450" s="162">
        <v>-0.37440000000000001</v>
      </c>
      <c r="AA450" s="162">
        <v>-0.3337</v>
      </c>
      <c r="AB450" s="162">
        <v>-0.29339999999999999</v>
      </c>
      <c r="AC450" s="162">
        <v>-0.25240000000000001</v>
      </c>
      <c r="AD450" s="162">
        <v>-0.21840000000000001</v>
      </c>
      <c r="AE450" s="162">
        <v>-0.18459999999999999</v>
      </c>
      <c r="AF450" s="162">
        <v>-0.152</v>
      </c>
      <c r="AG450" s="162">
        <v>-0.1376</v>
      </c>
      <c r="AH450" s="162">
        <v>-0.1232</v>
      </c>
      <c r="AI450" s="162">
        <v>-0.1089</v>
      </c>
      <c r="AJ450" s="162">
        <v>-9.4500000000000001E-2</v>
      </c>
      <c r="AK450" s="162">
        <v>-8.0100000000000005E-2</v>
      </c>
      <c r="AL450" s="162">
        <v>-8.0799999999999997E-2</v>
      </c>
      <c r="AM450" s="162">
        <v>-8.1600000000000006E-2</v>
      </c>
      <c r="AN450" s="162">
        <v>-8.2299999999999998E-2</v>
      </c>
      <c r="AO450" s="162">
        <v>-8.3099999999999993E-2</v>
      </c>
      <c r="AP450" s="162">
        <v>-8.3799999999999999E-2</v>
      </c>
      <c r="AQ450" s="162">
        <v>-8.9499999999999996E-2</v>
      </c>
      <c r="AR450" s="162">
        <v>-9.5200000000000007E-2</v>
      </c>
      <c r="AS450" s="162">
        <v>-0.1009</v>
      </c>
      <c r="AT450" s="162">
        <v>-0.1066</v>
      </c>
      <c r="AU450" s="162">
        <v>-0.11219999999999999</v>
      </c>
    </row>
    <row r="451" spans="1:47" ht="12.75" customHeight="1">
      <c r="A451" s="459">
        <v>44050</v>
      </c>
      <c r="B451" s="139">
        <v>32</v>
      </c>
      <c r="C451" s="162">
        <v>-0.46700000000000003</v>
      </c>
      <c r="D451" s="162">
        <v>-0.46700000000000003</v>
      </c>
      <c r="E451" s="162">
        <v>-0.46560000000000001</v>
      </c>
      <c r="F451" s="162">
        <v>-0.46529999999999999</v>
      </c>
      <c r="G451" s="162">
        <v>-0.4652</v>
      </c>
      <c r="H451" s="162">
        <v>-0.46710000000000002</v>
      </c>
      <c r="I451" s="162">
        <v>-0.46899999999999997</v>
      </c>
      <c r="J451" s="162">
        <v>-0.4718</v>
      </c>
      <c r="K451" s="162">
        <v>-0.47549999999999998</v>
      </c>
      <c r="L451" s="162">
        <v>-0.47920000000000001</v>
      </c>
      <c r="M451" s="162">
        <v>-0.48220000000000002</v>
      </c>
      <c r="N451" s="162">
        <v>-0.48649999999999999</v>
      </c>
      <c r="O451" s="162">
        <v>-0.48959999999999998</v>
      </c>
      <c r="P451" s="162">
        <v>-0.49280000000000002</v>
      </c>
      <c r="Q451" s="162">
        <v>-0.49630000000000002</v>
      </c>
      <c r="R451" s="162">
        <v>-0.49930000000000002</v>
      </c>
      <c r="S451" s="162">
        <v>-0.52429999999999999</v>
      </c>
      <c r="T451" s="162">
        <v>-0.53359999999999996</v>
      </c>
      <c r="U451" s="162">
        <v>-0.52829999999999999</v>
      </c>
      <c r="V451" s="162">
        <v>-0.5141</v>
      </c>
      <c r="W451" s="162">
        <v>-0.49109999999999998</v>
      </c>
      <c r="X451" s="162">
        <v>-0.46460000000000001</v>
      </c>
      <c r="Y451" s="162">
        <v>-0.433</v>
      </c>
      <c r="Z451" s="162">
        <v>-0.39750000000000002</v>
      </c>
      <c r="AA451" s="162">
        <v>-0.3584</v>
      </c>
      <c r="AB451" s="162">
        <v>-0.31900000000000001</v>
      </c>
      <c r="AC451" s="162">
        <v>-0.27900000000000003</v>
      </c>
      <c r="AD451" s="162">
        <v>-0.2437</v>
      </c>
      <c r="AE451" s="162">
        <v>-0.21049999999999999</v>
      </c>
      <c r="AF451" s="162">
        <v>-0.18079999999999999</v>
      </c>
      <c r="AG451" s="162">
        <v>-0.16700000000000001</v>
      </c>
      <c r="AH451" s="162">
        <v>-0.1532</v>
      </c>
      <c r="AI451" s="162">
        <v>-0.1394</v>
      </c>
      <c r="AJ451" s="162">
        <v>-0.12559999999999999</v>
      </c>
      <c r="AK451" s="162">
        <v>-0.1118</v>
      </c>
      <c r="AL451" s="162">
        <v>-0.1133</v>
      </c>
      <c r="AM451" s="162">
        <v>-0.1148</v>
      </c>
      <c r="AN451" s="162">
        <v>-0.1164</v>
      </c>
      <c r="AO451" s="162">
        <v>-0.1179</v>
      </c>
      <c r="AP451" s="162">
        <v>-0.11940000000000001</v>
      </c>
      <c r="AQ451" s="162">
        <v>-0.12620000000000001</v>
      </c>
      <c r="AR451" s="162">
        <v>-0.13289999999999999</v>
      </c>
      <c r="AS451" s="162">
        <v>-0.13969999999999999</v>
      </c>
      <c r="AT451" s="162">
        <v>-0.14649999999999999</v>
      </c>
      <c r="AU451" s="162">
        <v>-0.15329999999999999</v>
      </c>
    </row>
    <row r="452" spans="1:47" ht="12.75" customHeight="1">
      <c r="A452" s="459">
        <v>44057</v>
      </c>
      <c r="B452" s="139">
        <v>33</v>
      </c>
      <c r="C452" s="162">
        <v>-0.46700000000000003</v>
      </c>
      <c r="D452" s="162">
        <v>-0.46700000000000003</v>
      </c>
      <c r="E452" s="162">
        <v>-0.46760000000000002</v>
      </c>
      <c r="F452" s="162">
        <v>-0.46739999999999998</v>
      </c>
      <c r="G452" s="162">
        <v>-0.46750000000000003</v>
      </c>
      <c r="H452" s="162">
        <v>-0.46850000000000003</v>
      </c>
      <c r="I452" s="162">
        <v>-0.47089999999999999</v>
      </c>
      <c r="J452" s="162">
        <v>-0.47320000000000001</v>
      </c>
      <c r="K452" s="162">
        <v>-0.4778</v>
      </c>
      <c r="L452" s="162">
        <v>-0.48120000000000002</v>
      </c>
      <c r="M452" s="162">
        <v>-0.4844</v>
      </c>
      <c r="N452" s="162">
        <v>-0.4884</v>
      </c>
      <c r="O452" s="162">
        <v>-0.4919</v>
      </c>
      <c r="P452" s="162">
        <v>-0.495</v>
      </c>
      <c r="Q452" s="162">
        <v>-0.498</v>
      </c>
      <c r="R452" s="162">
        <v>-0.50119999999999998</v>
      </c>
      <c r="S452" s="162">
        <v>-0.52339999999999998</v>
      </c>
      <c r="T452" s="162">
        <v>-0.53249999999999997</v>
      </c>
      <c r="U452" s="162">
        <v>-0.52890000000000004</v>
      </c>
      <c r="V452" s="162">
        <v>-0.51480000000000004</v>
      </c>
      <c r="W452" s="162">
        <v>-0.49199999999999999</v>
      </c>
      <c r="X452" s="162">
        <v>-0.46360000000000001</v>
      </c>
      <c r="Y452" s="162">
        <v>-0.43149999999999999</v>
      </c>
      <c r="Z452" s="162">
        <v>-0.39700000000000002</v>
      </c>
      <c r="AA452" s="162">
        <v>-0.35799999999999998</v>
      </c>
      <c r="AB452" s="162">
        <v>-0.31590000000000001</v>
      </c>
      <c r="AC452" s="162">
        <v>-0.27739999999999998</v>
      </c>
      <c r="AD452" s="162">
        <v>-0.23899999999999999</v>
      </c>
      <c r="AE452" s="162">
        <v>-0.20580000000000001</v>
      </c>
      <c r="AF452" s="162">
        <v>-0.1779</v>
      </c>
      <c r="AG452" s="162">
        <v>-0.16339999999999999</v>
      </c>
      <c r="AH452" s="162">
        <v>-0.14899999999999999</v>
      </c>
      <c r="AI452" s="162">
        <v>-0.13450000000000001</v>
      </c>
      <c r="AJ452" s="162">
        <v>-0.12</v>
      </c>
      <c r="AK452" s="162">
        <v>-0.1056</v>
      </c>
      <c r="AL452" s="162">
        <v>-0.107</v>
      </c>
      <c r="AM452" s="162">
        <v>-0.1085</v>
      </c>
      <c r="AN452" s="162">
        <v>-0.1099</v>
      </c>
      <c r="AO452" s="162">
        <v>-0.1114</v>
      </c>
      <c r="AP452" s="162">
        <v>-0.1128</v>
      </c>
      <c r="AQ452" s="162">
        <v>-0.1192</v>
      </c>
      <c r="AR452" s="162">
        <v>-0.12559999999999999</v>
      </c>
      <c r="AS452" s="162">
        <v>-0.13200000000000001</v>
      </c>
      <c r="AT452" s="162">
        <v>-0.1384</v>
      </c>
      <c r="AU452" s="162">
        <v>-0.14480000000000001</v>
      </c>
    </row>
    <row r="453" spans="1:47" ht="12.75" customHeight="1">
      <c r="A453" s="459">
        <v>44064</v>
      </c>
      <c r="B453" s="139">
        <v>34</v>
      </c>
      <c r="C453" s="162">
        <v>-0.46750000000000003</v>
      </c>
      <c r="D453" s="162">
        <v>-0.46750000000000003</v>
      </c>
      <c r="E453" s="162">
        <v>-0.4667</v>
      </c>
      <c r="F453" s="162">
        <v>-0.46600000000000003</v>
      </c>
      <c r="G453" s="162">
        <v>-0.46629999999999999</v>
      </c>
      <c r="H453" s="162">
        <v>-0.46879999999999999</v>
      </c>
      <c r="I453" s="162">
        <v>-0.47020000000000001</v>
      </c>
      <c r="J453" s="162">
        <v>-0.47239999999999999</v>
      </c>
      <c r="K453" s="162">
        <v>-0.47539999999999999</v>
      </c>
      <c r="L453" s="162">
        <v>-0.47820000000000001</v>
      </c>
      <c r="M453" s="162">
        <v>-0.48060000000000003</v>
      </c>
      <c r="N453" s="162">
        <v>-0.4829</v>
      </c>
      <c r="O453" s="162">
        <v>-0.48509999999999998</v>
      </c>
      <c r="P453" s="162">
        <v>-0.4874</v>
      </c>
      <c r="Q453" s="162">
        <v>-0.48930000000000001</v>
      </c>
      <c r="R453" s="162">
        <v>-0.49109999999999998</v>
      </c>
      <c r="S453" s="162">
        <v>-0.50339999999999996</v>
      </c>
      <c r="T453" s="162">
        <v>-0.50439999999999996</v>
      </c>
      <c r="U453" s="162">
        <v>-0.49609999999999999</v>
      </c>
      <c r="V453" s="162">
        <v>-0.47770000000000001</v>
      </c>
      <c r="W453" s="162">
        <v>-0.45040000000000002</v>
      </c>
      <c r="X453" s="162">
        <v>-0.41839999999999999</v>
      </c>
      <c r="Y453" s="162">
        <v>-0.38269999999999998</v>
      </c>
      <c r="Z453" s="162">
        <v>-0.34300000000000003</v>
      </c>
      <c r="AA453" s="162">
        <v>-0.29980000000000001</v>
      </c>
      <c r="AB453" s="162">
        <v>-0.25790000000000002</v>
      </c>
      <c r="AC453" s="162">
        <v>-0.215</v>
      </c>
      <c r="AD453" s="162">
        <v>-0.17580000000000001</v>
      </c>
      <c r="AE453" s="162">
        <v>-0.1399</v>
      </c>
      <c r="AF453" s="162">
        <v>-0.11020000000000001</v>
      </c>
      <c r="AG453" s="162">
        <v>-9.4399999999999998E-2</v>
      </c>
      <c r="AH453" s="162">
        <v>-7.85E-2</v>
      </c>
      <c r="AI453" s="162">
        <v>-6.2700000000000006E-2</v>
      </c>
      <c r="AJ453" s="162">
        <v>-4.6800000000000001E-2</v>
      </c>
      <c r="AK453" s="162">
        <v>-3.1E-2</v>
      </c>
      <c r="AL453" s="162">
        <v>-3.1300000000000001E-2</v>
      </c>
      <c r="AM453" s="162">
        <v>-3.15E-2</v>
      </c>
      <c r="AN453" s="162">
        <v>-3.1800000000000002E-2</v>
      </c>
      <c r="AO453" s="162">
        <v>-3.2000000000000001E-2</v>
      </c>
      <c r="AP453" s="162">
        <v>-3.2300000000000002E-2</v>
      </c>
      <c r="AQ453" s="162">
        <v>-3.8100000000000002E-2</v>
      </c>
      <c r="AR453" s="162">
        <v>-4.3999999999999997E-2</v>
      </c>
      <c r="AS453" s="162">
        <v>-4.9799999999999997E-2</v>
      </c>
      <c r="AT453" s="162">
        <v>-5.5599999999999997E-2</v>
      </c>
      <c r="AU453" s="162">
        <v>-6.1400000000000003E-2</v>
      </c>
    </row>
    <row r="454" spans="1:47" ht="12.75" customHeight="1">
      <c r="A454" s="459">
        <v>44071</v>
      </c>
      <c r="B454" s="139">
        <v>35</v>
      </c>
      <c r="C454" s="162">
        <v>-0.46829999999999999</v>
      </c>
      <c r="D454" s="162">
        <v>-0.46829999999999999</v>
      </c>
      <c r="E454" s="162">
        <v>-0.46479999999999999</v>
      </c>
      <c r="F454" s="162">
        <v>-0.46439999999999998</v>
      </c>
      <c r="G454" s="162">
        <v>-0.46560000000000001</v>
      </c>
      <c r="H454" s="162">
        <v>-0.4672</v>
      </c>
      <c r="I454" s="162">
        <v>-0.46820000000000001</v>
      </c>
      <c r="J454" s="162">
        <v>-0.4703</v>
      </c>
      <c r="K454" s="162">
        <v>-0.47299999999999998</v>
      </c>
      <c r="L454" s="162">
        <v>-0.47539999999999999</v>
      </c>
      <c r="M454" s="162">
        <v>-0.47760000000000002</v>
      </c>
      <c r="N454" s="162">
        <v>-0.47989999999999999</v>
      </c>
      <c r="O454" s="162">
        <v>-0.48220000000000002</v>
      </c>
      <c r="P454" s="162">
        <v>-0.48509999999999998</v>
      </c>
      <c r="Q454" s="162">
        <v>-0.4874</v>
      </c>
      <c r="R454" s="162">
        <v>-0.4894</v>
      </c>
      <c r="S454" s="162">
        <v>-0.50839999999999996</v>
      </c>
      <c r="T454" s="162">
        <v>-0.51300000000000001</v>
      </c>
      <c r="U454" s="162">
        <v>-0.50949999999999995</v>
      </c>
      <c r="V454" s="162">
        <v>-0.49390000000000001</v>
      </c>
      <c r="W454" s="162">
        <v>-0.46510000000000001</v>
      </c>
      <c r="X454" s="162">
        <v>-0.4355</v>
      </c>
      <c r="Y454" s="162">
        <v>-0.39789999999999998</v>
      </c>
      <c r="Z454" s="162">
        <v>-0.36070000000000002</v>
      </c>
      <c r="AA454" s="162">
        <v>-0.31619999999999998</v>
      </c>
      <c r="AB454" s="162">
        <v>-0.27379999999999999</v>
      </c>
      <c r="AC454" s="162">
        <v>-0.23019999999999999</v>
      </c>
      <c r="AD454" s="162">
        <v>-0.191</v>
      </c>
      <c r="AE454" s="162">
        <v>-0.15540000000000001</v>
      </c>
      <c r="AF454" s="162">
        <v>-0.12529999999999999</v>
      </c>
      <c r="AG454" s="162">
        <v>-0.1096</v>
      </c>
      <c r="AH454" s="162">
        <v>-9.3899999999999997E-2</v>
      </c>
      <c r="AI454" s="162">
        <v>-7.8299999999999995E-2</v>
      </c>
      <c r="AJ454" s="162">
        <v>-6.2600000000000003E-2</v>
      </c>
      <c r="AK454" s="162">
        <v>-4.6899999999999997E-2</v>
      </c>
      <c r="AL454" s="162">
        <v>-4.6899999999999997E-2</v>
      </c>
      <c r="AM454" s="162">
        <v>-4.6899999999999997E-2</v>
      </c>
      <c r="AN454" s="162">
        <v>-4.7E-2</v>
      </c>
      <c r="AO454" s="162">
        <v>-4.7E-2</v>
      </c>
      <c r="AP454" s="162">
        <v>-4.7E-2</v>
      </c>
      <c r="AQ454" s="162">
        <v>-5.1999999999999998E-2</v>
      </c>
      <c r="AR454" s="162">
        <v>-5.7099999999999998E-2</v>
      </c>
      <c r="AS454" s="162">
        <v>-6.2100000000000002E-2</v>
      </c>
      <c r="AT454" s="162">
        <v>-6.7199999999999996E-2</v>
      </c>
      <c r="AU454" s="162">
        <v>-7.22E-2</v>
      </c>
    </row>
    <row r="455" spans="1:47" ht="12.75" customHeight="1">
      <c r="A455" s="459">
        <v>44078</v>
      </c>
      <c r="B455" s="139">
        <v>36</v>
      </c>
      <c r="C455" s="162">
        <v>-0.46779999999999999</v>
      </c>
      <c r="D455" s="162">
        <v>-0.46779999999999999</v>
      </c>
      <c r="E455" s="162">
        <v>-0.46629999999999999</v>
      </c>
      <c r="F455" s="162">
        <v>-0.4647</v>
      </c>
      <c r="G455" s="162">
        <v>-0.46650000000000003</v>
      </c>
      <c r="H455" s="162">
        <v>-0.46750000000000003</v>
      </c>
      <c r="I455" s="162">
        <v>-0.46870000000000001</v>
      </c>
      <c r="J455" s="162">
        <v>-0.47070000000000001</v>
      </c>
      <c r="K455" s="162">
        <v>-0.47270000000000001</v>
      </c>
      <c r="L455" s="162">
        <v>-0.47449999999999998</v>
      </c>
      <c r="M455" s="162">
        <v>-0.47610000000000002</v>
      </c>
      <c r="N455" s="162">
        <v>-0.47849999999999998</v>
      </c>
      <c r="O455" s="162">
        <v>-0.48049999999999998</v>
      </c>
      <c r="P455" s="162">
        <v>-0.48270000000000002</v>
      </c>
      <c r="Q455" s="162">
        <v>-0.4849</v>
      </c>
      <c r="R455" s="162">
        <v>-0.4874</v>
      </c>
      <c r="S455" s="162">
        <v>-0.50539999999999996</v>
      </c>
      <c r="T455" s="162">
        <v>-0.50609999999999999</v>
      </c>
      <c r="U455" s="162">
        <v>-0.4965</v>
      </c>
      <c r="V455" s="162">
        <v>-0.4753</v>
      </c>
      <c r="W455" s="162">
        <v>-0.44540000000000002</v>
      </c>
      <c r="X455" s="162">
        <v>-0.40689999999999998</v>
      </c>
      <c r="Y455" s="162">
        <v>-0.36720000000000003</v>
      </c>
      <c r="Z455" s="162">
        <v>-0.32279999999999998</v>
      </c>
      <c r="AA455" s="162">
        <v>-0.27600000000000002</v>
      </c>
      <c r="AB455" s="162">
        <v>-0.2311</v>
      </c>
      <c r="AC455" s="162">
        <v>-0.1825</v>
      </c>
      <c r="AD455" s="162">
        <v>-0.14380000000000001</v>
      </c>
      <c r="AE455" s="162">
        <v>-0.10539999999999999</v>
      </c>
      <c r="AF455" s="162">
        <v>-7.0999999999999994E-2</v>
      </c>
      <c r="AG455" s="162">
        <v>-5.3900000000000003E-2</v>
      </c>
      <c r="AH455" s="162">
        <v>-3.6799999999999999E-2</v>
      </c>
      <c r="AI455" s="162">
        <v>-1.9800000000000002E-2</v>
      </c>
      <c r="AJ455" s="162">
        <v>-2.7000000000000001E-3</v>
      </c>
      <c r="AK455" s="162">
        <v>1.44E-2</v>
      </c>
      <c r="AL455" s="162">
        <v>1.54E-2</v>
      </c>
      <c r="AM455" s="162">
        <v>1.6400000000000001E-2</v>
      </c>
      <c r="AN455" s="162">
        <v>1.7500000000000002E-2</v>
      </c>
      <c r="AO455" s="162">
        <v>1.8499999999999999E-2</v>
      </c>
      <c r="AP455" s="162">
        <v>1.95E-2</v>
      </c>
      <c r="AQ455" s="162">
        <v>1.49E-2</v>
      </c>
      <c r="AR455" s="162">
        <v>1.0200000000000001E-2</v>
      </c>
      <c r="AS455" s="162">
        <v>5.5999999999999999E-3</v>
      </c>
      <c r="AT455" s="162">
        <v>1E-3</v>
      </c>
      <c r="AU455" s="162">
        <v>-3.7000000000000002E-3</v>
      </c>
    </row>
    <row r="456" spans="1:47" ht="12.75" customHeight="1">
      <c r="A456" s="459">
        <v>44085</v>
      </c>
      <c r="B456" s="139">
        <v>37</v>
      </c>
      <c r="C456" s="162">
        <v>-0.46929999999999999</v>
      </c>
      <c r="D456" s="162">
        <v>-0.46929999999999999</v>
      </c>
      <c r="E456" s="162">
        <v>-0.46700000000000003</v>
      </c>
      <c r="F456" s="162">
        <v>-0.46820000000000001</v>
      </c>
      <c r="G456" s="162">
        <v>-0.47060000000000002</v>
      </c>
      <c r="H456" s="162">
        <v>-0.47189999999999999</v>
      </c>
      <c r="I456" s="162">
        <v>-0.47349999999999998</v>
      </c>
      <c r="J456" s="162">
        <v>-0.47639999999999999</v>
      </c>
      <c r="K456" s="162">
        <v>-0.47910000000000003</v>
      </c>
      <c r="L456" s="162">
        <v>-0.48180000000000001</v>
      </c>
      <c r="M456" s="162">
        <v>-0.48530000000000001</v>
      </c>
      <c r="N456" s="162">
        <v>-0.4884</v>
      </c>
      <c r="O456" s="162">
        <v>-0.4914</v>
      </c>
      <c r="P456" s="162">
        <v>-0.49419999999999997</v>
      </c>
      <c r="Q456" s="162">
        <v>-0.498</v>
      </c>
      <c r="R456" s="162">
        <v>-0.50090000000000001</v>
      </c>
      <c r="S456" s="162">
        <v>-0.52439999999999998</v>
      </c>
      <c r="T456" s="162">
        <v>-0.52880000000000005</v>
      </c>
      <c r="U456" s="162">
        <v>-0.52210000000000001</v>
      </c>
      <c r="V456" s="162">
        <v>-0.50039999999999996</v>
      </c>
      <c r="W456" s="162">
        <v>-0.46850000000000003</v>
      </c>
      <c r="X456" s="162">
        <v>-0.43030000000000002</v>
      </c>
      <c r="Y456" s="162">
        <v>-0.3881</v>
      </c>
      <c r="Z456" s="162">
        <v>-0.34329999999999999</v>
      </c>
      <c r="AA456" s="162">
        <v>-0.2949</v>
      </c>
      <c r="AB456" s="162">
        <v>-0.24709999999999999</v>
      </c>
      <c r="AC456" s="162">
        <v>-0.20150000000000001</v>
      </c>
      <c r="AD456" s="162">
        <v>-0.15579999999999999</v>
      </c>
      <c r="AE456" s="162">
        <v>-0.1187</v>
      </c>
      <c r="AF456" s="162">
        <v>-9.1399999999999995E-2</v>
      </c>
      <c r="AG456" s="162">
        <v>-7.3999999999999996E-2</v>
      </c>
      <c r="AH456" s="162">
        <v>-5.67E-2</v>
      </c>
      <c r="AI456" s="162">
        <v>-3.9300000000000002E-2</v>
      </c>
      <c r="AJ456" s="162">
        <v>-2.1899999999999999E-2</v>
      </c>
      <c r="AK456" s="162">
        <v>-4.4999999999999997E-3</v>
      </c>
      <c r="AL456" s="162">
        <v>-2.5000000000000001E-3</v>
      </c>
      <c r="AM456" s="162">
        <v>-5.0000000000000001E-4</v>
      </c>
      <c r="AN456" s="162">
        <v>1.5E-3</v>
      </c>
      <c r="AO456" s="162">
        <v>3.5000000000000001E-3</v>
      </c>
      <c r="AP456" s="162">
        <v>5.5999999999999999E-3</v>
      </c>
      <c r="AQ456" s="162">
        <v>1.8E-3</v>
      </c>
      <c r="AR456" s="162">
        <v>-2E-3</v>
      </c>
      <c r="AS456" s="162">
        <v>-5.8999999999999999E-3</v>
      </c>
      <c r="AT456" s="162">
        <v>-9.7000000000000003E-3</v>
      </c>
      <c r="AU456" s="162">
        <v>-1.35E-2</v>
      </c>
    </row>
    <row r="457" spans="1:47" ht="12.75" customHeight="1">
      <c r="A457" s="459">
        <v>44092</v>
      </c>
      <c r="B457" s="139">
        <v>38</v>
      </c>
      <c r="C457" s="162">
        <v>-0.46800000000000003</v>
      </c>
      <c r="D457" s="162">
        <v>-0.46800000000000003</v>
      </c>
      <c r="E457" s="162">
        <v>-0.46989999999999998</v>
      </c>
      <c r="F457" s="162">
        <v>-0.47110000000000002</v>
      </c>
      <c r="G457" s="162">
        <v>-0.47220000000000001</v>
      </c>
      <c r="H457" s="162">
        <v>-0.47399999999999998</v>
      </c>
      <c r="I457" s="162">
        <v>-0.47610000000000002</v>
      </c>
      <c r="J457" s="162">
        <v>-0.47949999999999998</v>
      </c>
      <c r="K457" s="162">
        <v>-0.48259999999999997</v>
      </c>
      <c r="L457" s="162">
        <v>-0.48449999999999999</v>
      </c>
      <c r="M457" s="162">
        <v>-0.48859999999999998</v>
      </c>
      <c r="N457" s="162">
        <v>-0.49220000000000003</v>
      </c>
      <c r="O457" s="162">
        <v>-0.49509999999999998</v>
      </c>
      <c r="P457" s="162">
        <v>-0.499</v>
      </c>
      <c r="Q457" s="162">
        <v>-0.503</v>
      </c>
      <c r="R457" s="162">
        <v>-0.50649999999999995</v>
      </c>
      <c r="S457" s="162">
        <v>-0.53129999999999999</v>
      </c>
      <c r="T457" s="162">
        <v>-0.53700000000000003</v>
      </c>
      <c r="U457" s="162">
        <v>-0.52729999999999999</v>
      </c>
      <c r="V457" s="162">
        <v>-0.50629999999999997</v>
      </c>
      <c r="W457" s="162">
        <v>-0.4743</v>
      </c>
      <c r="X457" s="162">
        <v>-0.43640000000000001</v>
      </c>
      <c r="Y457" s="162">
        <v>-0.39369999999999999</v>
      </c>
      <c r="Z457" s="162">
        <v>-0.34810000000000002</v>
      </c>
      <c r="AA457" s="162">
        <v>-0.29959999999999998</v>
      </c>
      <c r="AB457" s="162">
        <v>-0.25180000000000002</v>
      </c>
      <c r="AC457" s="162">
        <v>-0.20649999999999999</v>
      </c>
      <c r="AD457" s="162">
        <v>-0.16719999999999999</v>
      </c>
      <c r="AE457" s="162">
        <v>-0.12959999999999999</v>
      </c>
      <c r="AF457" s="162">
        <v>-9.5200000000000007E-2</v>
      </c>
      <c r="AG457" s="162">
        <v>-7.7899999999999997E-2</v>
      </c>
      <c r="AH457" s="162">
        <v>-6.0600000000000001E-2</v>
      </c>
      <c r="AI457" s="162">
        <v>-4.3299999999999998E-2</v>
      </c>
      <c r="AJ457" s="162">
        <v>-2.5999999999999999E-2</v>
      </c>
      <c r="AK457" s="162">
        <v>-8.6999999999999994E-3</v>
      </c>
      <c r="AL457" s="162">
        <v>-7.4999999999999997E-3</v>
      </c>
      <c r="AM457" s="162">
        <v>-6.3E-3</v>
      </c>
      <c r="AN457" s="162">
        <v>-5.0000000000000001E-3</v>
      </c>
      <c r="AO457" s="162">
        <v>-3.8E-3</v>
      </c>
      <c r="AP457" s="162">
        <v>-2.5999999999999999E-3</v>
      </c>
      <c r="AQ457" s="162">
        <v>-6.8999999999999999E-3</v>
      </c>
      <c r="AR457" s="162">
        <v>-1.1299999999999999E-2</v>
      </c>
      <c r="AS457" s="162">
        <v>-1.5599999999999999E-2</v>
      </c>
      <c r="AT457" s="162">
        <v>-1.9900000000000001E-2</v>
      </c>
      <c r="AU457" s="162">
        <v>-2.4199999999999999E-2</v>
      </c>
    </row>
    <row r="458" spans="1:47" ht="12.75" customHeight="1">
      <c r="A458" s="459">
        <v>44099</v>
      </c>
      <c r="B458" s="139">
        <v>39</v>
      </c>
      <c r="C458" s="162">
        <v>-0.46879999999999999</v>
      </c>
      <c r="D458" s="162">
        <v>-0.46879999999999999</v>
      </c>
      <c r="E458" s="162">
        <v>-0.47</v>
      </c>
      <c r="F458" s="162">
        <v>-0.47010000000000002</v>
      </c>
      <c r="G458" s="162">
        <v>-0.47</v>
      </c>
      <c r="H458" s="162">
        <v>-0.4718</v>
      </c>
      <c r="I458" s="162">
        <v>-0.47470000000000001</v>
      </c>
      <c r="J458" s="162">
        <v>-0.48060000000000003</v>
      </c>
      <c r="K458" s="162">
        <v>-0.48559999999999998</v>
      </c>
      <c r="L458" s="162">
        <v>-0.48770000000000002</v>
      </c>
      <c r="M458" s="162">
        <v>-0.49469999999999997</v>
      </c>
      <c r="N458" s="162">
        <v>-0.49969999999999998</v>
      </c>
      <c r="O458" s="162">
        <v>-0.503</v>
      </c>
      <c r="P458" s="162">
        <v>-0.50860000000000005</v>
      </c>
      <c r="Q458" s="162">
        <v>-0.51300000000000001</v>
      </c>
      <c r="R458" s="162">
        <v>-0.51680000000000004</v>
      </c>
      <c r="S458" s="162">
        <v>-0.54449999999999998</v>
      </c>
      <c r="T458" s="162">
        <v>-0.54990000000000006</v>
      </c>
      <c r="U458" s="162">
        <v>-0.5413</v>
      </c>
      <c r="V458" s="162">
        <v>-0.52100000000000002</v>
      </c>
      <c r="W458" s="162">
        <v>-0.49320000000000003</v>
      </c>
      <c r="X458" s="162">
        <v>-0.45789999999999997</v>
      </c>
      <c r="Y458" s="162">
        <v>-0.41849999999999998</v>
      </c>
      <c r="Z458" s="162">
        <v>-0.37619999999999998</v>
      </c>
      <c r="AA458" s="162">
        <v>-0.32950000000000002</v>
      </c>
      <c r="AB458" s="162">
        <v>-0.2843</v>
      </c>
      <c r="AC458" s="162">
        <v>-0.23830000000000001</v>
      </c>
      <c r="AD458" s="162">
        <v>-0.19020000000000001</v>
      </c>
      <c r="AE458" s="162">
        <v>-0.1527</v>
      </c>
      <c r="AF458" s="162">
        <v>-0.13009999999999999</v>
      </c>
      <c r="AG458" s="162">
        <v>-0.1135</v>
      </c>
      <c r="AH458" s="162">
        <v>-9.7000000000000003E-2</v>
      </c>
      <c r="AI458" s="162">
        <v>-8.0399999999999999E-2</v>
      </c>
      <c r="AJ458" s="162">
        <v>-6.3799999999999996E-2</v>
      </c>
      <c r="AK458" s="162">
        <v>-4.7300000000000002E-2</v>
      </c>
      <c r="AL458" s="162">
        <v>-4.5999999999999999E-2</v>
      </c>
      <c r="AM458" s="162">
        <v>-4.4699999999999997E-2</v>
      </c>
      <c r="AN458" s="162">
        <v>-4.3299999999999998E-2</v>
      </c>
      <c r="AO458" s="162">
        <v>-4.2000000000000003E-2</v>
      </c>
      <c r="AP458" s="162">
        <v>-4.07E-2</v>
      </c>
      <c r="AQ458" s="162">
        <v>-4.5699999999999998E-2</v>
      </c>
      <c r="AR458" s="162">
        <v>-5.0700000000000002E-2</v>
      </c>
      <c r="AS458" s="162">
        <v>-5.57E-2</v>
      </c>
      <c r="AT458" s="162">
        <v>-6.0600000000000001E-2</v>
      </c>
      <c r="AU458" s="162">
        <v>-6.5600000000000006E-2</v>
      </c>
    </row>
    <row r="459" spans="1:47" ht="12.75" customHeight="1">
      <c r="A459" s="459">
        <v>44106</v>
      </c>
      <c r="B459" s="139">
        <v>40</v>
      </c>
      <c r="C459" s="162">
        <v>-0.46700000000000003</v>
      </c>
      <c r="D459" s="162">
        <v>-0.46700000000000003</v>
      </c>
      <c r="E459" s="162">
        <v>-0.46949999999999997</v>
      </c>
      <c r="F459" s="162">
        <v>-0.46889999999999998</v>
      </c>
      <c r="G459" s="162">
        <v>-0.46929999999999999</v>
      </c>
      <c r="H459" s="162">
        <v>-0.47189999999999999</v>
      </c>
      <c r="I459" s="162">
        <v>-0.4758</v>
      </c>
      <c r="J459" s="162">
        <v>-0.48110000000000003</v>
      </c>
      <c r="K459" s="162">
        <v>-0.48549999999999999</v>
      </c>
      <c r="L459" s="162">
        <v>-0.48920000000000002</v>
      </c>
      <c r="M459" s="162">
        <v>-0.495</v>
      </c>
      <c r="N459" s="162">
        <v>-0.49959999999999999</v>
      </c>
      <c r="O459" s="162">
        <v>-0.50449999999999995</v>
      </c>
      <c r="P459" s="162">
        <v>-0.50949999999999995</v>
      </c>
      <c r="Q459" s="162">
        <v>-0.51400000000000001</v>
      </c>
      <c r="R459" s="162">
        <v>-0.51800000000000002</v>
      </c>
      <c r="S459" s="162">
        <v>-0.55069999999999997</v>
      </c>
      <c r="T459" s="162">
        <v>-0.55740000000000001</v>
      </c>
      <c r="U459" s="162">
        <v>-0.54690000000000005</v>
      </c>
      <c r="V459" s="162">
        <v>-0.52669999999999995</v>
      </c>
      <c r="W459" s="162">
        <v>-0.49740000000000001</v>
      </c>
      <c r="X459" s="162">
        <v>-0.46339999999999998</v>
      </c>
      <c r="Y459" s="162">
        <v>-0.42420000000000002</v>
      </c>
      <c r="Z459" s="162">
        <v>-0.38129999999999997</v>
      </c>
      <c r="AA459" s="162">
        <v>-0.33610000000000001</v>
      </c>
      <c r="AB459" s="162">
        <v>-0.29149999999999998</v>
      </c>
      <c r="AC459" s="162">
        <v>-0.2515</v>
      </c>
      <c r="AD459" s="162">
        <v>-0.2074</v>
      </c>
      <c r="AE459" s="162">
        <v>-0.16980000000000001</v>
      </c>
      <c r="AF459" s="162">
        <v>-0.1474</v>
      </c>
      <c r="AG459" s="162">
        <v>-0.13120000000000001</v>
      </c>
      <c r="AH459" s="162">
        <v>-0.115</v>
      </c>
      <c r="AI459" s="162">
        <v>-9.8699999999999996E-2</v>
      </c>
      <c r="AJ459" s="162">
        <v>-8.2500000000000004E-2</v>
      </c>
      <c r="AK459" s="162">
        <v>-6.6299999999999998E-2</v>
      </c>
      <c r="AL459" s="162">
        <v>-6.5299999999999997E-2</v>
      </c>
      <c r="AM459" s="162">
        <v>-6.4299999999999996E-2</v>
      </c>
      <c r="AN459" s="162">
        <v>-6.3399999999999998E-2</v>
      </c>
      <c r="AO459" s="162">
        <v>-6.2399999999999997E-2</v>
      </c>
      <c r="AP459" s="162">
        <v>-6.1400000000000003E-2</v>
      </c>
      <c r="AQ459" s="162">
        <v>-6.6500000000000004E-2</v>
      </c>
      <c r="AR459" s="162">
        <v>-7.17E-2</v>
      </c>
      <c r="AS459" s="162">
        <v>-7.6799999999999993E-2</v>
      </c>
      <c r="AT459" s="162">
        <v>-8.2000000000000003E-2</v>
      </c>
      <c r="AU459" s="162">
        <v>-8.7099999999999997E-2</v>
      </c>
    </row>
    <row r="460" spans="1:47" ht="12.75" customHeight="1">
      <c r="A460" s="459">
        <v>44113</v>
      </c>
      <c r="B460" s="139">
        <v>41</v>
      </c>
      <c r="C460" s="162">
        <v>-0.4748</v>
      </c>
      <c r="D460" s="162">
        <v>-0.4748</v>
      </c>
      <c r="E460" s="162">
        <v>-0.4708</v>
      </c>
      <c r="F460" s="162">
        <v>-0.47099999999999997</v>
      </c>
      <c r="G460" s="162">
        <v>-0.47110000000000002</v>
      </c>
      <c r="H460" s="162">
        <v>-0.47220000000000001</v>
      </c>
      <c r="I460" s="162">
        <v>-0.4753</v>
      </c>
      <c r="J460" s="162">
        <v>-0.47849999999999998</v>
      </c>
      <c r="K460" s="162">
        <v>-0.48170000000000002</v>
      </c>
      <c r="L460" s="162">
        <v>-0.48599999999999999</v>
      </c>
      <c r="M460" s="162">
        <v>-0.4899</v>
      </c>
      <c r="N460" s="162">
        <v>-0.49419999999999997</v>
      </c>
      <c r="O460" s="162">
        <v>-0.49840000000000001</v>
      </c>
      <c r="P460" s="162">
        <v>-0.50270000000000004</v>
      </c>
      <c r="Q460" s="162">
        <v>-0.50680000000000003</v>
      </c>
      <c r="R460" s="162">
        <v>-0.51060000000000005</v>
      </c>
      <c r="S460" s="162">
        <v>-0.5403</v>
      </c>
      <c r="T460" s="162">
        <v>-0.54720000000000002</v>
      </c>
      <c r="U460" s="162">
        <v>-0.5393</v>
      </c>
      <c r="V460" s="162">
        <v>-0.52110000000000001</v>
      </c>
      <c r="W460" s="162">
        <v>-0.49199999999999999</v>
      </c>
      <c r="X460" s="162">
        <v>-0.45910000000000001</v>
      </c>
      <c r="Y460" s="162">
        <v>-0.42020000000000002</v>
      </c>
      <c r="Z460" s="162">
        <v>-0.37909999999999999</v>
      </c>
      <c r="AA460" s="162">
        <v>-0.33460000000000001</v>
      </c>
      <c r="AB460" s="162">
        <v>-0.2923</v>
      </c>
      <c r="AC460" s="162">
        <v>-0.24990000000000001</v>
      </c>
      <c r="AD460" s="162">
        <v>-0.21149999999999999</v>
      </c>
      <c r="AE460" s="162">
        <v>-0.17599999999999999</v>
      </c>
      <c r="AF460" s="162">
        <v>-0.1462</v>
      </c>
      <c r="AG460" s="162">
        <v>-0.1303</v>
      </c>
      <c r="AH460" s="162">
        <v>-0.1145</v>
      </c>
      <c r="AI460" s="162">
        <v>-9.8599999999999993E-2</v>
      </c>
      <c r="AJ460" s="162">
        <v>-8.2799999999999999E-2</v>
      </c>
      <c r="AK460" s="162">
        <v>-6.6900000000000001E-2</v>
      </c>
      <c r="AL460" s="162">
        <v>-6.6600000000000006E-2</v>
      </c>
      <c r="AM460" s="162">
        <v>-6.6299999999999998E-2</v>
      </c>
      <c r="AN460" s="162">
        <v>-6.59E-2</v>
      </c>
      <c r="AO460" s="162">
        <v>-6.5600000000000006E-2</v>
      </c>
      <c r="AP460" s="162">
        <v>-6.5299999999999997E-2</v>
      </c>
      <c r="AQ460" s="162">
        <v>-7.0400000000000004E-2</v>
      </c>
      <c r="AR460" s="162">
        <v>-7.5600000000000001E-2</v>
      </c>
      <c r="AS460" s="162">
        <v>-8.0699999999999994E-2</v>
      </c>
      <c r="AT460" s="162">
        <v>-8.5900000000000004E-2</v>
      </c>
      <c r="AU460" s="162">
        <v>-9.0999999999999998E-2</v>
      </c>
    </row>
    <row r="461" spans="1:47" ht="12.75" customHeight="1">
      <c r="A461" s="459">
        <v>44120</v>
      </c>
      <c r="B461" s="139">
        <v>42</v>
      </c>
      <c r="C461" s="162">
        <v>-0.4698</v>
      </c>
      <c r="D461" s="162">
        <v>-0.4698</v>
      </c>
      <c r="E461" s="162">
        <v>-0.4723</v>
      </c>
      <c r="F461" s="162">
        <v>-0.47249999999999998</v>
      </c>
      <c r="G461" s="162">
        <v>-0.4738</v>
      </c>
      <c r="H461" s="162">
        <v>-0.47489999999999999</v>
      </c>
      <c r="I461" s="162">
        <v>-0.47939999999999999</v>
      </c>
      <c r="J461" s="162">
        <v>-0.48230000000000001</v>
      </c>
      <c r="K461" s="162">
        <v>-0.48559999999999998</v>
      </c>
      <c r="L461" s="162">
        <v>-0.48909999999999998</v>
      </c>
      <c r="M461" s="162">
        <v>-0.49280000000000002</v>
      </c>
      <c r="N461" s="162">
        <v>-0.49559999999999998</v>
      </c>
      <c r="O461" s="162">
        <v>-0.49940000000000001</v>
      </c>
      <c r="P461" s="162">
        <v>-0.50309999999999999</v>
      </c>
      <c r="Q461" s="162">
        <v>-0.50670000000000004</v>
      </c>
      <c r="R461" s="162">
        <v>-0.50980000000000003</v>
      </c>
      <c r="S461" s="162">
        <v>-0.53690000000000004</v>
      </c>
      <c r="T461" s="162">
        <v>-0.54139999999999999</v>
      </c>
      <c r="U461" s="162">
        <v>-0.53</v>
      </c>
      <c r="V461" s="162">
        <v>-0.50780000000000003</v>
      </c>
      <c r="W461" s="162">
        <v>-0.4763</v>
      </c>
      <c r="X461" s="162">
        <v>-0.43980000000000002</v>
      </c>
      <c r="Y461" s="162">
        <v>-0.3987</v>
      </c>
      <c r="Z461" s="162">
        <v>-0.35520000000000002</v>
      </c>
      <c r="AA461" s="162">
        <v>-0.30890000000000001</v>
      </c>
      <c r="AB461" s="162">
        <v>-0.26450000000000001</v>
      </c>
      <c r="AC461" s="162">
        <v>-0.22009999999999999</v>
      </c>
      <c r="AD461" s="162">
        <v>-0.18559999999999999</v>
      </c>
      <c r="AE461" s="162">
        <v>-0.15060000000000001</v>
      </c>
      <c r="AF461" s="162">
        <v>-0.1139</v>
      </c>
      <c r="AG461" s="162">
        <v>-9.7299999999999998E-2</v>
      </c>
      <c r="AH461" s="162">
        <v>-8.0799999999999997E-2</v>
      </c>
      <c r="AI461" s="162">
        <v>-6.4199999999999993E-2</v>
      </c>
      <c r="AJ461" s="162">
        <v>-4.7699999999999999E-2</v>
      </c>
      <c r="AK461" s="162">
        <v>-3.1099999999999999E-2</v>
      </c>
      <c r="AL461" s="162">
        <v>-3.0200000000000001E-2</v>
      </c>
      <c r="AM461" s="162">
        <v>-2.93E-2</v>
      </c>
      <c r="AN461" s="162">
        <v>-2.8400000000000002E-2</v>
      </c>
      <c r="AO461" s="162">
        <v>-2.75E-2</v>
      </c>
      <c r="AP461" s="162">
        <v>-2.6599999999999999E-2</v>
      </c>
      <c r="AQ461" s="162">
        <v>-3.1600000000000003E-2</v>
      </c>
      <c r="AR461" s="162">
        <v>-3.6499999999999998E-2</v>
      </c>
      <c r="AS461" s="162">
        <v>-4.1500000000000002E-2</v>
      </c>
      <c r="AT461" s="162">
        <v>-4.6399999999999997E-2</v>
      </c>
      <c r="AU461" s="162">
        <v>-5.1400000000000001E-2</v>
      </c>
    </row>
    <row r="462" spans="1:47" ht="12.75" customHeight="1">
      <c r="A462" s="459">
        <v>44127</v>
      </c>
      <c r="B462" s="139">
        <v>43</v>
      </c>
      <c r="C462" s="162">
        <v>-0.4708</v>
      </c>
      <c r="D462" s="162">
        <v>-0.4708</v>
      </c>
      <c r="E462" s="162">
        <v>-0.47170000000000001</v>
      </c>
      <c r="F462" s="162">
        <v>-0.47189999999999999</v>
      </c>
      <c r="G462" s="162">
        <v>-0.47370000000000001</v>
      </c>
      <c r="H462" s="162">
        <v>-0.47610000000000002</v>
      </c>
      <c r="I462" s="162">
        <v>-0.4839</v>
      </c>
      <c r="J462" s="162">
        <v>-0.48909999999999998</v>
      </c>
      <c r="K462" s="162">
        <v>-0.49209999999999998</v>
      </c>
      <c r="L462" s="162">
        <v>-0.49680000000000002</v>
      </c>
      <c r="M462" s="162">
        <v>-0.50219999999999998</v>
      </c>
      <c r="N462" s="162">
        <v>-0.50619999999999998</v>
      </c>
      <c r="O462" s="162">
        <v>-0.51</v>
      </c>
      <c r="P462" s="162">
        <v>-0.51419999999999999</v>
      </c>
      <c r="Q462" s="162">
        <v>-0.51819999999999999</v>
      </c>
      <c r="R462" s="162">
        <v>-0.52190000000000003</v>
      </c>
      <c r="S462" s="162">
        <v>-0.55310000000000004</v>
      </c>
      <c r="T462" s="162">
        <v>-0.56269999999999998</v>
      </c>
      <c r="U462" s="162">
        <v>-0.55500000000000005</v>
      </c>
      <c r="V462" s="162">
        <v>-0.53749999999999998</v>
      </c>
      <c r="W462" s="162">
        <v>-0.50890000000000002</v>
      </c>
      <c r="X462" s="162">
        <v>-0.47839999999999999</v>
      </c>
      <c r="Y462" s="162">
        <v>-0.4375</v>
      </c>
      <c r="Z462" s="162">
        <v>-0.39450000000000002</v>
      </c>
      <c r="AA462" s="162">
        <v>-0.35060000000000002</v>
      </c>
      <c r="AB462" s="162">
        <v>-0.30869999999999997</v>
      </c>
      <c r="AC462" s="162">
        <v>-0.26650000000000001</v>
      </c>
      <c r="AD462" s="162">
        <v>-0.22939999999999999</v>
      </c>
      <c r="AE462" s="162">
        <v>-0.1933</v>
      </c>
      <c r="AF462" s="162">
        <v>-0.1628</v>
      </c>
      <c r="AG462" s="162">
        <v>-0.14649999999999999</v>
      </c>
      <c r="AH462" s="162">
        <v>-0.13020000000000001</v>
      </c>
      <c r="AI462" s="162">
        <v>-0.1139</v>
      </c>
      <c r="AJ462" s="162">
        <v>-9.7600000000000006E-2</v>
      </c>
      <c r="AK462" s="162">
        <v>-8.1299999999999997E-2</v>
      </c>
      <c r="AL462" s="162">
        <v>-8.0699999999999994E-2</v>
      </c>
      <c r="AM462" s="162">
        <v>-8.0100000000000005E-2</v>
      </c>
      <c r="AN462" s="162">
        <v>-7.9500000000000001E-2</v>
      </c>
      <c r="AO462" s="162">
        <v>-7.9000000000000001E-2</v>
      </c>
      <c r="AP462" s="162">
        <v>-7.8399999999999997E-2</v>
      </c>
      <c r="AQ462" s="162">
        <v>-8.3000000000000004E-2</v>
      </c>
      <c r="AR462" s="162">
        <v>-8.77E-2</v>
      </c>
      <c r="AS462" s="162">
        <v>-9.2299999999999993E-2</v>
      </c>
      <c r="AT462" s="162">
        <v>-9.7000000000000003E-2</v>
      </c>
      <c r="AU462" s="162">
        <v>-0.1016</v>
      </c>
    </row>
    <row r="463" spans="1:47" ht="12.75" customHeight="1">
      <c r="A463" s="459">
        <v>44134</v>
      </c>
      <c r="B463" s="139">
        <v>44</v>
      </c>
      <c r="C463" s="162">
        <v>-0.46800000000000003</v>
      </c>
      <c r="D463" s="162">
        <v>-0.46800000000000003</v>
      </c>
      <c r="E463" s="162">
        <v>-0.47160000000000002</v>
      </c>
      <c r="F463" s="162">
        <v>-0.47189999999999999</v>
      </c>
      <c r="G463" s="162">
        <v>-0.47320000000000001</v>
      </c>
      <c r="H463" s="162">
        <v>-0.47620000000000001</v>
      </c>
      <c r="I463" s="162">
        <v>-0.4819</v>
      </c>
      <c r="J463" s="162">
        <v>-0.48649999999999999</v>
      </c>
      <c r="K463" s="162">
        <v>-0.49</v>
      </c>
      <c r="L463" s="162">
        <v>-0.49490000000000001</v>
      </c>
      <c r="M463" s="162">
        <v>-0.49990000000000001</v>
      </c>
      <c r="N463" s="162">
        <v>-0.50439999999999996</v>
      </c>
      <c r="O463" s="162">
        <v>-0.50819999999999999</v>
      </c>
      <c r="P463" s="162">
        <v>-0.51300000000000001</v>
      </c>
      <c r="Q463" s="162">
        <v>-0.51649999999999996</v>
      </c>
      <c r="R463" s="162">
        <v>-0.52010000000000001</v>
      </c>
      <c r="S463" s="162">
        <v>-0.55430000000000001</v>
      </c>
      <c r="T463" s="162">
        <v>-0.56210000000000004</v>
      </c>
      <c r="U463" s="162">
        <v>-0.54990000000000006</v>
      </c>
      <c r="V463" s="162">
        <v>-0.52810000000000001</v>
      </c>
      <c r="W463" s="162">
        <v>-0.49680000000000002</v>
      </c>
      <c r="X463" s="162">
        <v>-0.4607</v>
      </c>
      <c r="Y463" s="162">
        <v>-0.42070000000000002</v>
      </c>
      <c r="Z463" s="162">
        <v>-0.3775</v>
      </c>
      <c r="AA463" s="162">
        <v>-0.33329999999999999</v>
      </c>
      <c r="AB463" s="162">
        <v>-0.2898</v>
      </c>
      <c r="AC463" s="162">
        <v>-0.24759999999999999</v>
      </c>
      <c r="AD463" s="162">
        <v>-0.20219999999999999</v>
      </c>
      <c r="AE463" s="162">
        <v>-0.16539999999999999</v>
      </c>
      <c r="AF463" s="162">
        <v>-0.1426</v>
      </c>
      <c r="AG463" s="162">
        <v>-0.12609999999999999</v>
      </c>
      <c r="AH463" s="162">
        <v>-0.1096</v>
      </c>
      <c r="AI463" s="162">
        <v>-9.2999999999999999E-2</v>
      </c>
      <c r="AJ463" s="162">
        <v>-7.6499999999999999E-2</v>
      </c>
      <c r="AK463" s="162">
        <v>-0.06</v>
      </c>
      <c r="AL463" s="162">
        <v>-5.9400000000000001E-2</v>
      </c>
      <c r="AM463" s="162">
        <v>-5.8799999999999998E-2</v>
      </c>
      <c r="AN463" s="162">
        <v>-5.8099999999999999E-2</v>
      </c>
      <c r="AO463" s="162">
        <v>-5.7500000000000002E-2</v>
      </c>
      <c r="AP463" s="162">
        <v>-5.6899999999999999E-2</v>
      </c>
      <c r="AQ463" s="162">
        <v>-6.1600000000000002E-2</v>
      </c>
      <c r="AR463" s="162">
        <v>-6.6199999999999995E-2</v>
      </c>
      <c r="AS463" s="162">
        <v>-7.0900000000000005E-2</v>
      </c>
      <c r="AT463" s="162">
        <v>-7.5600000000000001E-2</v>
      </c>
      <c r="AU463" s="162">
        <v>-8.0199999999999994E-2</v>
      </c>
    </row>
    <row r="464" spans="1:47" ht="12.75" customHeight="1">
      <c r="A464" s="459">
        <v>44141</v>
      </c>
      <c r="B464" s="139">
        <v>45</v>
      </c>
      <c r="C464" s="162">
        <v>-0.46829999999999999</v>
      </c>
      <c r="D464" s="162">
        <v>-0.46829999999999999</v>
      </c>
      <c r="E464" s="162">
        <v>-0.47120000000000001</v>
      </c>
      <c r="F464" s="162">
        <v>-0.4723</v>
      </c>
      <c r="G464" s="162">
        <v>-0.47270000000000001</v>
      </c>
      <c r="H464" s="162">
        <v>-0.48010000000000003</v>
      </c>
      <c r="I464" s="162">
        <v>-0.48630000000000001</v>
      </c>
      <c r="J464" s="162">
        <v>-0.4909</v>
      </c>
      <c r="K464" s="162">
        <v>-0.4965</v>
      </c>
      <c r="L464" s="162">
        <v>-0.50090000000000001</v>
      </c>
      <c r="M464" s="162">
        <v>-0.50660000000000005</v>
      </c>
      <c r="N464" s="162">
        <v>-0.51</v>
      </c>
      <c r="O464" s="162">
        <v>-0.51480000000000004</v>
      </c>
      <c r="P464" s="162">
        <v>-0.51919999999999999</v>
      </c>
      <c r="Q464" s="162">
        <v>-0.52310000000000001</v>
      </c>
      <c r="R464" s="162">
        <v>-0.52700000000000002</v>
      </c>
      <c r="S464" s="162">
        <v>-0.56000000000000005</v>
      </c>
      <c r="T464" s="162">
        <v>-0.56840000000000002</v>
      </c>
      <c r="U464" s="162">
        <v>-0.55640000000000001</v>
      </c>
      <c r="V464" s="162">
        <v>-0.53539999999999999</v>
      </c>
      <c r="W464" s="162">
        <v>-0.50360000000000005</v>
      </c>
      <c r="X464" s="162">
        <v>-0.46700000000000003</v>
      </c>
      <c r="Y464" s="162">
        <v>-0.42580000000000001</v>
      </c>
      <c r="Z464" s="162">
        <v>-0.38219999999999998</v>
      </c>
      <c r="AA464" s="162">
        <v>-0.33810000000000001</v>
      </c>
      <c r="AB464" s="162">
        <v>-0.29609999999999997</v>
      </c>
      <c r="AC464" s="162">
        <v>-0.25509999999999999</v>
      </c>
      <c r="AD464" s="162">
        <v>-0.21820000000000001</v>
      </c>
      <c r="AE464" s="162">
        <v>-0.1822</v>
      </c>
      <c r="AF464" s="162">
        <v>-0.1512</v>
      </c>
      <c r="AG464" s="162">
        <v>-0.1351</v>
      </c>
      <c r="AH464" s="162">
        <v>-0.11890000000000001</v>
      </c>
      <c r="AI464" s="162">
        <v>-0.1028</v>
      </c>
      <c r="AJ464" s="162">
        <v>-8.6599999999999996E-2</v>
      </c>
      <c r="AK464" s="162">
        <v>-7.0499999999999993E-2</v>
      </c>
      <c r="AL464" s="162">
        <v>-7.0400000000000004E-2</v>
      </c>
      <c r="AM464" s="162">
        <v>-7.0199999999999999E-2</v>
      </c>
      <c r="AN464" s="162">
        <v>-7.0099999999999996E-2</v>
      </c>
      <c r="AO464" s="162">
        <v>-6.9900000000000004E-2</v>
      </c>
      <c r="AP464" s="162">
        <v>-6.9800000000000001E-2</v>
      </c>
      <c r="AQ464" s="162">
        <v>-7.46E-2</v>
      </c>
      <c r="AR464" s="162">
        <v>-7.9500000000000001E-2</v>
      </c>
      <c r="AS464" s="162">
        <v>-8.4400000000000003E-2</v>
      </c>
      <c r="AT464" s="162">
        <v>-8.9300000000000004E-2</v>
      </c>
      <c r="AU464" s="162">
        <v>-9.4200000000000006E-2</v>
      </c>
    </row>
    <row r="465" spans="1:47" ht="12.75" customHeight="1">
      <c r="A465" s="459">
        <v>44148</v>
      </c>
      <c r="B465" s="139">
        <v>46</v>
      </c>
      <c r="C465" s="162">
        <v>-0.47049999999999997</v>
      </c>
      <c r="D465" s="162">
        <v>-0.47049999999999997</v>
      </c>
      <c r="E465" s="162">
        <v>-0.4718</v>
      </c>
      <c r="F465" s="162">
        <v>-0.47170000000000001</v>
      </c>
      <c r="G465" s="162">
        <v>-0.47199999999999998</v>
      </c>
      <c r="H465" s="162">
        <v>-0.48330000000000001</v>
      </c>
      <c r="I465" s="162">
        <v>-0.4904</v>
      </c>
      <c r="J465" s="162">
        <v>-0.4955</v>
      </c>
      <c r="K465" s="162">
        <v>-0.50180000000000002</v>
      </c>
      <c r="L465" s="162">
        <v>-0.50700000000000001</v>
      </c>
      <c r="M465" s="162">
        <v>-0.51229999999999998</v>
      </c>
      <c r="N465" s="162">
        <v>-0.51629999999999998</v>
      </c>
      <c r="O465" s="162">
        <v>-0.52070000000000005</v>
      </c>
      <c r="P465" s="162">
        <v>-0.52390000000000003</v>
      </c>
      <c r="Q465" s="162">
        <v>-0.52759999999999996</v>
      </c>
      <c r="R465" s="162">
        <v>-0.53059999999999996</v>
      </c>
      <c r="S465" s="162">
        <v>-0.5595</v>
      </c>
      <c r="T465" s="162">
        <v>-0.56569999999999998</v>
      </c>
      <c r="U465" s="162">
        <v>-0.55420000000000003</v>
      </c>
      <c r="V465" s="162">
        <v>-0.53149999999999997</v>
      </c>
      <c r="W465" s="162">
        <v>-0.49969999999999998</v>
      </c>
      <c r="X465" s="162">
        <v>-0.46100000000000002</v>
      </c>
      <c r="Y465" s="162">
        <v>-0.41849999999999998</v>
      </c>
      <c r="Z465" s="162">
        <v>-0.37419999999999998</v>
      </c>
      <c r="AA465" s="162">
        <v>-0.32890000000000003</v>
      </c>
      <c r="AB465" s="162">
        <v>-0.2848</v>
      </c>
      <c r="AC465" s="162">
        <v>-0.24149999999999999</v>
      </c>
      <c r="AD465" s="162">
        <v>-0.21360000000000001</v>
      </c>
      <c r="AE465" s="162">
        <v>-0.17519999999999999</v>
      </c>
      <c r="AF465" s="162">
        <v>-0.13639999999999999</v>
      </c>
      <c r="AG465" s="162">
        <v>-0.11990000000000001</v>
      </c>
      <c r="AH465" s="162">
        <v>-0.10349999999999999</v>
      </c>
      <c r="AI465" s="162">
        <v>-8.6999999999999994E-2</v>
      </c>
      <c r="AJ465" s="162">
        <v>-7.0599999999999996E-2</v>
      </c>
      <c r="AK465" s="162">
        <v>-5.4100000000000002E-2</v>
      </c>
      <c r="AL465" s="162">
        <v>-5.3400000000000003E-2</v>
      </c>
      <c r="AM465" s="162">
        <v>-5.28E-2</v>
      </c>
      <c r="AN465" s="162">
        <v>-5.21E-2</v>
      </c>
      <c r="AO465" s="162">
        <v>-5.1400000000000001E-2</v>
      </c>
      <c r="AP465" s="162">
        <v>-5.0700000000000002E-2</v>
      </c>
      <c r="AQ465" s="162">
        <v>-5.5599999999999997E-2</v>
      </c>
      <c r="AR465" s="162">
        <v>-6.0400000000000002E-2</v>
      </c>
      <c r="AS465" s="162">
        <v>-6.5299999999999997E-2</v>
      </c>
      <c r="AT465" s="162">
        <v>-7.0199999999999999E-2</v>
      </c>
      <c r="AU465" s="162">
        <v>-7.51E-2</v>
      </c>
    </row>
    <row r="466" spans="1:47" ht="12.75" customHeight="1">
      <c r="A466" s="459">
        <v>44155</v>
      </c>
      <c r="B466" s="139">
        <v>47</v>
      </c>
      <c r="C466" s="162">
        <v>-0.4703</v>
      </c>
      <c r="D466" s="162">
        <v>-0.4703</v>
      </c>
      <c r="E466" s="162">
        <v>-0.47170000000000001</v>
      </c>
      <c r="F466" s="162">
        <v>-0.47160000000000002</v>
      </c>
      <c r="G466" s="162">
        <v>-0.4718</v>
      </c>
      <c r="H466" s="162">
        <v>-0.47910000000000003</v>
      </c>
      <c r="I466" s="162">
        <v>-0.48280000000000001</v>
      </c>
      <c r="J466" s="162">
        <v>-0.48499999999999999</v>
      </c>
      <c r="K466" s="162">
        <v>-0.48870000000000002</v>
      </c>
      <c r="L466" s="162">
        <v>-0.49109999999999998</v>
      </c>
      <c r="M466" s="162">
        <v>-0.49359999999999998</v>
      </c>
      <c r="N466" s="162">
        <v>-0.49630000000000002</v>
      </c>
      <c r="O466" s="162">
        <v>-0.49859999999999999</v>
      </c>
      <c r="P466" s="162">
        <v>-0.50070000000000003</v>
      </c>
      <c r="Q466" s="162">
        <v>-0.50260000000000005</v>
      </c>
      <c r="R466" s="162">
        <v>-0.50409999999999999</v>
      </c>
      <c r="S466" s="162">
        <v>-0.51900000000000002</v>
      </c>
      <c r="T466" s="162">
        <v>-0.51839999999999997</v>
      </c>
      <c r="U466" s="162">
        <v>-0.50349999999999995</v>
      </c>
      <c r="V466" s="162">
        <v>-0.4748</v>
      </c>
      <c r="W466" s="162">
        <v>-0.43940000000000001</v>
      </c>
      <c r="X466" s="162">
        <v>-0.39639999999999997</v>
      </c>
      <c r="Y466" s="162">
        <v>-0.34870000000000001</v>
      </c>
      <c r="Z466" s="162">
        <v>-0.3</v>
      </c>
      <c r="AA466" s="162">
        <v>-0.25</v>
      </c>
      <c r="AB466" s="162">
        <v>-0.20150000000000001</v>
      </c>
      <c r="AC466" s="162">
        <v>-0.1522</v>
      </c>
      <c r="AD466" s="162">
        <v>-0.12239999999999999</v>
      </c>
      <c r="AE466" s="162">
        <v>-8.4000000000000005E-2</v>
      </c>
      <c r="AF466" s="162">
        <v>-4.0399999999999998E-2</v>
      </c>
      <c r="AG466" s="162">
        <v>-2.2200000000000001E-2</v>
      </c>
      <c r="AH466" s="162">
        <v>-4.1000000000000003E-3</v>
      </c>
      <c r="AI466" s="162">
        <v>1.41E-2</v>
      </c>
      <c r="AJ466" s="162">
        <v>3.2300000000000002E-2</v>
      </c>
      <c r="AK466" s="162">
        <v>5.04E-2</v>
      </c>
      <c r="AL466" s="162">
        <v>5.2600000000000001E-2</v>
      </c>
      <c r="AM466" s="162">
        <v>5.4800000000000001E-2</v>
      </c>
      <c r="AN466" s="162">
        <v>5.7000000000000002E-2</v>
      </c>
      <c r="AO466" s="162">
        <v>5.9299999999999999E-2</v>
      </c>
      <c r="AP466" s="162">
        <v>6.1499999999999999E-2</v>
      </c>
      <c r="AQ466" s="162">
        <v>5.6899999999999999E-2</v>
      </c>
      <c r="AR466" s="162">
        <v>5.2400000000000002E-2</v>
      </c>
      <c r="AS466" s="162">
        <v>4.7899999999999998E-2</v>
      </c>
      <c r="AT466" s="162">
        <v>4.3400000000000001E-2</v>
      </c>
      <c r="AU466" s="162">
        <v>3.8899999999999997E-2</v>
      </c>
    </row>
    <row r="467" spans="1:47" ht="12.75" customHeight="1">
      <c r="A467" s="459">
        <v>44162</v>
      </c>
      <c r="B467" s="139">
        <v>48</v>
      </c>
      <c r="C467" s="162">
        <v>-0.4723</v>
      </c>
      <c r="D467" s="162">
        <v>-0.4723</v>
      </c>
      <c r="E467" s="162">
        <v>-0.47139999999999999</v>
      </c>
      <c r="F467" s="162">
        <v>-0.4708</v>
      </c>
      <c r="G467" s="162">
        <v>-0.47370000000000001</v>
      </c>
      <c r="H467" s="162">
        <v>-0.4803</v>
      </c>
      <c r="I467" s="162">
        <v>-0.48259999999999997</v>
      </c>
      <c r="J467" s="162">
        <v>-0.48459999999999998</v>
      </c>
      <c r="K467" s="162">
        <v>-0.48849999999999999</v>
      </c>
      <c r="L467" s="162">
        <v>-0.49099999999999999</v>
      </c>
      <c r="M467" s="162">
        <v>-0.49359999999999998</v>
      </c>
      <c r="N467" s="162">
        <v>-0.497</v>
      </c>
      <c r="O467" s="162">
        <v>-0.4995</v>
      </c>
      <c r="P467" s="162">
        <v>-0.50209999999999999</v>
      </c>
      <c r="Q467" s="162">
        <v>-0.50380000000000003</v>
      </c>
      <c r="R467" s="162">
        <v>-0.50570000000000004</v>
      </c>
      <c r="S467" s="162">
        <v>-0.52429999999999999</v>
      </c>
      <c r="T467" s="162">
        <v>-0.52580000000000005</v>
      </c>
      <c r="U467" s="162">
        <v>-0.51200000000000001</v>
      </c>
      <c r="V467" s="162">
        <v>-0.48780000000000001</v>
      </c>
      <c r="W467" s="162">
        <v>-0.45450000000000002</v>
      </c>
      <c r="X467" s="162">
        <v>-0.41560000000000002</v>
      </c>
      <c r="Y467" s="162">
        <v>-0.37409999999999999</v>
      </c>
      <c r="Z467" s="162">
        <v>-0.3286</v>
      </c>
      <c r="AA467" s="162">
        <v>-0.28149999999999997</v>
      </c>
      <c r="AB467" s="162">
        <v>-0.23530000000000001</v>
      </c>
      <c r="AC467" s="162">
        <v>-0.19139999999999999</v>
      </c>
      <c r="AD467" s="162">
        <v>-0.15260000000000001</v>
      </c>
      <c r="AE467" s="162">
        <v>-0.1162</v>
      </c>
      <c r="AF467" s="162">
        <v>-8.1699999999999995E-2</v>
      </c>
      <c r="AG467" s="162">
        <v>-6.4299999999999996E-2</v>
      </c>
      <c r="AH467" s="162">
        <v>-4.6800000000000001E-2</v>
      </c>
      <c r="AI467" s="162">
        <v>-2.9399999999999999E-2</v>
      </c>
      <c r="AJ467" s="162">
        <v>-1.1900000000000001E-2</v>
      </c>
      <c r="AK467" s="162">
        <v>5.4999999999999997E-3</v>
      </c>
      <c r="AL467" s="162">
        <v>7.4000000000000003E-3</v>
      </c>
      <c r="AM467" s="162">
        <v>9.1999999999999998E-3</v>
      </c>
      <c r="AN467" s="162">
        <v>1.11E-2</v>
      </c>
      <c r="AO467" s="162">
        <v>1.2999999999999999E-2</v>
      </c>
      <c r="AP467" s="162">
        <v>1.49E-2</v>
      </c>
      <c r="AQ467" s="162">
        <v>1.04E-2</v>
      </c>
      <c r="AR467" s="162">
        <v>6.0000000000000001E-3</v>
      </c>
      <c r="AS467" s="162">
        <v>1.6000000000000001E-3</v>
      </c>
      <c r="AT467" s="162">
        <v>-2.8999999999999998E-3</v>
      </c>
      <c r="AU467" s="162">
        <v>-7.3000000000000001E-3</v>
      </c>
    </row>
    <row r="468" spans="1:47" ht="12.75" customHeight="1">
      <c r="A468" s="459">
        <v>44169</v>
      </c>
      <c r="B468" s="139">
        <v>49</v>
      </c>
      <c r="C468" s="162">
        <v>-0.4708</v>
      </c>
      <c r="D468" s="162">
        <v>-0.4708</v>
      </c>
      <c r="E468" s="162">
        <v>-0.47189999999999999</v>
      </c>
      <c r="F468" s="162">
        <v>-0.47120000000000001</v>
      </c>
      <c r="G468" s="162">
        <v>-0.47599999999999998</v>
      </c>
      <c r="H468" s="162">
        <v>-0.48060000000000003</v>
      </c>
      <c r="I468" s="162">
        <v>-0.48309999999999997</v>
      </c>
      <c r="J468" s="162">
        <v>-0.48559999999999998</v>
      </c>
      <c r="K468" s="162">
        <v>-0.48870000000000002</v>
      </c>
      <c r="L468" s="162">
        <v>-0.49109999999999998</v>
      </c>
      <c r="M468" s="162">
        <v>-0.49340000000000001</v>
      </c>
      <c r="N468" s="162">
        <v>-0.49619999999999997</v>
      </c>
      <c r="O468" s="162">
        <v>-0.49809999999999999</v>
      </c>
      <c r="P468" s="162">
        <v>-0.50029999999999997</v>
      </c>
      <c r="Q468" s="162">
        <v>-0.50239999999999996</v>
      </c>
      <c r="R468" s="162">
        <v>-0.50390000000000001</v>
      </c>
      <c r="S468" s="162">
        <v>-0.52039999999999997</v>
      </c>
      <c r="T468" s="162">
        <v>-0.52229999999999999</v>
      </c>
      <c r="U468" s="162">
        <v>-0.50970000000000004</v>
      </c>
      <c r="V468" s="162">
        <v>-0.48709999999999998</v>
      </c>
      <c r="W468" s="162">
        <v>-0.4577</v>
      </c>
      <c r="X468" s="162">
        <v>-0.42109999999999997</v>
      </c>
      <c r="Y468" s="162">
        <v>-0.38119999999999998</v>
      </c>
      <c r="Z468" s="162">
        <v>-0.33750000000000002</v>
      </c>
      <c r="AA468" s="162">
        <v>-0.29220000000000002</v>
      </c>
      <c r="AB468" s="162">
        <v>-0.2467</v>
      </c>
      <c r="AC468" s="162">
        <v>-0.2031</v>
      </c>
      <c r="AD468" s="162">
        <v>-0.16159999999999999</v>
      </c>
      <c r="AE468" s="162">
        <v>-0.12479999999999999</v>
      </c>
      <c r="AF468" s="162">
        <v>-9.3899999999999997E-2</v>
      </c>
      <c r="AG468" s="162">
        <v>-7.6200000000000004E-2</v>
      </c>
      <c r="AH468" s="162">
        <v>-5.8500000000000003E-2</v>
      </c>
      <c r="AI468" s="162">
        <v>-4.0800000000000003E-2</v>
      </c>
      <c r="AJ468" s="162">
        <v>-2.3099999999999999E-2</v>
      </c>
      <c r="AK468" s="162">
        <v>-5.4000000000000003E-3</v>
      </c>
      <c r="AL468" s="162">
        <v>-3.5999999999999999E-3</v>
      </c>
      <c r="AM468" s="162">
        <v>-1.8E-3</v>
      </c>
      <c r="AN468" s="162">
        <v>0</v>
      </c>
      <c r="AO468" s="162">
        <v>1.8E-3</v>
      </c>
      <c r="AP468" s="162">
        <v>3.5999999999999999E-3</v>
      </c>
      <c r="AQ468" s="162">
        <v>-8.0000000000000004E-4</v>
      </c>
      <c r="AR468" s="162">
        <v>-5.1999999999999998E-3</v>
      </c>
      <c r="AS468" s="162">
        <v>-9.5999999999999992E-3</v>
      </c>
      <c r="AT468" s="162">
        <v>-1.4E-2</v>
      </c>
      <c r="AU468" s="162">
        <v>-1.84E-2</v>
      </c>
    </row>
    <row r="469" spans="1:47" ht="12.75" customHeight="1">
      <c r="A469" s="459">
        <v>44176</v>
      </c>
      <c r="B469" s="139">
        <v>50</v>
      </c>
      <c r="C469" s="162">
        <v>-0.4723</v>
      </c>
      <c r="D469" s="162">
        <v>-0.4723</v>
      </c>
      <c r="E469" s="162">
        <v>-0.47410000000000002</v>
      </c>
      <c r="F469" s="162">
        <v>-0.4733</v>
      </c>
      <c r="G469" s="162">
        <v>-0.48159999999999997</v>
      </c>
      <c r="H469" s="162">
        <v>-0.48420000000000002</v>
      </c>
      <c r="I469" s="162">
        <v>-0.4864</v>
      </c>
      <c r="J469" s="162">
        <v>-0.48949999999999999</v>
      </c>
      <c r="K469" s="162">
        <v>-0.49220000000000003</v>
      </c>
      <c r="L469" s="162">
        <v>-0.49469999999999997</v>
      </c>
      <c r="M469" s="162">
        <v>-0.49719999999999998</v>
      </c>
      <c r="N469" s="162">
        <v>-0.49990000000000001</v>
      </c>
      <c r="O469" s="162">
        <v>-0.50209999999999999</v>
      </c>
      <c r="P469" s="162">
        <v>-0.50439999999999996</v>
      </c>
      <c r="Q469" s="162">
        <v>-0.50619999999999998</v>
      </c>
      <c r="R469" s="162">
        <v>-0.50760000000000005</v>
      </c>
      <c r="S469" s="162">
        <v>-0.52200000000000002</v>
      </c>
      <c r="T469" s="162">
        <v>-0.52210000000000001</v>
      </c>
      <c r="U469" s="162">
        <v>-0.50609999999999999</v>
      </c>
      <c r="V469" s="162">
        <v>-0.48110000000000003</v>
      </c>
      <c r="W469" s="162">
        <v>-0.44969999999999999</v>
      </c>
      <c r="X469" s="162">
        <v>-0.41310000000000002</v>
      </c>
      <c r="Y469" s="162">
        <v>-0.372</v>
      </c>
      <c r="Z469" s="162">
        <v>-0.32819999999999999</v>
      </c>
      <c r="AA469" s="162">
        <v>-0.28149999999999997</v>
      </c>
      <c r="AB469" s="162">
        <v>-0.2366</v>
      </c>
      <c r="AC469" s="162">
        <v>-0.19439999999999999</v>
      </c>
      <c r="AD469" s="162">
        <v>-0.15659999999999999</v>
      </c>
      <c r="AE469" s="162">
        <v>-0.1208</v>
      </c>
      <c r="AF469" s="162">
        <v>-8.7400000000000005E-2</v>
      </c>
      <c r="AG469" s="162">
        <v>-6.9699999999999998E-2</v>
      </c>
      <c r="AH469" s="162">
        <v>-5.1900000000000002E-2</v>
      </c>
      <c r="AI469" s="162">
        <v>-3.4200000000000001E-2</v>
      </c>
      <c r="AJ469" s="162">
        <v>-1.6500000000000001E-2</v>
      </c>
      <c r="AK469" s="162">
        <v>1.2999999999999999E-3</v>
      </c>
      <c r="AL469" s="162">
        <v>3.5000000000000001E-3</v>
      </c>
      <c r="AM469" s="162">
        <v>5.7000000000000002E-3</v>
      </c>
      <c r="AN469" s="162">
        <v>7.7999999999999996E-3</v>
      </c>
      <c r="AO469" s="162">
        <v>0.01</v>
      </c>
      <c r="AP469" s="162">
        <v>1.2200000000000001E-2</v>
      </c>
      <c r="AQ469" s="162">
        <v>7.9000000000000008E-3</v>
      </c>
      <c r="AR469" s="162">
        <v>3.5000000000000001E-3</v>
      </c>
      <c r="AS469" s="162">
        <v>-8.0000000000000004E-4</v>
      </c>
      <c r="AT469" s="162">
        <v>-5.1999999999999998E-3</v>
      </c>
      <c r="AU469" s="162">
        <v>-9.4999999999999998E-3</v>
      </c>
    </row>
    <row r="470" spans="1:47" ht="12.75" customHeight="1">
      <c r="A470" s="459">
        <v>44183</v>
      </c>
      <c r="B470" s="139">
        <v>51</v>
      </c>
      <c r="C470" s="162">
        <v>-0.47149999999999997</v>
      </c>
      <c r="D470" s="162">
        <v>-0.47149999999999997</v>
      </c>
      <c r="E470" s="162">
        <v>-0.47449999999999998</v>
      </c>
      <c r="F470" s="162">
        <v>-0.47639999999999999</v>
      </c>
      <c r="G470" s="162">
        <v>-0.4834</v>
      </c>
      <c r="H470" s="162">
        <v>-0.48620000000000002</v>
      </c>
      <c r="I470" s="162">
        <v>-0.48849999999999999</v>
      </c>
      <c r="J470" s="162">
        <v>-0.495</v>
      </c>
      <c r="K470" s="162">
        <v>-0.50019999999999998</v>
      </c>
      <c r="L470" s="162">
        <v>-0.50439999999999996</v>
      </c>
      <c r="M470" s="162">
        <v>-0.50880000000000003</v>
      </c>
      <c r="N470" s="162">
        <v>-0.51300000000000001</v>
      </c>
      <c r="O470" s="162">
        <v>-0.51619999999999999</v>
      </c>
      <c r="P470" s="162">
        <v>-0.51980000000000004</v>
      </c>
      <c r="Q470" s="162">
        <v>-0.52239999999999998</v>
      </c>
      <c r="R470" s="162">
        <v>-0.52510000000000001</v>
      </c>
      <c r="S470" s="162">
        <v>-0.54600000000000004</v>
      </c>
      <c r="T470" s="162">
        <v>-0.54749999999999999</v>
      </c>
      <c r="U470" s="162">
        <v>-0.53610000000000002</v>
      </c>
      <c r="V470" s="162">
        <v>-0.51500000000000001</v>
      </c>
      <c r="W470" s="162">
        <v>-0.48659999999999998</v>
      </c>
      <c r="X470" s="162">
        <v>-0.45140000000000002</v>
      </c>
      <c r="Y470" s="162">
        <v>-0.41070000000000001</v>
      </c>
      <c r="Z470" s="162">
        <v>-0.3674</v>
      </c>
      <c r="AA470" s="162">
        <v>-0.3221</v>
      </c>
      <c r="AB470" s="162">
        <v>-0.27850000000000003</v>
      </c>
      <c r="AC470" s="162">
        <v>-0.23330000000000001</v>
      </c>
      <c r="AD470" s="162">
        <v>-0.19919999999999999</v>
      </c>
      <c r="AE470" s="162">
        <v>-0.16339999999999999</v>
      </c>
      <c r="AF470" s="162">
        <v>-0.128</v>
      </c>
      <c r="AG470" s="162">
        <v>-0.1103</v>
      </c>
      <c r="AH470" s="162">
        <v>-9.2700000000000005E-2</v>
      </c>
      <c r="AI470" s="162">
        <v>-7.4999999999999997E-2</v>
      </c>
      <c r="AJ470" s="162">
        <v>-5.7299999999999997E-2</v>
      </c>
      <c r="AK470" s="162">
        <v>-3.9699999999999999E-2</v>
      </c>
      <c r="AL470" s="162">
        <v>-3.7600000000000001E-2</v>
      </c>
      <c r="AM470" s="162">
        <v>-3.5499999999999997E-2</v>
      </c>
      <c r="AN470" s="162">
        <v>-3.3500000000000002E-2</v>
      </c>
      <c r="AO470" s="162">
        <v>-3.1399999999999997E-2</v>
      </c>
      <c r="AP470" s="162">
        <v>-2.9399999999999999E-2</v>
      </c>
      <c r="AQ470" s="162">
        <v>-3.32E-2</v>
      </c>
      <c r="AR470" s="162">
        <v>-3.7100000000000001E-2</v>
      </c>
      <c r="AS470" s="162">
        <v>-4.0899999999999999E-2</v>
      </c>
      <c r="AT470" s="162">
        <v>-4.48E-2</v>
      </c>
      <c r="AU470" s="162">
        <v>-4.8599999999999997E-2</v>
      </c>
    </row>
    <row r="471" spans="1:47" ht="12.75" customHeight="1">
      <c r="A471" s="459">
        <v>44190</v>
      </c>
      <c r="B471" s="139">
        <v>52</v>
      </c>
      <c r="C471" s="162">
        <v>-0.47049999999999997</v>
      </c>
      <c r="D471" s="162">
        <v>-0.47049999999999997</v>
      </c>
      <c r="E471" s="162">
        <v>-0.47420000000000001</v>
      </c>
      <c r="F471" s="162">
        <v>-0.47849999999999998</v>
      </c>
      <c r="G471" s="162">
        <v>-0.47739999999999999</v>
      </c>
      <c r="H471" s="162">
        <v>-0.47939999999999999</v>
      </c>
      <c r="I471" s="162">
        <v>-0.48120000000000002</v>
      </c>
      <c r="J471" s="162">
        <v>-0.48720000000000002</v>
      </c>
      <c r="K471" s="162">
        <v>-0.49159999999999998</v>
      </c>
      <c r="L471" s="162">
        <v>-0.495</v>
      </c>
      <c r="M471" s="162">
        <v>-0.49930000000000002</v>
      </c>
      <c r="N471" s="162">
        <v>-0.50280000000000002</v>
      </c>
      <c r="O471" s="162">
        <v>-0.505</v>
      </c>
      <c r="P471" s="162">
        <v>-0.50819999999999999</v>
      </c>
      <c r="Q471" s="162">
        <v>-0.51049999999999995</v>
      </c>
      <c r="R471" s="162">
        <v>-0.51239999999999997</v>
      </c>
      <c r="S471" s="162">
        <v>-0.5302</v>
      </c>
      <c r="T471" s="162">
        <v>-0.53290000000000004</v>
      </c>
      <c r="U471" s="162">
        <v>-0.52290000000000003</v>
      </c>
      <c r="V471" s="162">
        <v>-0.50419999999999998</v>
      </c>
      <c r="W471" s="162">
        <v>-0.47460000000000002</v>
      </c>
      <c r="X471" s="162">
        <v>-0.44019999999999998</v>
      </c>
      <c r="Y471" s="162">
        <v>-0.40100000000000002</v>
      </c>
      <c r="Z471" s="162">
        <v>-0.35880000000000001</v>
      </c>
      <c r="AA471" s="162">
        <v>-0.31540000000000001</v>
      </c>
      <c r="AB471" s="162">
        <v>-0.27350000000000002</v>
      </c>
      <c r="AC471" s="162">
        <v>-0.2319</v>
      </c>
      <c r="AD471" s="162">
        <v>-0.19700000000000001</v>
      </c>
      <c r="AE471" s="162">
        <v>-0.16159999999999999</v>
      </c>
      <c r="AF471" s="162">
        <v>-0.13039999999999999</v>
      </c>
      <c r="AG471" s="162">
        <v>-0.1134</v>
      </c>
      <c r="AH471" s="162">
        <v>-9.64E-2</v>
      </c>
      <c r="AI471" s="162">
        <v>-7.9500000000000001E-2</v>
      </c>
      <c r="AJ471" s="162">
        <v>-6.25E-2</v>
      </c>
      <c r="AK471" s="162">
        <v>-4.5499999999999999E-2</v>
      </c>
      <c r="AL471" s="162">
        <v>-4.3999999999999997E-2</v>
      </c>
      <c r="AM471" s="162">
        <v>-4.24E-2</v>
      </c>
      <c r="AN471" s="162">
        <v>-4.0800000000000003E-2</v>
      </c>
      <c r="AO471" s="162">
        <v>-3.9300000000000002E-2</v>
      </c>
      <c r="AP471" s="162">
        <v>-3.7699999999999997E-2</v>
      </c>
      <c r="AQ471" s="162">
        <v>-4.24E-2</v>
      </c>
      <c r="AR471" s="162">
        <v>-4.7100000000000003E-2</v>
      </c>
      <c r="AS471" s="162">
        <v>-5.1700000000000003E-2</v>
      </c>
      <c r="AT471" s="162">
        <v>-5.6399999999999999E-2</v>
      </c>
      <c r="AU471" s="162">
        <v>-6.1100000000000002E-2</v>
      </c>
    </row>
    <row r="472" spans="1:47" ht="12.75" customHeight="1">
      <c r="A472" s="459">
        <v>44197</v>
      </c>
      <c r="B472" s="139">
        <v>53</v>
      </c>
      <c r="C472" s="162">
        <v>-0.47299999999999998</v>
      </c>
      <c r="D472" s="162">
        <v>-0.47299999999999998</v>
      </c>
      <c r="E472" s="162">
        <v>-0.47749999999999998</v>
      </c>
      <c r="F472" s="162">
        <v>-0.48049999999999998</v>
      </c>
      <c r="G472" s="162">
        <v>-0.47539999999999999</v>
      </c>
      <c r="H472" s="162">
        <v>-0.47810000000000002</v>
      </c>
      <c r="I472" s="162">
        <v>-0.48010000000000003</v>
      </c>
      <c r="J472" s="162">
        <v>-0.48430000000000001</v>
      </c>
      <c r="K472" s="162">
        <v>-0.48709999999999998</v>
      </c>
      <c r="L472" s="162">
        <v>-0.48959999999999998</v>
      </c>
      <c r="M472" s="162">
        <v>-0.49249999999999999</v>
      </c>
      <c r="N472" s="162">
        <v>-0.49619999999999997</v>
      </c>
      <c r="O472" s="162">
        <v>-0.49769999999999998</v>
      </c>
      <c r="P472" s="162">
        <v>-0.50049999999999994</v>
      </c>
      <c r="Q472" s="162">
        <v>-0.50129999999999997</v>
      </c>
      <c r="R472" s="162">
        <v>-0.50380000000000003</v>
      </c>
      <c r="S472" s="162">
        <v>-0.5161</v>
      </c>
      <c r="T472" s="162">
        <v>-0.51249999999999996</v>
      </c>
      <c r="U472" s="162">
        <v>-0.50219999999999998</v>
      </c>
      <c r="V472" s="162">
        <v>-0.48720000000000002</v>
      </c>
      <c r="W472" s="162">
        <v>-0.45700000000000002</v>
      </c>
      <c r="X472" s="162">
        <v>-0.42399999999999999</v>
      </c>
      <c r="Y472" s="162">
        <v>-0.38500000000000001</v>
      </c>
      <c r="Z472" s="162">
        <v>-0.34379999999999999</v>
      </c>
      <c r="AA472" s="162">
        <v>-0.3</v>
      </c>
      <c r="AB472" s="162">
        <v>-0.26029999999999998</v>
      </c>
      <c r="AC472" s="162">
        <v>-0.21870000000000001</v>
      </c>
      <c r="AD472" s="162">
        <v>-0.17799999999999999</v>
      </c>
      <c r="AE472" s="162">
        <v>-0.14380000000000001</v>
      </c>
      <c r="AF472" s="162">
        <v>-0.11650000000000001</v>
      </c>
      <c r="AG472" s="162">
        <v>-9.98E-2</v>
      </c>
      <c r="AH472" s="162">
        <v>-8.3099999999999993E-2</v>
      </c>
      <c r="AI472" s="162">
        <v>-6.6400000000000001E-2</v>
      </c>
      <c r="AJ472" s="162">
        <v>-4.9700000000000001E-2</v>
      </c>
      <c r="AK472" s="162">
        <v>-3.3000000000000002E-2</v>
      </c>
      <c r="AL472" s="162">
        <v>-3.2099999999999997E-2</v>
      </c>
      <c r="AM472" s="162">
        <v>-3.1199999999999999E-2</v>
      </c>
      <c r="AN472" s="162">
        <v>-3.04E-2</v>
      </c>
      <c r="AO472" s="162">
        <v>-2.9499999999999998E-2</v>
      </c>
      <c r="AP472" s="162">
        <v>-2.86E-2</v>
      </c>
      <c r="AQ472" s="162">
        <v>-3.3799999999999997E-2</v>
      </c>
      <c r="AR472" s="162">
        <v>-3.9E-2</v>
      </c>
      <c r="AS472" s="162">
        <v>-4.41E-2</v>
      </c>
      <c r="AT472" s="162">
        <v>-4.9299999999999997E-2</v>
      </c>
      <c r="AU472" s="162">
        <v>-5.45E-2</v>
      </c>
    </row>
    <row r="473" spans="1:47" ht="12.75" customHeight="1">
      <c r="A473" s="459">
        <v>44204</v>
      </c>
      <c r="B473" s="139">
        <v>1</v>
      </c>
      <c r="C473" s="162">
        <v>-0.47</v>
      </c>
      <c r="D473" s="162">
        <v>-0.47</v>
      </c>
      <c r="E473" s="162">
        <v>-0.47739999999999999</v>
      </c>
      <c r="F473" s="162">
        <v>-0.4738</v>
      </c>
      <c r="G473" s="162">
        <v>-0.47339999999999999</v>
      </c>
      <c r="H473" s="162">
        <v>-0.47520000000000001</v>
      </c>
      <c r="I473" s="162">
        <v>-0.47839999999999999</v>
      </c>
      <c r="J473" s="162">
        <v>-0.48159999999999997</v>
      </c>
      <c r="K473" s="162">
        <v>-0.48530000000000001</v>
      </c>
      <c r="L473" s="162">
        <v>-0.4884</v>
      </c>
      <c r="M473" s="162">
        <v>-0.4919</v>
      </c>
      <c r="N473" s="162">
        <v>-0.49559999999999998</v>
      </c>
      <c r="O473" s="162">
        <v>-0.49859999999999999</v>
      </c>
      <c r="P473" s="162">
        <v>-0.501</v>
      </c>
      <c r="Q473" s="162">
        <v>-0.50290000000000001</v>
      </c>
      <c r="R473" s="162">
        <v>-0.505</v>
      </c>
      <c r="S473" s="162">
        <v>-0.51870000000000005</v>
      </c>
      <c r="T473" s="162">
        <v>-0.51570000000000005</v>
      </c>
      <c r="U473" s="162">
        <v>-0.50639999999999996</v>
      </c>
      <c r="V473" s="162">
        <v>-0.48830000000000001</v>
      </c>
      <c r="W473" s="162">
        <v>-0.46479999999999999</v>
      </c>
      <c r="X473" s="162">
        <v>-0.43280000000000002</v>
      </c>
      <c r="Y473" s="162">
        <v>-0.39500000000000002</v>
      </c>
      <c r="Z473" s="162">
        <v>-0.35349999999999998</v>
      </c>
      <c r="AA473" s="162">
        <v>-0.30830000000000002</v>
      </c>
      <c r="AB473" s="162">
        <v>-0.26529999999999998</v>
      </c>
      <c r="AC473" s="162">
        <v>-0.2195</v>
      </c>
      <c r="AD473" s="162">
        <v>-0.18629999999999999</v>
      </c>
      <c r="AE473" s="162">
        <v>-0.15129999999999999</v>
      </c>
      <c r="AF473" s="162">
        <v>-0.1145</v>
      </c>
      <c r="AG473" s="162">
        <v>-9.7100000000000006E-2</v>
      </c>
      <c r="AH473" s="162">
        <v>-7.9699999999999993E-2</v>
      </c>
      <c r="AI473" s="162">
        <v>-6.2300000000000001E-2</v>
      </c>
      <c r="AJ473" s="162">
        <v>-4.4900000000000002E-2</v>
      </c>
      <c r="AK473" s="162">
        <v>-2.75E-2</v>
      </c>
      <c r="AL473" s="162">
        <v>-2.5999999999999999E-2</v>
      </c>
      <c r="AM473" s="162">
        <v>-2.46E-2</v>
      </c>
      <c r="AN473" s="162">
        <v>-2.3099999999999999E-2</v>
      </c>
      <c r="AO473" s="162">
        <v>-2.1600000000000001E-2</v>
      </c>
      <c r="AP473" s="162">
        <v>-2.0199999999999999E-2</v>
      </c>
      <c r="AQ473" s="162">
        <v>-2.5899999999999999E-2</v>
      </c>
      <c r="AR473" s="162">
        <v>-3.1600000000000003E-2</v>
      </c>
      <c r="AS473" s="162">
        <v>-3.73E-2</v>
      </c>
      <c r="AT473" s="162">
        <v>-4.2999999999999997E-2</v>
      </c>
      <c r="AU473" s="162">
        <v>-4.87E-2</v>
      </c>
    </row>
    <row r="474" spans="1:47" ht="12.75" customHeight="1">
      <c r="A474" s="459">
        <v>44211</v>
      </c>
      <c r="B474" s="139">
        <v>2</v>
      </c>
      <c r="C474" s="162">
        <v>-0.48</v>
      </c>
      <c r="D474" s="162">
        <v>-0.48</v>
      </c>
      <c r="E474" s="162">
        <v>-0.47310000000000002</v>
      </c>
      <c r="F474" s="162">
        <v>-0.47299999999999998</v>
      </c>
      <c r="G474" s="162">
        <v>-0.4753</v>
      </c>
      <c r="H474" s="162">
        <v>-0.4768</v>
      </c>
      <c r="I474" s="162">
        <v>-0.48010000000000003</v>
      </c>
      <c r="J474" s="162">
        <v>-0.48309999999999997</v>
      </c>
      <c r="K474" s="162">
        <v>-0.48599999999999999</v>
      </c>
      <c r="L474" s="162">
        <v>-0.48949999999999999</v>
      </c>
      <c r="M474" s="162">
        <v>-0.4929</v>
      </c>
      <c r="N474" s="162">
        <v>-0.496</v>
      </c>
      <c r="O474" s="162">
        <v>-0.49840000000000001</v>
      </c>
      <c r="P474" s="162">
        <v>-0.50139999999999996</v>
      </c>
      <c r="Q474" s="162">
        <v>-0.50380000000000003</v>
      </c>
      <c r="R474" s="162">
        <v>-0.50600000000000001</v>
      </c>
      <c r="S474" s="162">
        <v>-0.52349999999999997</v>
      </c>
      <c r="T474" s="162">
        <v>-0.52349999999999997</v>
      </c>
      <c r="U474" s="162">
        <v>-0.51049999999999995</v>
      </c>
      <c r="V474" s="162">
        <v>-0.49020000000000002</v>
      </c>
      <c r="W474" s="162">
        <v>-0.46189999999999998</v>
      </c>
      <c r="X474" s="162">
        <v>-0.42780000000000001</v>
      </c>
      <c r="Y474" s="162">
        <v>-0.38800000000000001</v>
      </c>
      <c r="Z474" s="162">
        <v>-0.34460000000000002</v>
      </c>
      <c r="AA474" s="162">
        <v>-0.29980000000000001</v>
      </c>
      <c r="AB474" s="162">
        <v>-0.25600000000000001</v>
      </c>
      <c r="AC474" s="162">
        <v>-0.2112</v>
      </c>
      <c r="AD474" s="162">
        <v>-0.17430000000000001</v>
      </c>
      <c r="AE474" s="162">
        <v>-0.1384</v>
      </c>
      <c r="AF474" s="162">
        <v>-0.10390000000000001</v>
      </c>
      <c r="AG474" s="162">
        <v>-8.5599999999999996E-2</v>
      </c>
      <c r="AH474" s="162">
        <v>-6.7400000000000002E-2</v>
      </c>
      <c r="AI474" s="162">
        <v>-4.9099999999999998E-2</v>
      </c>
      <c r="AJ474" s="162">
        <v>-3.09E-2</v>
      </c>
      <c r="AK474" s="162">
        <v>-1.26E-2</v>
      </c>
      <c r="AL474" s="162">
        <v>-1.0999999999999999E-2</v>
      </c>
      <c r="AM474" s="162">
        <v>-9.2999999999999992E-3</v>
      </c>
      <c r="AN474" s="162">
        <v>-7.7000000000000002E-3</v>
      </c>
      <c r="AO474" s="162">
        <v>-6.0000000000000001E-3</v>
      </c>
      <c r="AP474" s="162">
        <v>-4.3E-3</v>
      </c>
      <c r="AQ474" s="162">
        <v>-8.6999999999999994E-3</v>
      </c>
      <c r="AR474" s="162">
        <v>-1.2999999999999999E-2</v>
      </c>
      <c r="AS474" s="162">
        <v>-1.7399999999999999E-2</v>
      </c>
      <c r="AT474" s="162">
        <v>-2.1700000000000001E-2</v>
      </c>
      <c r="AU474" s="162">
        <v>-2.6100000000000002E-2</v>
      </c>
    </row>
    <row r="475" spans="1:47" ht="12.75" customHeight="1">
      <c r="A475" s="459">
        <v>44218</v>
      </c>
      <c r="B475" s="139">
        <v>3</v>
      </c>
      <c r="C475" s="162">
        <v>-0.4783</v>
      </c>
      <c r="D475" s="162">
        <v>-0.4783</v>
      </c>
      <c r="E475" s="162">
        <v>-0.4768</v>
      </c>
      <c r="F475" s="162">
        <v>-0.4778</v>
      </c>
      <c r="G475" s="162">
        <v>-0.4793</v>
      </c>
      <c r="H475" s="162">
        <v>-0.48</v>
      </c>
      <c r="I475" s="162">
        <v>-0.48270000000000002</v>
      </c>
      <c r="J475" s="162">
        <v>-0.48449999999999999</v>
      </c>
      <c r="K475" s="162">
        <v>-0.48620000000000002</v>
      </c>
      <c r="L475" s="162">
        <v>-0.48820000000000002</v>
      </c>
      <c r="M475" s="162">
        <v>-0.4909</v>
      </c>
      <c r="N475" s="162">
        <v>-0.49280000000000002</v>
      </c>
      <c r="O475" s="162">
        <v>-0.49459999999999998</v>
      </c>
      <c r="P475" s="162">
        <v>-0.49619999999999997</v>
      </c>
      <c r="Q475" s="162">
        <v>-0.49819999999999998</v>
      </c>
      <c r="R475" s="162">
        <v>-0.49930000000000002</v>
      </c>
      <c r="S475" s="162">
        <v>-0.50970000000000004</v>
      </c>
      <c r="T475" s="162">
        <v>-0.50539999999999996</v>
      </c>
      <c r="U475" s="162">
        <v>-0.48849999999999999</v>
      </c>
      <c r="V475" s="162">
        <v>-0.4632</v>
      </c>
      <c r="W475" s="162">
        <v>-0.43180000000000002</v>
      </c>
      <c r="X475" s="162">
        <v>-0.39300000000000002</v>
      </c>
      <c r="Y475" s="162">
        <v>-0.35070000000000001</v>
      </c>
      <c r="Z475" s="162">
        <v>-0.30609999999999998</v>
      </c>
      <c r="AA475" s="162">
        <v>-0.26079999999999998</v>
      </c>
      <c r="AB475" s="162">
        <v>-0.217</v>
      </c>
      <c r="AC475" s="162">
        <v>-0.16850000000000001</v>
      </c>
      <c r="AD475" s="162">
        <v>-0.13420000000000001</v>
      </c>
      <c r="AE475" s="162">
        <v>-9.74E-2</v>
      </c>
      <c r="AF475" s="162">
        <v>-5.96E-2</v>
      </c>
      <c r="AG475" s="162">
        <v>-4.1399999999999999E-2</v>
      </c>
      <c r="AH475" s="162">
        <v>-2.3099999999999999E-2</v>
      </c>
      <c r="AI475" s="162">
        <v>-4.8999999999999998E-3</v>
      </c>
      <c r="AJ475" s="162">
        <v>1.34E-2</v>
      </c>
      <c r="AK475" s="162">
        <v>3.1600000000000003E-2</v>
      </c>
      <c r="AL475" s="162">
        <v>3.4299999999999997E-2</v>
      </c>
      <c r="AM475" s="162">
        <v>3.6999999999999998E-2</v>
      </c>
      <c r="AN475" s="162">
        <v>3.9699999999999999E-2</v>
      </c>
      <c r="AO475" s="162">
        <v>4.24E-2</v>
      </c>
      <c r="AP475" s="162">
        <v>4.5100000000000001E-2</v>
      </c>
      <c r="AQ475" s="162">
        <v>4.1200000000000001E-2</v>
      </c>
      <c r="AR475" s="162">
        <v>3.73E-2</v>
      </c>
      <c r="AS475" s="162">
        <v>3.3300000000000003E-2</v>
      </c>
      <c r="AT475" s="162">
        <v>2.9399999999999999E-2</v>
      </c>
      <c r="AU475" s="162">
        <v>2.5499999999999998E-2</v>
      </c>
    </row>
    <row r="476" spans="1:47" ht="12.75" customHeight="1">
      <c r="A476" s="459">
        <v>44225</v>
      </c>
      <c r="B476" s="139">
        <v>4</v>
      </c>
      <c r="C476" s="162">
        <v>-0.4788</v>
      </c>
      <c r="D476" s="162">
        <v>-0.4788</v>
      </c>
      <c r="E476" s="162">
        <v>-0.4788</v>
      </c>
      <c r="F476" s="162">
        <v>-0.48</v>
      </c>
      <c r="G476" s="162">
        <v>-0.48060000000000003</v>
      </c>
      <c r="H476" s="162">
        <v>-0.48170000000000002</v>
      </c>
      <c r="I476" s="162">
        <v>-0.48280000000000001</v>
      </c>
      <c r="J476" s="162">
        <v>-0.4844</v>
      </c>
      <c r="K476" s="162">
        <v>-0.4859</v>
      </c>
      <c r="L476" s="162">
        <v>-0.48749999999999999</v>
      </c>
      <c r="M476" s="162">
        <v>-0.49030000000000001</v>
      </c>
      <c r="N476" s="162">
        <v>-0.49209999999999998</v>
      </c>
      <c r="O476" s="162">
        <v>-0.49359999999999998</v>
      </c>
      <c r="P476" s="162">
        <v>-0.4955</v>
      </c>
      <c r="Q476" s="162">
        <v>-0.497</v>
      </c>
      <c r="R476" s="162">
        <v>-0.49880000000000002</v>
      </c>
      <c r="S476" s="162">
        <v>-0.50639999999999996</v>
      </c>
      <c r="T476" s="162">
        <v>-0.49940000000000001</v>
      </c>
      <c r="U476" s="162">
        <v>-0.48170000000000002</v>
      </c>
      <c r="V476" s="162">
        <v>-0.45479999999999998</v>
      </c>
      <c r="W476" s="162">
        <v>-0.42259999999999998</v>
      </c>
      <c r="X476" s="162">
        <v>-0.38290000000000002</v>
      </c>
      <c r="Y476" s="162">
        <v>-0.33950000000000002</v>
      </c>
      <c r="Z476" s="162">
        <v>-0.29320000000000002</v>
      </c>
      <c r="AA476" s="162">
        <v>-0.2467</v>
      </c>
      <c r="AB476" s="162">
        <v>-0.20050000000000001</v>
      </c>
      <c r="AC476" s="162">
        <v>-0.15620000000000001</v>
      </c>
      <c r="AD476" s="162">
        <v>-0.1143</v>
      </c>
      <c r="AE476" s="162">
        <v>-7.7600000000000002E-2</v>
      </c>
      <c r="AF476" s="162">
        <v>-4.5199999999999997E-2</v>
      </c>
      <c r="AG476" s="162">
        <v>-2.5899999999999999E-2</v>
      </c>
      <c r="AH476" s="162">
        <v>-6.6E-3</v>
      </c>
      <c r="AI476" s="162">
        <v>1.2699999999999999E-2</v>
      </c>
      <c r="AJ476" s="162">
        <v>3.2000000000000001E-2</v>
      </c>
      <c r="AK476" s="162">
        <v>5.1299999999999998E-2</v>
      </c>
      <c r="AL476" s="162">
        <v>5.4600000000000003E-2</v>
      </c>
      <c r="AM476" s="162">
        <v>5.7799999999999997E-2</v>
      </c>
      <c r="AN476" s="162">
        <v>6.0999999999999999E-2</v>
      </c>
      <c r="AO476" s="162">
        <v>6.4299999999999996E-2</v>
      </c>
      <c r="AP476" s="162">
        <v>6.7500000000000004E-2</v>
      </c>
      <c r="AQ476" s="162">
        <v>6.4299999999999996E-2</v>
      </c>
      <c r="AR476" s="162">
        <v>6.1100000000000002E-2</v>
      </c>
      <c r="AS476" s="162">
        <v>5.79E-2</v>
      </c>
      <c r="AT476" s="162">
        <v>5.4600000000000003E-2</v>
      </c>
      <c r="AU476" s="162">
        <v>5.1400000000000001E-2</v>
      </c>
    </row>
    <row r="477" spans="1:47" ht="12.75" customHeight="1">
      <c r="A477" s="459">
        <v>44232</v>
      </c>
      <c r="B477" s="139">
        <v>5</v>
      </c>
      <c r="C477" s="162">
        <v>-0.47649999999999998</v>
      </c>
      <c r="D477" s="162">
        <v>-0.47649999999999998</v>
      </c>
      <c r="E477" s="162">
        <v>-0.47970000000000002</v>
      </c>
      <c r="F477" s="162">
        <v>-0.4788</v>
      </c>
      <c r="G477" s="162">
        <v>-0.4783</v>
      </c>
      <c r="H477" s="162">
        <v>-0.48209999999999997</v>
      </c>
      <c r="I477" s="162">
        <v>-0.4849</v>
      </c>
      <c r="J477" s="162">
        <v>-0.48809999999999998</v>
      </c>
      <c r="K477" s="162">
        <v>-0.49099999999999999</v>
      </c>
      <c r="L477" s="162">
        <v>-0.49390000000000001</v>
      </c>
      <c r="M477" s="162">
        <v>-0.49680000000000002</v>
      </c>
      <c r="N477" s="162">
        <v>-0.49969999999999998</v>
      </c>
      <c r="O477" s="162">
        <v>-0.50209999999999999</v>
      </c>
      <c r="P477" s="162">
        <v>-0.50439999999999996</v>
      </c>
      <c r="Q477" s="162">
        <v>-0.50649999999999995</v>
      </c>
      <c r="R477" s="162">
        <v>-0.50829999999999997</v>
      </c>
      <c r="S477" s="162">
        <v>-0.52010000000000001</v>
      </c>
      <c r="T477" s="162">
        <v>-0.51329999999999998</v>
      </c>
      <c r="U477" s="162">
        <v>-0.49180000000000001</v>
      </c>
      <c r="V477" s="162">
        <v>-0.46200000000000002</v>
      </c>
      <c r="W477" s="162">
        <v>-0.4249</v>
      </c>
      <c r="X477" s="162">
        <v>-0.3821</v>
      </c>
      <c r="Y477" s="162">
        <v>-0.3367</v>
      </c>
      <c r="Z477" s="162">
        <v>-0.28920000000000001</v>
      </c>
      <c r="AA477" s="162">
        <v>-0.2404</v>
      </c>
      <c r="AB477" s="162">
        <v>-0.1928</v>
      </c>
      <c r="AC477" s="162">
        <v>-0.1467</v>
      </c>
      <c r="AD477" s="162">
        <v>-0.1056</v>
      </c>
      <c r="AE477" s="162">
        <v>-6.6799999999999998E-2</v>
      </c>
      <c r="AF477" s="162">
        <v>-3.2800000000000003E-2</v>
      </c>
      <c r="AG477" s="162">
        <v>-1.2200000000000001E-2</v>
      </c>
      <c r="AH477" s="162">
        <v>8.5000000000000006E-3</v>
      </c>
      <c r="AI477" s="162">
        <v>2.9100000000000001E-2</v>
      </c>
      <c r="AJ477" s="162">
        <v>4.9799999999999997E-2</v>
      </c>
      <c r="AK477" s="162">
        <v>7.0400000000000004E-2</v>
      </c>
      <c r="AL477" s="162">
        <v>7.4300000000000005E-2</v>
      </c>
      <c r="AM477" s="162">
        <v>7.8100000000000003E-2</v>
      </c>
      <c r="AN477" s="162">
        <v>8.2000000000000003E-2</v>
      </c>
      <c r="AO477" s="162">
        <v>8.5800000000000001E-2</v>
      </c>
      <c r="AP477" s="162">
        <v>8.9700000000000002E-2</v>
      </c>
      <c r="AQ477" s="162">
        <v>8.7300000000000003E-2</v>
      </c>
      <c r="AR477" s="162">
        <v>8.4900000000000003E-2</v>
      </c>
      <c r="AS477" s="162">
        <v>8.2500000000000004E-2</v>
      </c>
      <c r="AT477" s="162">
        <v>8.0100000000000005E-2</v>
      </c>
      <c r="AU477" s="162">
        <v>7.7799999999999994E-2</v>
      </c>
    </row>
    <row r="478" spans="1:47" ht="12.75" customHeight="1">
      <c r="A478" s="459">
        <v>44239</v>
      </c>
      <c r="B478" s="139">
        <v>6</v>
      </c>
      <c r="C478" s="162">
        <v>-0.47799999999999998</v>
      </c>
      <c r="D478" s="162">
        <v>-0.47799999999999998</v>
      </c>
      <c r="E478" s="162">
        <v>-0.47960000000000003</v>
      </c>
      <c r="F478" s="162">
        <v>-0.47939999999999999</v>
      </c>
      <c r="G478" s="162">
        <v>-0.4793</v>
      </c>
      <c r="H478" s="162">
        <v>-0.48349999999999999</v>
      </c>
      <c r="I478" s="162">
        <v>-0.48630000000000001</v>
      </c>
      <c r="J478" s="162">
        <v>-0.4884</v>
      </c>
      <c r="K478" s="162">
        <v>-0.49070000000000003</v>
      </c>
      <c r="L478" s="162">
        <v>-0.49259999999999998</v>
      </c>
      <c r="M478" s="162">
        <v>-0.49459999999999998</v>
      </c>
      <c r="N478" s="162">
        <v>-0.49630000000000002</v>
      </c>
      <c r="O478" s="162">
        <v>-0.49830000000000002</v>
      </c>
      <c r="P478" s="162">
        <v>-0.50019999999999998</v>
      </c>
      <c r="Q478" s="162">
        <v>-0.50170000000000003</v>
      </c>
      <c r="R478" s="162">
        <v>-0.50290000000000001</v>
      </c>
      <c r="S478" s="162">
        <v>-0.51080000000000003</v>
      </c>
      <c r="T478" s="162">
        <v>-0.49680000000000002</v>
      </c>
      <c r="U478" s="162">
        <v>-0.46820000000000001</v>
      </c>
      <c r="V478" s="162">
        <v>-0.43099999999999999</v>
      </c>
      <c r="W478" s="162">
        <v>-0.38740000000000002</v>
      </c>
      <c r="X478" s="162">
        <v>-0.33860000000000001</v>
      </c>
      <c r="Y478" s="162">
        <v>-0.28789999999999999</v>
      </c>
      <c r="Z478" s="162">
        <v>-0.2351</v>
      </c>
      <c r="AA478" s="162">
        <v>-0.18240000000000001</v>
      </c>
      <c r="AB478" s="162">
        <v>-0.13139999999999999</v>
      </c>
      <c r="AC478" s="162">
        <v>-8.2799999999999999E-2</v>
      </c>
      <c r="AD478" s="162">
        <v>-3.6499999999999998E-2</v>
      </c>
      <c r="AE478" s="162">
        <v>3.8999999999999998E-3</v>
      </c>
      <c r="AF478" s="162">
        <v>3.7699999999999997E-2</v>
      </c>
      <c r="AG478" s="162">
        <v>5.9700000000000003E-2</v>
      </c>
      <c r="AH478" s="162">
        <v>8.1699999999999995E-2</v>
      </c>
      <c r="AI478" s="162">
        <v>0.1037</v>
      </c>
      <c r="AJ478" s="162">
        <v>0.12570000000000001</v>
      </c>
      <c r="AK478" s="162">
        <v>0.14779999999999999</v>
      </c>
      <c r="AL478" s="162">
        <v>0.1525</v>
      </c>
      <c r="AM478" s="162">
        <v>0.1573</v>
      </c>
      <c r="AN478" s="162">
        <v>0.16200000000000001</v>
      </c>
      <c r="AO478" s="162">
        <v>0.1668</v>
      </c>
      <c r="AP478" s="162">
        <v>0.17150000000000001</v>
      </c>
      <c r="AQ478" s="162">
        <v>0.16980000000000001</v>
      </c>
      <c r="AR478" s="162">
        <v>0.1681</v>
      </c>
      <c r="AS478" s="162">
        <v>0.16639999999999999</v>
      </c>
      <c r="AT478" s="162">
        <v>0.16470000000000001</v>
      </c>
      <c r="AU478" s="162">
        <v>0.16300000000000001</v>
      </c>
    </row>
    <row r="479" spans="1:47" ht="12.75" customHeight="1">
      <c r="A479" s="459">
        <v>44246</v>
      </c>
      <c r="B479" s="139">
        <v>7</v>
      </c>
      <c r="C479" s="162">
        <v>-0.47899999999999998</v>
      </c>
      <c r="D479" s="162">
        <v>-0.47899999999999998</v>
      </c>
      <c r="E479" s="162">
        <v>-0.47970000000000002</v>
      </c>
      <c r="F479" s="162">
        <v>-0.4798</v>
      </c>
      <c r="G479" s="162">
        <v>-0.47949999999999998</v>
      </c>
      <c r="H479" s="162">
        <v>-0.48349999999999999</v>
      </c>
      <c r="I479" s="162">
        <v>-0.48530000000000001</v>
      </c>
      <c r="J479" s="162">
        <v>-0.4869</v>
      </c>
      <c r="K479" s="162">
        <v>-0.48880000000000001</v>
      </c>
      <c r="L479" s="162">
        <v>-0.49080000000000001</v>
      </c>
      <c r="M479" s="162">
        <v>-0.4919</v>
      </c>
      <c r="N479" s="162">
        <v>-0.49399999999999999</v>
      </c>
      <c r="O479" s="162">
        <v>-0.495</v>
      </c>
      <c r="P479" s="162">
        <v>-0.49659999999999999</v>
      </c>
      <c r="Q479" s="162">
        <v>-0.49790000000000001</v>
      </c>
      <c r="R479" s="162">
        <v>-0.49909999999999999</v>
      </c>
      <c r="S479" s="162">
        <v>-0.50629999999999997</v>
      </c>
      <c r="T479" s="162">
        <v>-0.49249999999999999</v>
      </c>
      <c r="U479" s="162">
        <v>-0.4637</v>
      </c>
      <c r="V479" s="162">
        <v>-0.42399999999999999</v>
      </c>
      <c r="W479" s="162">
        <v>-0.37590000000000001</v>
      </c>
      <c r="X479" s="162">
        <v>-0.3236</v>
      </c>
      <c r="Y479" s="162">
        <v>-0.26629999999999998</v>
      </c>
      <c r="Z479" s="162">
        <v>-0.2117</v>
      </c>
      <c r="AA479" s="162">
        <v>-0.155</v>
      </c>
      <c r="AB479" s="162">
        <v>-0.1016</v>
      </c>
      <c r="AC479" s="162">
        <v>-5.0700000000000002E-2</v>
      </c>
      <c r="AD479" s="162">
        <v>-2.2000000000000001E-3</v>
      </c>
      <c r="AE479" s="162">
        <v>4.0599999999999997E-2</v>
      </c>
      <c r="AF479" s="162">
        <v>7.7600000000000002E-2</v>
      </c>
      <c r="AG479" s="162">
        <v>0.1009</v>
      </c>
      <c r="AH479" s="162">
        <v>0.1242</v>
      </c>
      <c r="AI479" s="162">
        <v>0.14749999999999999</v>
      </c>
      <c r="AJ479" s="162">
        <v>0.17080000000000001</v>
      </c>
      <c r="AK479" s="162">
        <v>0.19409999999999999</v>
      </c>
      <c r="AL479" s="162">
        <v>0.2</v>
      </c>
      <c r="AM479" s="162">
        <v>0.2059</v>
      </c>
      <c r="AN479" s="162">
        <v>0.21179999999999999</v>
      </c>
      <c r="AO479" s="162">
        <v>0.2177</v>
      </c>
      <c r="AP479" s="162">
        <v>0.22359999999999999</v>
      </c>
      <c r="AQ479" s="162">
        <v>0.223</v>
      </c>
      <c r="AR479" s="162">
        <v>0.2223</v>
      </c>
      <c r="AS479" s="162">
        <v>0.22170000000000001</v>
      </c>
      <c r="AT479" s="162">
        <v>0.22109999999999999</v>
      </c>
      <c r="AU479" s="162">
        <v>0.2205</v>
      </c>
    </row>
    <row r="480" spans="1:47" ht="12.75" customHeight="1">
      <c r="A480" s="459">
        <v>44253</v>
      </c>
      <c r="B480" s="139">
        <v>8</v>
      </c>
      <c r="C480" s="162">
        <v>-0.47799999999999998</v>
      </c>
      <c r="D480" s="162">
        <v>-0.47799999999999998</v>
      </c>
      <c r="E480" s="162">
        <v>-0.47849999999999998</v>
      </c>
      <c r="F480" s="162">
        <v>-0.4783</v>
      </c>
      <c r="G480" s="162">
        <v>-0.4788</v>
      </c>
      <c r="H480" s="162">
        <v>-0.48149999999999998</v>
      </c>
      <c r="I480" s="162">
        <v>-0.48299999999999998</v>
      </c>
      <c r="J480" s="162">
        <v>-0.48380000000000001</v>
      </c>
      <c r="K480" s="162">
        <v>-0.48509999999999998</v>
      </c>
      <c r="L480" s="162">
        <v>-0.48609999999999998</v>
      </c>
      <c r="M480" s="162">
        <v>-0.4874</v>
      </c>
      <c r="N480" s="162">
        <v>-0.48870000000000002</v>
      </c>
      <c r="O480" s="162">
        <v>-0.49020000000000002</v>
      </c>
      <c r="P480" s="162">
        <v>-0.49109999999999998</v>
      </c>
      <c r="Q480" s="162">
        <v>-0.4924</v>
      </c>
      <c r="R480" s="162">
        <v>-0.49359999999999998</v>
      </c>
      <c r="S480" s="162">
        <v>-0.499</v>
      </c>
      <c r="T480" s="162">
        <v>-0.47889999999999999</v>
      </c>
      <c r="U480" s="162">
        <v>-0.43580000000000002</v>
      </c>
      <c r="V480" s="162">
        <v>-0.38340000000000002</v>
      </c>
      <c r="W480" s="162">
        <v>-0.3231</v>
      </c>
      <c r="X480" s="162">
        <v>-0.25990000000000002</v>
      </c>
      <c r="Y480" s="162">
        <v>-0.19570000000000001</v>
      </c>
      <c r="Z480" s="162">
        <v>-0.13020000000000001</v>
      </c>
      <c r="AA480" s="162">
        <v>-6.7199999999999996E-2</v>
      </c>
      <c r="AB480" s="162">
        <v>-8.8000000000000005E-3</v>
      </c>
      <c r="AC480" s="162">
        <v>4.36E-2</v>
      </c>
      <c r="AD480" s="162">
        <v>9.8599999999999993E-2</v>
      </c>
      <c r="AE480" s="162">
        <v>0.14380000000000001</v>
      </c>
      <c r="AF480" s="162">
        <v>0.1792</v>
      </c>
      <c r="AG480" s="162">
        <v>0.20419999999999999</v>
      </c>
      <c r="AH480" s="162">
        <v>0.2291</v>
      </c>
      <c r="AI480" s="162">
        <v>0.25409999999999999</v>
      </c>
      <c r="AJ480" s="162">
        <v>0.27900000000000003</v>
      </c>
      <c r="AK480" s="162">
        <v>0.30399999999999999</v>
      </c>
      <c r="AL480" s="162">
        <v>0.31080000000000002</v>
      </c>
      <c r="AM480" s="162">
        <v>0.31769999999999998</v>
      </c>
      <c r="AN480" s="162">
        <v>0.32450000000000001</v>
      </c>
      <c r="AO480" s="162">
        <v>0.33139999999999997</v>
      </c>
      <c r="AP480" s="162">
        <v>0.3382</v>
      </c>
      <c r="AQ480" s="162">
        <v>0.33800000000000002</v>
      </c>
      <c r="AR480" s="162">
        <v>0.3377</v>
      </c>
      <c r="AS480" s="162">
        <v>0.33739999999999998</v>
      </c>
      <c r="AT480" s="162">
        <v>0.33710000000000001</v>
      </c>
      <c r="AU480" s="162">
        <v>0.33689999999999998</v>
      </c>
    </row>
    <row r="481" spans="1:47" ht="12.75" customHeight="1">
      <c r="A481" s="459">
        <v>44260</v>
      </c>
      <c r="B481" s="139">
        <v>9</v>
      </c>
      <c r="C481" s="162">
        <v>-0.4793</v>
      </c>
      <c r="D481" s="162">
        <v>-0.4793</v>
      </c>
      <c r="E481" s="162">
        <v>-0.47860000000000003</v>
      </c>
      <c r="F481" s="162">
        <v>-0.47799999999999998</v>
      </c>
      <c r="G481" s="162">
        <v>-0.47899999999999998</v>
      </c>
      <c r="H481" s="162">
        <v>-0.48010000000000003</v>
      </c>
      <c r="I481" s="162">
        <v>-0.48070000000000002</v>
      </c>
      <c r="J481" s="162">
        <v>-0.48089999999999999</v>
      </c>
      <c r="K481" s="162">
        <v>-0.48139999999999999</v>
      </c>
      <c r="L481" s="162">
        <v>-0.48049999999999998</v>
      </c>
      <c r="M481" s="162">
        <v>-0.48230000000000001</v>
      </c>
      <c r="N481" s="162">
        <v>-0.4819</v>
      </c>
      <c r="O481" s="162">
        <v>-0.48170000000000002</v>
      </c>
      <c r="P481" s="162">
        <v>-0.48259999999999997</v>
      </c>
      <c r="Q481" s="162">
        <v>-0.48549999999999999</v>
      </c>
      <c r="R481" s="162">
        <v>-0.4844</v>
      </c>
      <c r="S481" s="162">
        <v>-0.48870000000000002</v>
      </c>
      <c r="T481" s="162">
        <v>-0.46360000000000001</v>
      </c>
      <c r="U481" s="162">
        <v>-0.41520000000000001</v>
      </c>
      <c r="V481" s="162">
        <v>-0.3569</v>
      </c>
      <c r="W481" s="162">
        <v>-0.29270000000000002</v>
      </c>
      <c r="X481" s="162">
        <v>-0.23</v>
      </c>
      <c r="Y481" s="162">
        <v>-0.1641</v>
      </c>
      <c r="Z481" s="162">
        <v>-9.9199999999999997E-2</v>
      </c>
      <c r="AA481" s="162">
        <v>-3.5099999999999999E-2</v>
      </c>
      <c r="AB481" s="162">
        <v>2.7900000000000001E-2</v>
      </c>
      <c r="AC481" s="162">
        <v>7.5700000000000003E-2</v>
      </c>
      <c r="AD481" s="162">
        <v>0.13370000000000001</v>
      </c>
      <c r="AE481" s="162">
        <v>0.17860000000000001</v>
      </c>
      <c r="AF481" s="162">
        <v>0.2114</v>
      </c>
      <c r="AG481" s="162">
        <v>0.23569999999999999</v>
      </c>
      <c r="AH481" s="162">
        <v>0.2601</v>
      </c>
      <c r="AI481" s="162">
        <v>0.28439999999999999</v>
      </c>
      <c r="AJ481" s="162">
        <v>0.30869999999999997</v>
      </c>
      <c r="AK481" s="162">
        <v>0.33310000000000001</v>
      </c>
      <c r="AL481" s="162">
        <v>0.33850000000000002</v>
      </c>
      <c r="AM481" s="162">
        <v>0.34389999999999998</v>
      </c>
      <c r="AN481" s="162">
        <v>0.3493</v>
      </c>
      <c r="AO481" s="162">
        <v>0.35470000000000002</v>
      </c>
      <c r="AP481" s="162">
        <v>0.36009999999999998</v>
      </c>
      <c r="AQ481" s="162">
        <v>0.35899999999999999</v>
      </c>
      <c r="AR481" s="162">
        <v>0.35799999999999998</v>
      </c>
      <c r="AS481" s="162">
        <v>0.3569</v>
      </c>
      <c r="AT481" s="162">
        <v>0.35580000000000001</v>
      </c>
      <c r="AU481" s="162">
        <v>0.35470000000000002</v>
      </c>
    </row>
    <row r="482" spans="1:47" ht="12.75" customHeight="1">
      <c r="A482" s="459">
        <v>44267</v>
      </c>
      <c r="B482" s="139">
        <v>10</v>
      </c>
      <c r="C482" s="162">
        <v>-0.47949999999999998</v>
      </c>
      <c r="D482" s="162">
        <v>-0.47949999999999998</v>
      </c>
      <c r="E482" s="162">
        <v>-0.48</v>
      </c>
      <c r="F482" s="162">
        <v>-0.48010000000000003</v>
      </c>
      <c r="G482" s="162">
        <v>-0.48149999999999998</v>
      </c>
      <c r="H482" s="162">
        <v>-0.48209999999999997</v>
      </c>
      <c r="I482" s="162">
        <v>-0.48299999999999998</v>
      </c>
      <c r="J482" s="162">
        <v>-0.48370000000000002</v>
      </c>
      <c r="K482" s="162">
        <v>-0.48470000000000002</v>
      </c>
      <c r="L482" s="162">
        <v>-0.48580000000000001</v>
      </c>
      <c r="M482" s="162">
        <v>-0.48699999999999999</v>
      </c>
      <c r="N482" s="162">
        <v>-0.48780000000000001</v>
      </c>
      <c r="O482" s="162">
        <v>-0.48849999999999999</v>
      </c>
      <c r="P482" s="162">
        <v>-0.49009999999999998</v>
      </c>
      <c r="Q482" s="162">
        <v>-0.4899</v>
      </c>
      <c r="R482" s="162">
        <v>-0.4889</v>
      </c>
      <c r="S482" s="162">
        <v>-0.49459999999999998</v>
      </c>
      <c r="T482" s="162">
        <v>-0.47149999999999997</v>
      </c>
      <c r="U482" s="162">
        <v>-0.43130000000000002</v>
      </c>
      <c r="V482" s="162">
        <v>-0.37969999999999998</v>
      </c>
      <c r="W482" s="162">
        <v>-0.31619999999999998</v>
      </c>
      <c r="X482" s="162">
        <v>-0.25030000000000002</v>
      </c>
      <c r="Y482" s="162">
        <v>-0.1857</v>
      </c>
      <c r="Z482" s="162">
        <v>-0.11899999999999999</v>
      </c>
      <c r="AA482" s="162">
        <v>-5.4199999999999998E-2</v>
      </c>
      <c r="AB482" s="162">
        <v>3.3999999999999998E-3</v>
      </c>
      <c r="AC482" s="162">
        <v>5.8299999999999998E-2</v>
      </c>
      <c r="AD482" s="162">
        <v>0.1094</v>
      </c>
      <c r="AE482" s="162">
        <v>0.15559999999999999</v>
      </c>
      <c r="AF482" s="162">
        <v>0.19589999999999999</v>
      </c>
      <c r="AG482" s="162">
        <v>0.21990000000000001</v>
      </c>
      <c r="AH482" s="162">
        <v>0.24390000000000001</v>
      </c>
      <c r="AI482" s="162">
        <v>0.26790000000000003</v>
      </c>
      <c r="AJ482" s="162">
        <v>0.29189999999999999</v>
      </c>
      <c r="AK482" s="162">
        <v>0.31590000000000001</v>
      </c>
      <c r="AL482" s="162">
        <v>0.32169999999999999</v>
      </c>
      <c r="AM482" s="162">
        <v>0.3276</v>
      </c>
      <c r="AN482" s="162">
        <v>0.33339999999999997</v>
      </c>
      <c r="AO482" s="162">
        <v>0.33929999999999999</v>
      </c>
      <c r="AP482" s="162">
        <v>0.34510000000000002</v>
      </c>
      <c r="AQ482" s="162">
        <v>0.34399999999999997</v>
      </c>
      <c r="AR482" s="162">
        <v>0.34279999999999999</v>
      </c>
      <c r="AS482" s="162">
        <v>0.3417</v>
      </c>
      <c r="AT482" s="162">
        <v>0.34050000000000002</v>
      </c>
      <c r="AU482" s="162">
        <v>0.33939999999999998</v>
      </c>
    </row>
    <row r="483" spans="1:47" ht="12.75" customHeight="1">
      <c r="A483" s="459">
        <v>44274</v>
      </c>
      <c r="B483" s="139">
        <v>11</v>
      </c>
      <c r="C483" s="162">
        <v>-0.4753</v>
      </c>
      <c r="D483" s="162">
        <v>-0.4753</v>
      </c>
      <c r="E483" s="162">
        <v>-0.47989999999999999</v>
      </c>
      <c r="F483" s="162">
        <v>-0.48110000000000003</v>
      </c>
      <c r="G483" s="162">
        <v>-0.48149999999999998</v>
      </c>
      <c r="H483" s="162">
        <v>-0.48270000000000002</v>
      </c>
      <c r="I483" s="162">
        <v>-0.48349999999999999</v>
      </c>
      <c r="J483" s="162">
        <v>-0.48470000000000002</v>
      </c>
      <c r="K483" s="162">
        <v>-0.48570000000000002</v>
      </c>
      <c r="L483" s="162">
        <v>-0.48659999999999998</v>
      </c>
      <c r="M483" s="162">
        <v>-0.4869</v>
      </c>
      <c r="N483" s="162">
        <v>-0.48730000000000001</v>
      </c>
      <c r="O483" s="162">
        <v>-0.48759999999999998</v>
      </c>
      <c r="P483" s="162">
        <v>-0.4884</v>
      </c>
      <c r="Q483" s="162">
        <v>-0.48830000000000001</v>
      </c>
      <c r="R483" s="162">
        <v>-0.48859999999999998</v>
      </c>
      <c r="S483" s="162">
        <v>-0.48920000000000002</v>
      </c>
      <c r="T483" s="162">
        <v>-0.46289999999999998</v>
      </c>
      <c r="U483" s="162">
        <v>-0.41970000000000002</v>
      </c>
      <c r="V483" s="162">
        <v>-0.36409999999999998</v>
      </c>
      <c r="W483" s="162">
        <v>-0.30209999999999998</v>
      </c>
      <c r="X483" s="162">
        <v>-0.23419999999999999</v>
      </c>
      <c r="Y483" s="162">
        <v>-0.1686</v>
      </c>
      <c r="Z483" s="162">
        <v>-0.10100000000000001</v>
      </c>
      <c r="AA483" s="162">
        <v>-3.8699999999999998E-2</v>
      </c>
      <c r="AB483" s="162">
        <v>2.1700000000000001E-2</v>
      </c>
      <c r="AC483" s="162">
        <v>8.0600000000000005E-2</v>
      </c>
      <c r="AD483" s="162">
        <v>0.12920000000000001</v>
      </c>
      <c r="AE483" s="162">
        <v>0.17519999999999999</v>
      </c>
      <c r="AF483" s="162">
        <v>0.21759999999999999</v>
      </c>
      <c r="AG483" s="162">
        <v>0.2417</v>
      </c>
      <c r="AH483" s="162">
        <v>0.26569999999999999</v>
      </c>
      <c r="AI483" s="162">
        <v>0.2898</v>
      </c>
      <c r="AJ483" s="162">
        <v>0.31380000000000002</v>
      </c>
      <c r="AK483" s="162">
        <v>0.33789999999999998</v>
      </c>
      <c r="AL483" s="162">
        <v>0.34410000000000002</v>
      </c>
      <c r="AM483" s="162">
        <v>0.3503</v>
      </c>
      <c r="AN483" s="162">
        <v>0.35649999999999998</v>
      </c>
      <c r="AO483" s="162">
        <v>0.36270000000000002</v>
      </c>
      <c r="AP483" s="162">
        <v>0.36890000000000001</v>
      </c>
      <c r="AQ483" s="162">
        <v>0.3679</v>
      </c>
      <c r="AR483" s="162">
        <v>0.3669</v>
      </c>
      <c r="AS483" s="162">
        <v>0.3659</v>
      </c>
      <c r="AT483" s="162">
        <v>0.3649</v>
      </c>
      <c r="AU483" s="162">
        <v>0.3639</v>
      </c>
    </row>
    <row r="484" spans="1:47" ht="12.75" customHeight="1">
      <c r="A484" s="459">
        <v>44281</v>
      </c>
      <c r="B484" s="139">
        <v>12</v>
      </c>
      <c r="C484" s="162">
        <v>-0.4783</v>
      </c>
      <c r="D484" s="162">
        <v>-0.4783</v>
      </c>
      <c r="E484" s="162">
        <v>-0.48080000000000001</v>
      </c>
      <c r="F484" s="162">
        <v>-0.48020000000000002</v>
      </c>
      <c r="G484" s="162">
        <v>-0.48020000000000002</v>
      </c>
      <c r="H484" s="162">
        <v>-0.4819</v>
      </c>
      <c r="I484" s="162">
        <v>-0.4824</v>
      </c>
      <c r="J484" s="162">
        <v>-0.48349999999999999</v>
      </c>
      <c r="K484" s="162">
        <v>-0.4844</v>
      </c>
      <c r="L484" s="162">
        <v>-0.48470000000000002</v>
      </c>
      <c r="M484" s="162">
        <v>-0.48530000000000001</v>
      </c>
      <c r="N484" s="162">
        <v>-0.48630000000000001</v>
      </c>
      <c r="O484" s="162">
        <v>-0.48730000000000001</v>
      </c>
      <c r="P484" s="162">
        <v>-0.4879</v>
      </c>
      <c r="Q484" s="162">
        <v>-0.48809999999999998</v>
      </c>
      <c r="R484" s="162">
        <v>-0.48849999999999999</v>
      </c>
      <c r="S484" s="162">
        <v>-0.49569999999999997</v>
      </c>
      <c r="T484" s="162">
        <v>-0.4733</v>
      </c>
      <c r="U484" s="162">
        <v>-0.43309999999999998</v>
      </c>
      <c r="V484" s="162">
        <v>-0.37659999999999999</v>
      </c>
      <c r="W484" s="162">
        <v>-0.30909999999999999</v>
      </c>
      <c r="X484" s="162">
        <v>-0.23710000000000001</v>
      </c>
      <c r="Y484" s="162">
        <v>-0.1646</v>
      </c>
      <c r="Z484" s="162">
        <v>-9.4E-2</v>
      </c>
      <c r="AA484" s="162">
        <v>-2.6599999999999999E-2</v>
      </c>
      <c r="AB484" s="162">
        <v>3.9E-2</v>
      </c>
      <c r="AC484" s="162">
        <v>9.6600000000000005E-2</v>
      </c>
      <c r="AD484" s="162">
        <v>0.1469</v>
      </c>
      <c r="AE484" s="162">
        <v>0.19439999999999999</v>
      </c>
      <c r="AF484" s="162">
        <v>0.24110000000000001</v>
      </c>
      <c r="AG484" s="162">
        <v>0.26740000000000003</v>
      </c>
      <c r="AH484" s="162">
        <v>0.29370000000000002</v>
      </c>
      <c r="AI484" s="162">
        <v>0.3201</v>
      </c>
      <c r="AJ484" s="162">
        <v>0.34639999999999999</v>
      </c>
      <c r="AK484" s="162">
        <v>0.37269999999999998</v>
      </c>
      <c r="AL484" s="162">
        <v>0.38019999999999998</v>
      </c>
      <c r="AM484" s="162">
        <v>0.38769999999999999</v>
      </c>
      <c r="AN484" s="162">
        <v>0.39510000000000001</v>
      </c>
      <c r="AO484" s="162">
        <v>0.40260000000000001</v>
      </c>
      <c r="AP484" s="162">
        <v>0.41010000000000002</v>
      </c>
      <c r="AQ484" s="162">
        <v>0.41010000000000002</v>
      </c>
      <c r="AR484" s="162">
        <v>0.41010000000000002</v>
      </c>
      <c r="AS484" s="162">
        <v>0.41010000000000002</v>
      </c>
      <c r="AT484" s="162">
        <v>0.41010000000000002</v>
      </c>
      <c r="AU484" s="162">
        <v>0.41020000000000001</v>
      </c>
    </row>
    <row r="485" spans="1:47" ht="12.75" customHeight="1">
      <c r="A485" s="459">
        <v>44288</v>
      </c>
      <c r="B485" s="139">
        <v>13</v>
      </c>
      <c r="C485" s="162">
        <v>-0.4793</v>
      </c>
      <c r="D485" s="162">
        <v>-0.4793</v>
      </c>
      <c r="E485" s="162">
        <v>-0.48120000000000002</v>
      </c>
      <c r="F485" s="162">
        <v>-0.48039999999999999</v>
      </c>
      <c r="G485" s="162">
        <v>-0.48049999999999998</v>
      </c>
      <c r="H485" s="162">
        <v>-0.48220000000000002</v>
      </c>
      <c r="I485" s="162">
        <v>-0.4829</v>
      </c>
      <c r="J485" s="162">
        <v>-0.48370000000000002</v>
      </c>
      <c r="K485" s="162">
        <v>-0.48459999999999998</v>
      </c>
      <c r="L485" s="162">
        <v>-0.48549999999999999</v>
      </c>
      <c r="M485" s="162">
        <v>-0.48699999999999999</v>
      </c>
      <c r="N485" s="162">
        <v>-0.48820000000000002</v>
      </c>
      <c r="O485" s="162">
        <v>-0.48899999999999999</v>
      </c>
      <c r="P485" s="162">
        <v>-0.49</v>
      </c>
      <c r="Q485" s="162">
        <v>-0.49099999999999999</v>
      </c>
      <c r="R485" s="162">
        <v>-0.4919</v>
      </c>
      <c r="S485" s="162">
        <v>-0.50090000000000001</v>
      </c>
      <c r="T485" s="162">
        <v>-0.48309999999999997</v>
      </c>
      <c r="U485" s="162">
        <v>-0.44729999999999998</v>
      </c>
      <c r="V485" s="162">
        <v>-0.39650000000000002</v>
      </c>
      <c r="W485" s="162">
        <v>-0.33040000000000003</v>
      </c>
      <c r="X485" s="162">
        <v>-0.25940000000000002</v>
      </c>
      <c r="Y485" s="162">
        <v>-0.1875</v>
      </c>
      <c r="Z485" s="162">
        <v>-0.1168</v>
      </c>
      <c r="AA485" s="162">
        <v>-4.8500000000000001E-2</v>
      </c>
      <c r="AB485" s="162">
        <v>1.66E-2</v>
      </c>
      <c r="AC485" s="162">
        <v>7.9299999999999995E-2</v>
      </c>
      <c r="AD485" s="162">
        <v>0.13220000000000001</v>
      </c>
      <c r="AE485" s="162">
        <v>0.1827</v>
      </c>
      <c r="AF485" s="162">
        <v>0.2283</v>
      </c>
      <c r="AG485" s="162">
        <v>0.25419999999999998</v>
      </c>
      <c r="AH485" s="162">
        <v>0.28010000000000002</v>
      </c>
      <c r="AI485" s="162">
        <v>0.30599999999999999</v>
      </c>
      <c r="AJ485" s="162">
        <v>0.33189999999999997</v>
      </c>
      <c r="AK485" s="162">
        <v>0.3579</v>
      </c>
      <c r="AL485" s="162">
        <v>0.3659</v>
      </c>
      <c r="AM485" s="162">
        <v>0.374</v>
      </c>
      <c r="AN485" s="162">
        <v>0.38200000000000001</v>
      </c>
      <c r="AO485" s="162">
        <v>0.3901</v>
      </c>
      <c r="AP485" s="162">
        <v>0.39810000000000001</v>
      </c>
      <c r="AQ485" s="162">
        <v>0.39789999999999998</v>
      </c>
      <c r="AR485" s="162">
        <v>0.3977</v>
      </c>
      <c r="AS485" s="162">
        <v>0.39750000000000002</v>
      </c>
      <c r="AT485" s="162">
        <v>0.39729999999999999</v>
      </c>
      <c r="AU485" s="162">
        <v>0.39710000000000001</v>
      </c>
    </row>
    <row r="486" spans="1:47" ht="12.75" customHeight="1">
      <c r="A486" s="459">
        <v>44295</v>
      </c>
      <c r="B486" s="139">
        <v>14</v>
      </c>
      <c r="C486" s="162">
        <v>-0.48630000000000001</v>
      </c>
      <c r="D486" s="162">
        <v>-0.48630000000000001</v>
      </c>
      <c r="E486" s="162">
        <v>-0.48199999999999998</v>
      </c>
      <c r="F486" s="162">
        <v>-0.48149999999999998</v>
      </c>
      <c r="G486" s="162">
        <v>-0.48230000000000001</v>
      </c>
      <c r="H486" s="162">
        <v>-0.48309999999999997</v>
      </c>
      <c r="I486" s="162">
        <v>-0.48470000000000002</v>
      </c>
      <c r="J486" s="162">
        <v>-0.4859</v>
      </c>
      <c r="K486" s="162">
        <v>-0.48730000000000001</v>
      </c>
      <c r="L486" s="162">
        <v>-0.48880000000000001</v>
      </c>
      <c r="M486" s="162">
        <v>-0.49009999999999998</v>
      </c>
      <c r="N486" s="162">
        <v>-0.49120000000000003</v>
      </c>
      <c r="O486" s="162">
        <v>-0.49220000000000003</v>
      </c>
      <c r="P486" s="162">
        <v>-0.49259999999999998</v>
      </c>
      <c r="Q486" s="162">
        <v>-0.49330000000000002</v>
      </c>
      <c r="R486" s="162">
        <v>-0.49380000000000002</v>
      </c>
      <c r="S486" s="162">
        <v>-0.49630000000000002</v>
      </c>
      <c r="T486" s="162">
        <v>-0.4723</v>
      </c>
      <c r="U486" s="162">
        <v>-0.42859999999999998</v>
      </c>
      <c r="V486" s="162">
        <v>-0.3705</v>
      </c>
      <c r="W486" s="162">
        <v>-0.3024</v>
      </c>
      <c r="X486" s="162">
        <v>-0.22689999999999999</v>
      </c>
      <c r="Y486" s="162">
        <v>-0.1535</v>
      </c>
      <c r="Z486" s="162">
        <v>-8.0500000000000002E-2</v>
      </c>
      <c r="AA486" s="162">
        <v>-8.9999999999999993E-3</v>
      </c>
      <c r="AB486" s="162">
        <v>5.4300000000000001E-2</v>
      </c>
      <c r="AC486" s="162">
        <v>0.1139</v>
      </c>
      <c r="AD486" s="162">
        <v>0.17230000000000001</v>
      </c>
      <c r="AE486" s="162">
        <v>0.2223</v>
      </c>
      <c r="AF486" s="162">
        <v>0.26400000000000001</v>
      </c>
      <c r="AG486" s="162">
        <v>0.28999999999999998</v>
      </c>
      <c r="AH486" s="162">
        <v>0.31590000000000001</v>
      </c>
      <c r="AI486" s="162">
        <v>0.34189999999999998</v>
      </c>
      <c r="AJ486" s="162">
        <v>0.36780000000000002</v>
      </c>
      <c r="AK486" s="162">
        <v>0.39379999999999998</v>
      </c>
      <c r="AL486" s="162">
        <v>0.4012</v>
      </c>
      <c r="AM486" s="162">
        <v>0.40860000000000002</v>
      </c>
      <c r="AN486" s="162">
        <v>0.41599999999999998</v>
      </c>
      <c r="AO486" s="162">
        <v>0.4234</v>
      </c>
      <c r="AP486" s="162">
        <v>0.43080000000000002</v>
      </c>
      <c r="AQ486" s="162">
        <v>0.43020000000000003</v>
      </c>
      <c r="AR486" s="162">
        <v>0.42970000000000003</v>
      </c>
      <c r="AS486" s="162">
        <v>0.42920000000000003</v>
      </c>
      <c r="AT486" s="162">
        <v>0.42870000000000003</v>
      </c>
      <c r="AU486" s="162">
        <v>0.42809999999999998</v>
      </c>
    </row>
    <row r="487" spans="1:47" ht="12.75" customHeight="1">
      <c r="A487" s="459">
        <v>44302</v>
      </c>
      <c r="B487" s="139">
        <v>15</v>
      </c>
      <c r="C487" s="162">
        <v>-0.48299999999999998</v>
      </c>
      <c r="D487" s="162">
        <v>-0.48299999999999998</v>
      </c>
      <c r="E487" s="162">
        <v>-0.48220000000000002</v>
      </c>
      <c r="F487" s="162">
        <v>-0.48180000000000001</v>
      </c>
      <c r="G487" s="162">
        <v>-0.48259999999999997</v>
      </c>
      <c r="H487" s="162">
        <v>-0.48349999999999999</v>
      </c>
      <c r="I487" s="162">
        <v>-0.48530000000000001</v>
      </c>
      <c r="J487" s="162">
        <v>-0.48709999999999998</v>
      </c>
      <c r="K487" s="162">
        <v>-0.4884</v>
      </c>
      <c r="L487" s="162">
        <v>-0.49030000000000001</v>
      </c>
      <c r="M487" s="162">
        <v>-0.49180000000000001</v>
      </c>
      <c r="N487" s="162">
        <v>-0.49320000000000003</v>
      </c>
      <c r="O487" s="162">
        <v>-0.49440000000000001</v>
      </c>
      <c r="P487" s="162">
        <v>-0.49580000000000002</v>
      </c>
      <c r="Q487" s="162">
        <v>-0.49690000000000001</v>
      </c>
      <c r="R487" s="162">
        <v>-0.49759999999999999</v>
      </c>
      <c r="S487" s="162">
        <v>-0.50309999999999999</v>
      </c>
      <c r="T487" s="162">
        <v>-0.48299999999999998</v>
      </c>
      <c r="U487" s="162">
        <v>-0.44359999999999999</v>
      </c>
      <c r="V487" s="162">
        <v>-0.39029999999999998</v>
      </c>
      <c r="W487" s="162">
        <v>-0.32569999999999999</v>
      </c>
      <c r="X487" s="162">
        <v>-0.25469999999999998</v>
      </c>
      <c r="Y487" s="162">
        <v>-0.18229999999999999</v>
      </c>
      <c r="Z487" s="162">
        <v>-0.111</v>
      </c>
      <c r="AA487" s="162">
        <v>-4.3200000000000002E-2</v>
      </c>
      <c r="AB487" s="162">
        <v>2.1399999999999999E-2</v>
      </c>
      <c r="AC487" s="162">
        <v>8.2799999999999999E-2</v>
      </c>
      <c r="AD487" s="162">
        <v>0.1406</v>
      </c>
      <c r="AE487" s="162">
        <v>0.19059999999999999</v>
      </c>
      <c r="AF487" s="162">
        <v>0.23230000000000001</v>
      </c>
      <c r="AG487" s="162">
        <v>0.25829999999999997</v>
      </c>
      <c r="AH487" s="162">
        <v>0.2843</v>
      </c>
      <c r="AI487" s="162">
        <v>0.31040000000000001</v>
      </c>
      <c r="AJ487" s="162">
        <v>0.33639999999999998</v>
      </c>
      <c r="AK487" s="162">
        <v>0.36249999999999999</v>
      </c>
      <c r="AL487" s="162">
        <v>0.37040000000000001</v>
      </c>
      <c r="AM487" s="162">
        <v>0.37840000000000001</v>
      </c>
      <c r="AN487" s="162">
        <v>0.38629999999999998</v>
      </c>
      <c r="AO487" s="162">
        <v>0.39429999999999998</v>
      </c>
      <c r="AP487" s="162">
        <v>0.4022</v>
      </c>
      <c r="AQ487" s="162">
        <v>0.40139999999999998</v>
      </c>
      <c r="AR487" s="162">
        <v>0.40060000000000001</v>
      </c>
      <c r="AS487" s="162">
        <v>0.3997</v>
      </c>
      <c r="AT487" s="162">
        <v>0.39889999999999998</v>
      </c>
      <c r="AU487" s="162">
        <v>0.39810000000000001</v>
      </c>
    </row>
    <row r="488" spans="1:47" ht="12.75" customHeight="1">
      <c r="A488" s="459">
        <v>44309</v>
      </c>
      <c r="B488" s="139">
        <v>16</v>
      </c>
      <c r="C488" s="162">
        <v>-0.47899999999999998</v>
      </c>
      <c r="D488" s="162">
        <v>-0.47899999999999998</v>
      </c>
      <c r="E488" s="162">
        <v>-0.48199999999999998</v>
      </c>
      <c r="F488" s="162">
        <v>-0.48220000000000002</v>
      </c>
      <c r="G488" s="162">
        <v>-0.48370000000000002</v>
      </c>
      <c r="H488" s="162">
        <v>-0.48409999999999997</v>
      </c>
      <c r="I488" s="162">
        <v>-0.48609999999999998</v>
      </c>
      <c r="J488" s="162">
        <v>-0.48649999999999999</v>
      </c>
      <c r="K488" s="162">
        <v>-0.48780000000000001</v>
      </c>
      <c r="L488" s="162">
        <v>-0.4889</v>
      </c>
      <c r="M488" s="162">
        <v>-0.48959999999999998</v>
      </c>
      <c r="N488" s="162">
        <v>-0.4904</v>
      </c>
      <c r="O488" s="162">
        <v>-0.49130000000000001</v>
      </c>
      <c r="P488" s="162">
        <v>-0.4914</v>
      </c>
      <c r="Q488" s="162">
        <v>-0.49230000000000002</v>
      </c>
      <c r="R488" s="162">
        <v>-0.49320000000000003</v>
      </c>
      <c r="S488" s="162">
        <v>-0.49680000000000002</v>
      </c>
      <c r="T488" s="162">
        <v>-0.46920000000000001</v>
      </c>
      <c r="U488" s="162">
        <v>-0.4214</v>
      </c>
      <c r="V488" s="162">
        <v>-0.36249999999999999</v>
      </c>
      <c r="W488" s="162">
        <v>-0.29659999999999997</v>
      </c>
      <c r="X488" s="162">
        <v>-0.2233</v>
      </c>
      <c r="Y488" s="162">
        <v>-0.15060000000000001</v>
      </c>
      <c r="Z488" s="162">
        <v>-7.8299999999999995E-2</v>
      </c>
      <c r="AA488" s="162">
        <v>-7.4999999999999997E-3</v>
      </c>
      <c r="AB488" s="162">
        <v>5.6800000000000003E-2</v>
      </c>
      <c r="AC488" s="162">
        <v>0.12</v>
      </c>
      <c r="AD488" s="162">
        <v>0.17319999999999999</v>
      </c>
      <c r="AE488" s="162">
        <v>0.2223</v>
      </c>
      <c r="AF488" s="162">
        <v>0.2676</v>
      </c>
      <c r="AG488" s="162">
        <v>0.29320000000000002</v>
      </c>
      <c r="AH488" s="162">
        <v>0.31879999999999997</v>
      </c>
      <c r="AI488" s="162">
        <v>0.34429999999999999</v>
      </c>
      <c r="AJ488" s="162">
        <v>0.36990000000000001</v>
      </c>
      <c r="AK488" s="162">
        <v>0.39550000000000002</v>
      </c>
      <c r="AL488" s="162">
        <v>0.4032</v>
      </c>
      <c r="AM488" s="162">
        <v>0.41089999999999999</v>
      </c>
      <c r="AN488" s="162">
        <v>0.41849999999999998</v>
      </c>
      <c r="AO488" s="162">
        <v>0.42620000000000002</v>
      </c>
      <c r="AP488" s="162">
        <v>0.43390000000000001</v>
      </c>
      <c r="AQ488" s="162">
        <v>0.433</v>
      </c>
      <c r="AR488" s="162">
        <v>0.43209999999999998</v>
      </c>
      <c r="AS488" s="162">
        <v>0.43120000000000003</v>
      </c>
      <c r="AT488" s="162">
        <v>0.43030000000000002</v>
      </c>
      <c r="AU488" s="162">
        <v>0.42930000000000001</v>
      </c>
    </row>
    <row r="489" spans="1:47" ht="12.75" customHeight="1">
      <c r="A489" s="459">
        <v>44316</v>
      </c>
      <c r="B489" s="139">
        <v>17</v>
      </c>
      <c r="C489" s="162">
        <v>-0.48099999999999998</v>
      </c>
      <c r="D489" s="162">
        <v>-0.48099999999999998</v>
      </c>
      <c r="E489" s="162">
        <v>-0.48280000000000001</v>
      </c>
      <c r="F489" s="162">
        <v>-0.48349999999999999</v>
      </c>
      <c r="G489" s="162">
        <v>-0.48370000000000002</v>
      </c>
      <c r="H489" s="162">
        <v>-0.48449999999999999</v>
      </c>
      <c r="I489" s="162">
        <v>-0.48570000000000002</v>
      </c>
      <c r="J489" s="162">
        <v>-0.48709999999999998</v>
      </c>
      <c r="K489" s="162">
        <v>-0.48780000000000001</v>
      </c>
      <c r="L489" s="162">
        <v>-0.48809999999999998</v>
      </c>
      <c r="M489" s="162">
        <v>-0.48899999999999999</v>
      </c>
      <c r="N489" s="162">
        <v>-0.48949999999999999</v>
      </c>
      <c r="O489" s="162">
        <v>-0.4899</v>
      </c>
      <c r="P489" s="162">
        <v>-0.49020000000000002</v>
      </c>
      <c r="Q489" s="162">
        <v>-0.49059999999999998</v>
      </c>
      <c r="R489" s="162">
        <v>-0.49099999999999999</v>
      </c>
      <c r="S489" s="162">
        <v>-0.48859999999999998</v>
      </c>
      <c r="T489" s="162">
        <v>-0.45900000000000002</v>
      </c>
      <c r="U489" s="162">
        <v>-0.40970000000000001</v>
      </c>
      <c r="V489" s="162">
        <v>-0.3478</v>
      </c>
      <c r="W489" s="162">
        <v>-0.28010000000000002</v>
      </c>
      <c r="X489" s="162">
        <v>-0.20780000000000001</v>
      </c>
      <c r="Y489" s="162">
        <v>-0.1361</v>
      </c>
      <c r="Z489" s="162">
        <v>-6.5000000000000002E-2</v>
      </c>
      <c r="AA489" s="162">
        <v>2.0999999999999999E-3</v>
      </c>
      <c r="AB489" s="162">
        <v>6.4399999999999999E-2</v>
      </c>
      <c r="AC489" s="162">
        <v>0.1249</v>
      </c>
      <c r="AD489" s="162">
        <v>0.1774</v>
      </c>
      <c r="AE489" s="162">
        <v>0.22600000000000001</v>
      </c>
      <c r="AF489" s="162">
        <v>0.2697</v>
      </c>
      <c r="AG489" s="162">
        <v>0.29470000000000002</v>
      </c>
      <c r="AH489" s="162">
        <v>0.31969999999999998</v>
      </c>
      <c r="AI489" s="162">
        <v>0.34470000000000001</v>
      </c>
      <c r="AJ489" s="162">
        <v>0.36969999999999997</v>
      </c>
      <c r="AK489" s="162">
        <v>0.3947</v>
      </c>
      <c r="AL489" s="162">
        <v>0.40129999999999999</v>
      </c>
      <c r="AM489" s="162">
        <v>0.40789999999999998</v>
      </c>
      <c r="AN489" s="162">
        <v>0.41449999999999998</v>
      </c>
      <c r="AO489" s="162">
        <v>0.42109999999999997</v>
      </c>
      <c r="AP489" s="162">
        <v>0.42770000000000002</v>
      </c>
      <c r="AQ489" s="162">
        <v>0.42599999999999999</v>
      </c>
      <c r="AR489" s="162">
        <v>0.42430000000000001</v>
      </c>
      <c r="AS489" s="162">
        <v>0.42259999999999998</v>
      </c>
      <c r="AT489" s="162">
        <v>0.4209</v>
      </c>
      <c r="AU489" s="162">
        <v>0.41920000000000002</v>
      </c>
    </row>
    <row r="490" spans="1:47" ht="12.75" customHeight="1">
      <c r="A490" s="459">
        <v>44323</v>
      </c>
      <c r="B490" s="139">
        <v>18</v>
      </c>
      <c r="C490" s="162">
        <v>-0.4798</v>
      </c>
      <c r="D490" s="162">
        <v>-0.4798</v>
      </c>
      <c r="E490" s="162">
        <v>-0.48299999999999998</v>
      </c>
      <c r="F490" s="162">
        <v>-0.48249999999999998</v>
      </c>
      <c r="G490" s="162">
        <v>-0.48270000000000002</v>
      </c>
      <c r="H490" s="162">
        <v>-0.48420000000000002</v>
      </c>
      <c r="I490" s="162">
        <v>-0.48470000000000002</v>
      </c>
      <c r="J490" s="162">
        <v>-0.48480000000000001</v>
      </c>
      <c r="K490" s="162">
        <v>-0.48680000000000001</v>
      </c>
      <c r="L490" s="162">
        <v>-0.48770000000000002</v>
      </c>
      <c r="M490" s="162">
        <v>-0.48849999999999999</v>
      </c>
      <c r="N490" s="162">
        <v>-0.48949999999999999</v>
      </c>
      <c r="O490" s="162">
        <v>-0.48970000000000002</v>
      </c>
      <c r="P490" s="162">
        <v>-0.49030000000000001</v>
      </c>
      <c r="Q490" s="162">
        <v>-0.49009999999999998</v>
      </c>
      <c r="R490" s="162">
        <v>-0.4904</v>
      </c>
      <c r="S490" s="162">
        <v>-0.48320000000000002</v>
      </c>
      <c r="T490" s="162">
        <v>-0.44290000000000002</v>
      </c>
      <c r="U490" s="162">
        <v>-0.38829999999999998</v>
      </c>
      <c r="V490" s="162">
        <v>-0.3241</v>
      </c>
      <c r="W490" s="162">
        <v>-0.25240000000000001</v>
      </c>
      <c r="X490" s="162">
        <v>-0.1792</v>
      </c>
      <c r="Y490" s="162">
        <v>-0.1042</v>
      </c>
      <c r="Z490" s="162">
        <v>-3.2300000000000002E-2</v>
      </c>
      <c r="AA490" s="162">
        <v>3.6499999999999998E-2</v>
      </c>
      <c r="AB490" s="162">
        <v>0.10100000000000001</v>
      </c>
      <c r="AC490" s="162">
        <v>0.16189999999999999</v>
      </c>
      <c r="AD490" s="162">
        <v>0.2228</v>
      </c>
      <c r="AE490" s="162">
        <v>0.27260000000000001</v>
      </c>
      <c r="AF490" s="162">
        <v>0.30969999999999998</v>
      </c>
      <c r="AG490" s="162">
        <v>0.33510000000000001</v>
      </c>
      <c r="AH490" s="162">
        <v>0.36049999999999999</v>
      </c>
      <c r="AI490" s="162">
        <v>0.38590000000000002</v>
      </c>
      <c r="AJ490" s="162">
        <v>0.4113</v>
      </c>
      <c r="AK490" s="162">
        <v>0.43669999999999998</v>
      </c>
      <c r="AL490" s="162">
        <v>0.44340000000000002</v>
      </c>
      <c r="AM490" s="162">
        <v>0.4501</v>
      </c>
      <c r="AN490" s="162">
        <v>0.45679999999999998</v>
      </c>
      <c r="AO490" s="162">
        <v>0.46350000000000002</v>
      </c>
      <c r="AP490" s="162">
        <v>0.47020000000000001</v>
      </c>
      <c r="AQ490" s="162">
        <v>0.46910000000000002</v>
      </c>
      <c r="AR490" s="162">
        <v>0.46800000000000003</v>
      </c>
      <c r="AS490" s="162">
        <v>0.46689999999999998</v>
      </c>
      <c r="AT490" s="162">
        <v>0.46589999999999998</v>
      </c>
      <c r="AU490" s="162">
        <v>0.46479999999999999</v>
      </c>
    </row>
    <row r="491" spans="1:47" ht="12.75" customHeight="1">
      <c r="A491" s="459">
        <v>44330</v>
      </c>
      <c r="B491" s="139">
        <v>19</v>
      </c>
      <c r="C491" s="162">
        <v>-0.48049999999999998</v>
      </c>
      <c r="D491" s="162">
        <v>-0.48049999999999998</v>
      </c>
      <c r="E491" s="162">
        <v>-0.48270000000000002</v>
      </c>
      <c r="F491" s="162">
        <v>-0.48249999999999998</v>
      </c>
      <c r="G491" s="162">
        <v>-0.48309999999999997</v>
      </c>
      <c r="H491" s="162">
        <v>-0.48480000000000001</v>
      </c>
      <c r="I491" s="162">
        <v>-0.48570000000000002</v>
      </c>
      <c r="J491" s="162">
        <v>-0.48649999999999999</v>
      </c>
      <c r="K491" s="162">
        <v>-0.4879</v>
      </c>
      <c r="L491" s="162">
        <v>-0.48699999999999999</v>
      </c>
      <c r="M491" s="162">
        <v>-0.49009999999999998</v>
      </c>
      <c r="N491" s="162">
        <v>-0.49070000000000003</v>
      </c>
      <c r="O491" s="162">
        <v>-0.49130000000000001</v>
      </c>
      <c r="P491" s="162">
        <v>-0.4914</v>
      </c>
      <c r="Q491" s="162">
        <v>-0.4924</v>
      </c>
      <c r="R491" s="162">
        <v>-0.49299999999999999</v>
      </c>
      <c r="S491" s="162">
        <v>-0.48930000000000001</v>
      </c>
      <c r="T491" s="162">
        <v>-0.4501</v>
      </c>
      <c r="U491" s="162">
        <v>-0.39779999999999999</v>
      </c>
      <c r="V491" s="162">
        <v>-0.33539999999999998</v>
      </c>
      <c r="W491" s="162">
        <v>-0.2631</v>
      </c>
      <c r="X491" s="162">
        <v>-0.18770000000000001</v>
      </c>
      <c r="Y491" s="162">
        <v>-0.11260000000000001</v>
      </c>
      <c r="Z491" s="162">
        <v>-3.9800000000000002E-2</v>
      </c>
      <c r="AA491" s="162">
        <v>0.03</v>
      </c>
      <c r="AB491" s="162">
        <v>9.6100000000000005E-2</v>
      </c>
      <c r="AC491" s="162">
        <v>0.15720000000000001</v>
      </c>
      <c r="AD491" s="162">
        <v>0.2152</v>
      </c>
      <c r="AE491" s="162">
        <v>0.26569999999999999</v>
      </c>
      <c r="AF491" s="162">
        <v>0.30759999999999998</v>
      </c>
      <c r="AG491" s="162">
        <v>0.33360000000000001</v>
      </c>
      <c r="AH491" s="162">
        <v>0.35949999999999999</v>
      </c>
      <c r="AI491" s="162">
        <v>0.38550000000000001</v>
      </c>
      <c r="AJ491" s="162">
        <v>0.41139999999999999</v>
      </c>
      <c r="AK491" s="162">
        <v>0.43730000000000002</v>
      </c>
      <c r="AL491" s="162">
        <v>0.44440000000000002</v>
      </c>
      <c r="AM491" s="162">
        <v>0.45140000000000002</v>
      </c>
      <c r="AN491" s="162">
        <v>0.45839999999999997</v>
      </c>
      <c r="AO491" s="162">
        <v>0.46539999999999998</v>
      </c>
      <c r="AP491" s="162">
        <v>0.47239999999999999</v>
      </c>
      <c r="AQ491" s="162">
        <v>0.47170000000000001</v>
      </c>
      <c r="AR491" s="162">
        <v>0.47089999999999999</v>
      </c>
      <c r="AS491" s="162">
        <v>0.47020000000000001</v>
      </c>
      <c r="AT491" s="162">
        <v>0.46939999999999998</v>
      </c>
      <c r="AU491" s="162">
        <v>0.46870000000000001</v>
      </c>
    </row>
    <row r="492" spans="1:47" ht="12.75" customHeight="1">
      <c r="A492" s="459">
        <v>44337</v>
      </c>
      <c r="B492" s="139">
        <v>20</v>
      </c>
      <c r="C492" s="162">
        <v>-0.48049999999999998</v>
      </c>
      <c r="D492" s="162">
        <v>-0.48049999999999998</v>
      </c>
      <c r="E492" s="162">
        <v>-0.48180000000000001</v>
      </c>
      <c r="F492" s="162">
        <v>-0.48159999999999997</v>
      </c>
      <c r="G492" s="162">
        <v>-0.48280000000000001</v>
      </c>
      <c r="H492" s="162">
        <v>-0.48470000000000002</v>
      </c>
      <c r="I492" s="162">
        <v>-0.48549999999999999</v>
      </c>
      <c r="J492" s="162">
        <v>-0.48399999999999999</v>
      </c>
      <c r="K492" s="162">
        <v>-0.48680000000000001</v>
      </c>
      <c r="L492" s="162">
        <v>-0.48820000000000002</v>
      </c>
      <c r="M492" s="162">
        <v>-0.48849999999999999</v>
      </c>
      <c r="N492" s="162">
        <v>-0.48830000000000001</v>
      </c>
      <c r="O492" s="162">
        <v>-0.4884</v>
      </c>
      <c r="P492" s="162">
        <v>-0.48830000000000001</v>
      </c>
      <c r="Q492" s="162">
        <v>-0.48870000000000002</v>
      </c>
      <c r="R492" s="162">
        <v>-0.48830000000000001</v>
      </c>
      <c r="S492" s="162">
        <v>-0.48060000000000003</v>
      </c>
      <c r="T492" s="162">
        <v>-0.44</v>
      </c>
      <c r="U492" s="162">
        <v>-0.38329999999999997</v>
      </c>
      <c r="V492" s="162">
        <v>-0.31559999999999999</v>
      </c>
      <c r="W492" s="162">
        <v>-0.24299999999999999</v>
      </c>
      <c r="X492" s="162">
        <v>-0.16520000000000001</v>
      </c>
      <c r="Y492" s="162">
        <v>-8.77E-2</v>
      </c>
      <c r="Z492" s="162">
        <v>-1.43E-2</v>
      </c>
      <c r="AA492" s="162">
        <v>5.5199999999999999E-2</v>
      </c>
      <c r="AB492" s="162">
        <v>0.1208</v>
      </c>
      <c r="AC492" s="162">
        <v>0.1812</v>
      </c>
      <c r="AD492" s="162">
        <v>0.23619999999999999</v>
      </c>
      <c r="AE492" s="162">
        <v>0.28660000000000002</v>
      </c>
      <c r="AF492" s="162">
        <v>0.33019999999999999</v>
      </c>
      <c r="AG492" s="162">
        <v>0.35599999999999998</v>
      </c>
      <c r="AH492" s="162">
        <v>0.38179999999999997</v>
      </c>
      <c r="AI492" s="162">
        <v>0.40760000000000002</v>
      </c>
      <c r="AJ492" s="162">
        <v>0.43340000000000001</v>
      </c>
      <c r="AK492" s="162">
        <v>0.4592</v>
      </c>
      <c r="AL492" s="162">
        <v>0.46629999999999999</v>
      </c>
      <c r="AM492" s="162">
        <v>0.47349999999999998</v>
      </c>
      <c r="AN492" s="162">
        <v>0.48060000000000003</v>
      </c>
      <c r="AO492" s="162">
        <v>0.48780000000000001</v>
      </c>
      <c r="AP492" s="162">
        <v>0.49490000000000001</v>
      </c>
      <c r="AQ492" s="162">
        <v>0.49409999999999998</v>
      </c>
      <c r="AR492" s="162">
        <v>0.49320000000000003</v>
      </c>
      <c r="AS492" s="162">
        <v>0.4924</v>
      </c>
      <c r="AT492" s="162">
        <v>0.49149999999999999</v>
      </c>
      <c r="AU492" s="162">
        <v>0.49070000000000003</v>
      </c>
    </row>
    <row r="493" spans="1:47" ht="12.75" customHeight="1">
      <c r="A493" s="459">
        <v>44344</v>
      </c>
      <c r="B493" s="139">
        <v>21</v>
      </c>
      <c r="C493" s="162">
        <v>-0.47749999999999998</v>
      </c>
      <c r="D493" s="162">
        <v>-0.47749999999999998</v>
      </c>
      <c r="E493" s="162">
        <v>-0.48099999999999998</v>
      </c>
      <c r="F493" s="162">
        <v>-0.48089999999999999</v>
      </c>
      <c r="G493" s="162">
        <v>-0.48139999999999999</v>
      </c>
      <c r="H493" s="162">
        <v>-0.4829</v>
      </c>
      <c r="I493" s="162">
        <v>-0.48099999999999998</v>
      </c>
      <c r="J493" s="162">
        <v>-0.4829</v>
      </c>
      <c r="K493" s="162">
        <v>-0.48320000000000002</v>
      </c>
      <c r="L493" s="162">
        <v>-0.48570000000000002</v>
      </c>
      <c r="M493" s="162">
        <v>-0.4864</v>
      </c>
      <c r="N493" s="162">
        <v>-0.48570000000000002</v>
      </c>
      <c r="O493" s="162">
        <v>-0.48499999999999999</v>
      </c>
      <c r="P493" s="162">
        <v>-0.48459999999999998</v>
      </c>
      <c r="Q493" s="162">
        <v>-0.48399999999999999</v>
      </c>
      <c r="R493" s="162">
        <v>-0.4839</v>
      </c>
      <c r="S493" s="162">
        <v>-0.46789999999999998</v>
      </c>
      <c r="T493" s="162">
        <v>-0.4163</v>
      </c>
      <c r="U493" s="162">
        <v>-0.34920000000000001</v>
      </c>
      <c r="V493" s="162">
        <v>-0.27539999999999998</v>
      </c>
      <c r="W493" s="162">
        <v>-0.19889999999999999</v>
      </c>
      <c r="X493" s="162">
        <v>-0.1216</v>
      </c>
      <c r="Y493" s="162">
        <v>-4.48E-2</v>
      </c>
      <c r="Z493" s="162">
        <v>2.6700000000000002E-2</v>
      </c>
      <c r="AA493" s="162">
        <v>9.6000000000000002E-2</v>
      </c>
      <c r="AB493" s="162">
        <v>0.15740000000000001</v>
      </c>
      <c r="AC493" s="162">
        <v>0.21709999999999999</v>
      </c>
      <c r="AD493" s="162">
        <v>0.2702</v>
      </c>
      <c r="AE493" s="162">
        <v>0.31840000000000002</v>
      </c>
      <c r="AF493" s="162">
        <v>0.36249999999999999</v>
      </c>
      <c r="AG493" s="162">
        <v>0.3871</v>
      </c>
      <c r="AH493" s="162">
        <v>0.41170000000000001</v>
      </c>
      <c r="AI493" s="162">
        <v>0.43630000000000002</v>
      </c>
      <c r="AJ493" s="162">
        <v>0.46089999999999998</v>
      </c>
      <c r="AK493" s="162">
        <v>0.4854</v>
      </c>
      <c r="AL493" s="162">
        <v>0.49209999999999998</v>
      </c>
      <c r="AM493" s="162">
        <v>0.49869999999999998</v>
      </c>
      <c r="AN493" s="162">
        <v>0.50539999999999996</v>
      </c>
      <c r="AO493" s="162">
        <v>0.51200000000000001</v>
      </c>
      <c r="AP493" s="162">
        <v>0.51870000000000005</v>
      </c>
      <c r="AQ493" s="162">
        <v>0.51749999999999996</v>
      </c>
      <c r="AR493" s="162">
        <v>0.51629999999999998</v>
      </c>
      <c r="AS493" s="162">
        <v>0.5151</v>
      </c>
      <c r="AT493" s="162">
        <v>0.51390000000000002</v>
      </c>
      <c r="AU493" s="162">
        <v>0.51270000000000004</v>
      </c>
    </row>
    <row r="494" spans="1:47" ht="12.75" customHeight="1">
      <c r="A494" s="459">
        <v>44351</v>
      </c>
      <c r="B494" s="139">
        <v>22</v>
      </c>
      <c r="C494" s="162">
        <v>-0.48</v>
      </c>
      <c r="D494" s="162">
        <v>-0.48</v>
      </c>
      <c r="E494" s="162">
        <v>-0.48130000000000001</v>
      </c>
      <c r="F494" s="162">
        <v>-0.48089999999999999</v>
      </c>
      <c r="G494" s="162">
        <v>-0.4819</v>
      </c>
      <c r="H494" s="162">
        <v>-0.48320000000000002</v>
      </c>
      <c r="I494" s="162">
        <v>-0.48320000000000002</v>
      </c>
      <c r="J494" s="162">
        <v>-0.48359999999999997</v>
      </c>
      <c r="K494" s="162">
        <v>-0.48430000000000001</v>
      </c>
      <c r="L494" s="162">
        <v>-0.48430000000000001</v>
      </c>
      <c r="M494" s="162">
        <v>-0.48449999999999999</v>
      </c>
      <c r="N494" s="162">
        <v>-0.48420000000000002</v>
      </c>
      <c r="O494" s="162">
        <v>-0.48359999999999997</v>
      </c>
      <c r="P494" s="162">
        <v>-0.48309999999999997</v>
      </c>
      <c r="Q494" s="162">
        <v>-0.48259999999999997</v>
      </c>
      <c r="R494" s="162">
        <v>-0.48270000000000002</v>
      </c>
      <c r="S494" s="162">
        <v>-0.47</v>
      </c>
      <c r="T494" s="162">
        <v>-0.42980000000000002</v>
      </c>
      <c r="U494" s="162">
        <v>-0.37419999999999998</v>
      </c>
      <c r="V494" s="162">
        <v>-0.31109999999999999</v>
      </c>
      <c r="W494" s="162">
        <v>-0.2387</v>
      </c>
      <c r="X494" s="162">
        <v>-0.16350000000000001</v>
      </c>
      <c r="Y494" s="162">
        <v>-8.9599999999999999E-2</v>
      </c>
      <c r="Z494" s="162">
        <v>-1.8800000000000001E-2</v>
      </c>
      <c r="AA494" s="162">
        <v>4.87E-2</v>
      </c>
      <c r="AB494" s="162">
        <v>0.1115</v>
      </c>
      <c r="AC494" s="162">
        <v>0.17080000000000001</v>
      </c>
      <c r="AD494" s="162">
        <v>0.22550000000000001</v>
      </c>
      <c r="AE494" s="162">
        <v>0.27379999999999999</v>
      </c>
      <c r="AF494" s="162">
        <v>0.31690000000000002</v>
      </c>
      <c r="AG494" s="162">
        <v>0.34210000000000002</v>
      </c>
      <c r="AH494" s="162">
        <v>0.36720000000000003</v>
      </c>
      <c r="AI494" s="162">
        <v>0.39229999999999998</v>
      </c>
      <c r="AJ494" s="162">
        <v>0.41749999999999998</v>
      </c>
      <c r="AK494" s="162">
        <v>0.44259999999999999</v>
      </c>
      <c r="AL494" s="162">
        <v>0.44919999999999999</v>
      </c>
      <c r="AM494" s="162">
        <v>0.45590000000000003</v>
      </c>
      <c r="AN494" s="162">
        <v>0.46250000000000002</v>
      </c>
      <c r="AO494" s="162">
        <v>0.46910000000000002</v>
      </c>
      <c r="AP494" s="162">
        <v>0.4758</v>
      </c>
      <c r="AQ494" s="162">
        <v>0.47449999999999998</v>
      </c>
      <c r="AR494" s="162">
        <v>0.47310000000000002</v>
      </c>
      <c r="AS494" s="162">
        <v>0.4718</v>
      </c>
      <c r="AT494" s="162">
        <v>0.47049999999999997</v>
      </c>
      <c r="AU494" s="162">
        <v>0.46920000000000001</v>
      </c>
    </row>
    <row r="495" spans="1:47" ht="12.75" customHeight="1">
      <c r="A495" s="459">
        <v>44358</v>
      </c>
      <c r="B495" s="139">
        <v>23</v>
      </c>
      <c r="C495" s="162">
        <v>-0.4803</v>
      </c>
      <c r="D495" s="162">
        <v>-0.4803</v>
      </c>
      <c r="E495" s="162">
        <v>-0.48199999999999998</v>
      </c>
      <c r="F495" s="162">
        <v>-0.48249999999999998</v>
      </c>
      <c r="G495" s="162">
        <v>-0.48320000000000002</v>
      </c>
      <c r="H495" s="162">
        <v>-0.48380000000000001</v>
      </c>
      <c r="I495" s="162">
        <v>-0.48399999999999999</v>
      </c>
      <c r="J495" s="162">
        <v>-0.48409999999999997</v>
      </c>
      <c r="K495" s="162">
        <v>-0.48459999999999998</v>
      </c>
      <c r="L495" s="162">
        <v>-0.48470000000000002</v>
      </c>
      <c r="M495" s="162">
        <v>-0.48480000000000001</v>
      </c>
      <c r="N495" s="162">
        <v>-0.48480000000000001</v>
      </c>
      <c r="O495" s="162">
        <v>-0.48480000000000001</v>
      </c>
      <c r="P495" s="162">
        <v>-0.4844</v>
      </c>
      <c r="Q495" s="162">
        <v>-0.48420000000000002</v>
      </c>
      <c r="R495" s="162">
        <v>-0.48399999999999999</v>
      </c>
      <c r="S495" s="162">
        <v>-0.47</v>
      </c>
      <c r="T495" s="162">
        <v>-0.43</v>
      </c>
      <c r="U495" s="162">
        <v>-0.37730000000000002</v>
      </c>
      <c r="V495" s="162">
        <v>-0.31640000000000001</v>
      </c>
      <c r="W495" s="162">
        <v>-0.24560000000000001</v>
      </c>
      <c r="X495" s="162">
        <v>-0.1701</v>
      </c>
      <c r="Y495" s="162">
        <v>-9.5899999999999999E-2</v>
      </c>
      <c r="Z495" s="162">
        <v>-2.3599999999999999E-2</v>
      </c>
      <c r="AA495" s="162">
        <v>4.53E-2</v>
      </c>
      <c r="AB495" s="162">
        <v>0.1091</v>
      </c>
      <c r="AC495" s="162">
        <v>0.1694</v>
      </c>
      <c r="AD495" s="162">
        <v>0.2238</v>
      </c>
      <c r="AE495" s="162">
        <v>0.27360000000000001</v>
      </c>
      <c r="AF495" s="162">
        <v>0.31640000000000001</v>
      </c>
      <c r="AG495" s="162">
        <v>0.34189999999999998</v>
      </c>
      <c r="AH495" s="162">
        <v>0.36749999999999999</v>
      </c>
      <c r="AI495" s="162">
        <v>0.39300000000000002</v>
      </c>
      <c r="AJ495" s="162">
        <v>0.41849999999999998</v>
      </c>
      <c r="AK495" s="162">
        <v>0.44400000000000001</v>
      </c>
      <c r="AL495" s="162">
        <v>0.45090000000000002</v>
      </c>
      <c r="AM495" s="162">
        <v>0.4577</v>
      </c>
      <c r="AN495" s="162">
        <v>0.46460000000000001</v>
      </c>
      <c r="AO495" s="162">
        <v>0.47139999999999999</v>
      </c>
      <c r="AP495" s="162">
        <v>0.4783</v>
      </c>
      <c r="AQ495" s="162">
        <v>0.47720000000000001</v>
      </c>
      <c r="AR495" s="162">
        <v>0.47610000000000002</v>
      </c>
      <c r="AS495" s="162">
        <v>0.47499999999999998</v>
      </c>
      <c r="AT495" s="162">
        <v>0.47389999999999999</v>
      </c>
      <c r="AU495" s="162">
        <v>0.4728</v>
      </c>
    </row>
    <row r="496" spans="1:47" ht="12.75" customHeight="1">
      <c r="A496" s="459">
        <v>44365</v>
      </c>
      <c r="B496" s="139">
        <v>24</v>
      </c>
      <c r="C496" s="162">
        <v>-0.47799999999999998</v>
      </c>
      <c r="D496" s="162">
        <v>-0.47799999999999998</v>
      </c>
      <c r="E496" s="162">
        <v>-0.48270000000000002</v>
      </c>
      <c r="F496" s="162">
        <v>-0.48349999999999999</v>
      </c>
      <c r="G496" s="162">
        <v>-0.48399999999999999</v>
      </c>
      <c r="H496" s="162">
        <v>-0.48449999999999999</v>
      </c>
      <c r="I496" s="162">
        <v>-0.4844</v>
      </c>
      <c r="J496" s="162">
        <v>-0.48459999999999998</v>
      </c>
      <c r="K496" s="162">
        <v>-0.4844</v>
      </c>
      <c r="L496" s="162">
        <v>-0.48459999999999998</v>
      </c>
      <c r="M496" s="162">
        <v>-0.48430000000000001</v>
      </c>
      <c r="N496" s="162">
        <v>-0.48420000000000002</v>
      </c>
      <c r="O496" s="162">
        <v>-0.48430000000000001</v>
      </c>
      <c r="P496" s="162">
        <v>-0.48380000000000001</v>
      </c>
      <c r="Q496" s="162">
        <v>-0.48399999999999999</v>
      </c>
      <c r="R496" s="162">
        <v>-0.48420000000000002</v>
      </c>
      <c r="S496" s="162">
        <v>-0.47470000000000001</v>
      </c>
      <c r="T496" s="162">
        <v>-0.44169999999999998</v>
      </c>
      <c r="U496" s="162">
        <v>-0.39369999999999999</v>
      </c>
      <c r="V496" s="162">
        <v>-0.33589999999999998</v>
      </c>
      <c r="W496" s="162">
        <v>-0.26889999999999997</v>
      </c>
      <c r="X496" s="162">
        <v>-0.1973</v>
      </c>
      <c r="Y496" s="162">
        <v>-0.12509999999999999</v>
      </c>
      <c r="Z496" s="162">
        <v>-5.4699999999999999E-2</v>
      </c>
      <c r="AA496" s="162">
        <v>1.17E-2</v>
      </c>
      <c r="AB496" s="162">
        <v>7.5999999999999998E-2</v>
      </c>
      <c r="AC496" s="162">
        <v>0.13569999999999999</v>
      </c>
      <c r="AD496" s="162">
        <v>0.19020000000000001</v>
      </c>
      <c r="AE496" s="162">
        <v>0.23960000000000001</v>
      </c>
      <c r="AF496" s="162">
        <v>0.2833</v>
      </c>
      <c r="AG496" s="162">
        <v>0.3085</v>
      </c>
      <c r="AH496" s="162">
        <v>0.33360000000000001</v>
      </c>
      <c r="AI496" s="162">
        <v>0.35880000000000001</v>
      </c>
      <c r="AJ496" s="162">
        <v>0.38400000000000001</v>
      </c>
      <c r="AK496" s="162">
        <v>0.40910000000000002</v>
      </c>
      <c r="AL496" s="162">
        <v>0.41589999999999999</v>
      </c>
      <c r="AM496" s="162">
        <v>0.42259999999999998</v>
      </c>
      <c r="AN496" s="162">
        <v>0.42930000000000001</v>
      </c>
      <c r="AO496" s="162">
        <v>0.43609999999999999</v>
      </c>
      <c r="AP496" s="162">
        <v>0.44280000000000003</v>
      </c>
      <c r="AQ496" s="162">
        <v>0.44159999999999999</v>
      </c>
      <c r="AR496" s="162">
        <v>0.4405</v>
      </c>
      <c r="AS496" s="162">
        <v>0.43930000000000002</v>
      </c>
      <c r="AT496" s="162">
        <v>0.43819999999999998</v>
      </c>
      <c r="AU496" s="162">
        <v>0.437</v>
      </c>
    </row>
    <row r="497" spans="1:47" ht="12.75" customHeight="1">
      <c r="A497" s="459">
        <v>44372</v>
      </c>
      <c r="B497" s="139">
        <v>25</v>
      </c>
      <c r="C497" s="162">
        <v>-0.4778</v>
      </c>
      <c r="D497" s="162">
        <v>-0.4778</v>
      </c>
      <c r="E497" s="162">
        <v>-0.48170000000000002</v>
      </c>
      <c r="F497" s="162">
        <v>-0.48220000000000002</v>
      </c>
      <c r="G497" s="162">
        <v>-0.47920000000000001</v>
      </c>
      <c r="H497" s="162">
        <v>-0.48209999999999997</v>
      </c>
      <c r="I497" s="162">
        <v>-0.48230000000000001</v>
      </c>
      <c r="J497" s="162">
        <v>-0.48010000000000003</v>
      </c>
      <c r="K497" s="162">
        <v>-0.48010000000000003</v>
      </c>
      <c r="L497" s="162">
        <v>-0.48259999999999997</v>
      </c>
      <c r="M497" s="162">
        <v>-0.4819</v>
      </c>
      <c r="N497" s="162">
        <v>-0.48170000000000002</v>
      </c>
      <c r="O497" s="162">
        <v>-0.48130000000000001</v>
      </c>
      <c r="P497" s="162">
        <v>-0.48080000000000001</v>
      </c>
      <c r="Q497" s="162">
        <v>-0.48060000000000003</v>
      </c>
      <c r="R497" s="162">
        <v>-0.48039999999999999</v>
      </c>
      <c r="S497" s="162">
        <v>-0.46689999999999998</v>
      </c>
      <c r="T497" s="162">
        <v>-0.43169999999999997</v>
      </c>
      <c r="U497" s="162">
        <v>-0.38129999999999997</v>
      </c>
      <c r="V497" s="162">
        <v>-0.3221</v>
      </c>
      <c r="W497" s="162">
        <v>-0.25600000000000001</v>
      </c>
      <c r="X497" s="162">
        <v>-0.1865</v>
      </c>
      <c r="Y497" s="162">
        <v>-0.1154</v>
      </c>
      <c r="Z497" s="162">
        <v>-4.5100000000000001E-2</v>
      </c>
      <c r="AA497" s="162">
        <v>2.1299999999999999E-2</v>
      </c>
      <c r="AB497" s="162">
        <v>8.4000000000000005E-2</v>
      </c>
      <c r="AC497" s="162">
        <v>0.14419999999999999</v>
      </c>
      <c r="AD497" s="162">
        <v>0.19819999999999999</v>
      </c>
      <c r="AE497" s="162">
        <v>0.2467</v>
      </c>
      <c r="AF497" s="162">
        <v>0.28920000000000001</v>
      </c>
      <c r="AG497" s="162">
        <v>0.314</v>
      </c>
      <c r="AH497" s="162">
        <v>0.3387</v>
      </c>
      <c r="AI497" s="162">
        <v>0.36349999999999999</v>
      </c>
      <c r="AJ497" s="162">
        <v>0.38819999999999999</v>
      </c>
      <c r="AK497" s="162">
        <v>0.41299999999999998</v>
      </c>
      <c r="AL497" s="162">
        <v>0.41889999999999999</v>
      </c>
      <c r="AM497" s="162">
        <v>0.42480000000000001</v>
      </c>
      <c r="AN497" s="162">
        <v>0.43070000000000003</v>
      </c>
      <c r="AO497" s="162">
        <v>0.43669999999999998</v>
      </c>
      <c r="AP497" s="162">
        <v>0.44259999999999999</v>
      </c>
      <c r="AQ497" s="162">
        <v>0.44040000000000001</v>
      </c>
      <c r="AR497" s="162">
        <v>0.43819999999999998</v>
      </c>
      <c r="AS497" s="162">
        <v>0.43590000000000001</v>
      </c>
      <c r="AT497" s="162">
        <v>0.43369999999999997</v>
      </c>
      <c r="AU497" s="162">
        <v>0.43149999999999999</v>
      </c>
    </row>
    <row r="498" spans="1:47" ht="12.75" customHeight="1">
      <c r="A498" s="459">
        <v>44379</v>
      </c>
      <c r="B498" s="139">
        <v>26</v>
      </c>
      <c r="C498" s="162">
        <v>-0.47899999999999998</v>
      </c>
      <c r="D498" s="162">
        <v>-0.47899999999999998</v>
      </c>
      <c r="E498" s="162">
        <v>-0.48180000000000001</v>
      </c>
      <c r="F498" s="162">
        <v>-0.48110000000000003</v>
      </c>
      <c r="G498" s="162">
        <v>-0.47949999999999998</v>
      </c>
      <c r="H498" s="162">
        <v>-0.47910000000000003</v>
      </c>
      <c r="I498" s="162">
        <v>-0.48209999999999997</v>
      </c>
      <c r="J498" s="162">
        <v>-0.48180000000000001</v>
      </c>
      <c r="K498" s="162">
        <v>-0.48120000000000002</v>
      </c>
      <c r="L498" s="162">
        <v>-0.48080000000000001</v>
      </c>
      <c r="M498" s="162">
        <v>-0.48049999999999998</v>
      </c>
      <c r="N498" s="162">
        <v>-0.47899999999999998</v>
      </c>
      <c r="O498" s="162">
        <v>-0.47820000000000001</v>
      </c>
      <c r="P498" s="162">
        <v>-0.4773</v>
      </c>
      <c r="Q498" s="162">
        <v>-0.47610000000000002</v>
      </c>
      <c r="R498" s="162">
        <v>-0.47420000000000001</v>
      </c>
      <c r="S498" s="162">
        <v>-0.45390000000000003</v>
      </c>
      <c r="T498" s="162">
        <v>-0.4083</v>
      </c>
      <c r="U498" s="162">
        <v>-0.35399999999999998</v>
      </c>
      <c r="V498" s="162">
        <v>-0.29260000000000003</v>
      </c>
      <c r="W498" s="162">
        <v>-0.2283</v>
      </c>
      <c r="X498" s="162">
        <v>-0.16020000000000001</v>
      </c>
      <c r="Y498" s="162">
        <v>-9.1399999999999995E-2</v>
      </c>
      <c r="Z498" s="162">
        <v>-2.6599999999999999E-2</v>
      </c>
      <c r="AA498" s="162">
        <v>3.73E-2</v>
      </c>
      <c r="AB498" s="162">
        <v>9.8000000000000004E-2</v>
      </c>
      <c r="AC498" s="162">
        <v>0.15490000000000001</v>
      </c>
      <c r="AD498" s="162">
        <v>0.20760000000000001</v>
      </c>
      <c r="AE498" s="162">
        <v>0.2545</v>
      </c>
      <c r="AF498" s="162">
        <v>0.29530000000000001</v>
      </c>
      <c r="AG498" s="162">
        <v>0.31940000000000002</v>
      </c>
      <c r="AH498" s="162">
        <v>0.34339999999999998</v>
      </c>
      <c r="AI498" s="162">
        <v>0.36749999999999999</v>
      </c>
      <c r="AJ498" s="162">
        <v>0.3916</v>
      </c>
      <c r="AK498" s="162">
        <v>0.41570000000000001</v>
      </c>
      <c r="AL498" s="162">
        <v>0.42109999999999997</v>
      </c>
      <c r="AM498" s="162">
        <v>0.42649999999999999</v>
      </c>
      <c r="AN498" s="162">
        <v>0.43180000000000002</v>
      </c>
      <c r="AO498" s="162">
        <v>0.43719999999999998</v>
      </c>
      <c r="AP498" s="162">
        <v>0.44259999999999999</v>
      </c>
      <c r="AQ498" s="162">
        <v>0.43969999999999998</v>
      </c>
      <c r="AR498" s="162">
        <v>0.43690000000000001</v>
      </c>
      <c r="AS498" s="162">
        <v>0.43409999999999999</v>
      </c>
      <c r="AT498" s="162">
        <v>0.43120000000000003</v>
      </c>
      <c r="AU498" s="162">
        <v>0.4284</v>
      </c>
    </row>
    <row r="499" spans="1:47" ht="12.75" customHeight="1">
      <c r="A499" s="459">
        <v>44386</v>
      </c>
      <c r="B499" s="139">
        <v>27</v>
      </c>
      <c r="C499" s="162">
        <v>-0.48499999999999999</v>
      </c>
      <c r="D499" s="162">
        <v>-0.48499999999999999</v>
      </c>
      <c r="E499" s="162">
        <v>-0.48220000000000002</v>
      </c>
      <c r="F499" s="162">
        <v>-0.4819</v>
      </c>
      <c r="G499" s="162">
        <v>-0.48220000000000002</v>
      </c>
      <c r="H499" s="162">
        <v>-0.47960000000000003</v>
      </c>
      <c r="I499" s="162">
        <v>-0.48220000000000002</v>
      </c>
      <c r="J499" s="162">
        <v>-0.4829</v>
      </c>
      <c r="K499" s="162">
        <v>-0.4834</v>
      </c>
      <c r="L499" s="162">
        <v>-0.48259999999999997</v>
      </c>
      <c r="M499" s="162">
        <v>-0.48309999999999997</v>
      </c>
      <c r="N499" s="162">
        <v>-0.48249999999999998</v>
      </c>
      <c r="O499" s="162">
        <v>-0.48170000000000002</v>
      </c>
      <c r="P499" s="162">
        <v>-0.4788</v>
      </c>
      <c r="Q499" s="162">
        <v>-0.47970000000000002</v>
      </c>
      <c r="R499" s="162">
        <v>-0.47920000000000001</v>
      </c>
      <c r="S499" s="162">
        <v>-0.45800000000000002</v>
      </c>
      <c r="T499" s="162">
        <v>-0.41239999999999999</v>
      </c>
      <c r="U499" s="162">
        <v>-0.3594</v>
      </c>
      <c r="V499" s="162">
        <v>-0.30070000000000002</v>
      </c>
      <c r="W499" s="162">
        <v>-0.23430000000000001</v>
      </c>
      <c r="X499" s="162">
        <v>-0.16639999999999999</v>
      </c>
      <c r="Y499" s="162">
        <v>-9.7500000000000003E-2</v>
      </c>
      <c r="Z499" s="162">
        <v>-3.09E-2</v>
      </c>
      <c r="AA499" s="162">
        <v>3.49E-2</v>
      </c>
      <c r="AB499" s="162">
        <v>9.7500000000000003E-2</v>
      </c>
      <c r="AC499" s="162">
        <v>0.15690000000000001</v>
      </c>
      <c r="AD499" s="162">
        <v>0.21010000000000001</v>
      </c>
      <c r="AE499" s="162">
        <v>0.25929999999999997</v>
      </c>
      <c r="AF499" s="162">
        <v>0.30199999999999999</v>
      </c>
      <c r="AG499" s="162">
        <v>0.32669999999999999</v>
      </c>
      <c r="AH499" s="162">
        <v>0.35149999999999998</v>
      </c>
      <c r="AI499" s="162">
        <v>0.37619999999999998</v>
      </c>
      <c r="AJ499" s="162">
        <v>0.40089999999999998</v>
      </c>
      <c r="AK499" s="162">
        <v>0.42570000000000002</v>
      </c>
      <c r="AL499" s="162">
        <v>0.43149999999999999</v>
      </c>
      <c r="AM499" s="162">
        <v>0.43740000000000001</v>
      </c>
      <c r="AN499" s="162">
        <v>0.44330000000000003</v>
      </c>
      <c r="AO499" s="162">
        <v>0.4491</v>
      </c>
      <c r="AP499" s="162">
        <v>0.45500000000000002</v>
      </c>
      <c r="AQ499" s="162">
        <v>0.45279999999999998</v>
      </c>
      <c r="AR499" s="162">
        <v>0.45050000000000001</v>
      </c>
      <c r="AS499" s="162">
        <v>0.44829999999999998</v>
      </c>
      <c r="AT499" s="162">
        <v>0.44600000000000001</v>
      </c>
      <c r="AU499" s="162">
        <v>0.44369999999999998</v>
      </c>
    </row>
    <row r="500" spans="1:47" ht="12.75" customHeight="1">
      <c r="A500" s="459">
        <v>44393</v>
      </c>
      <c r="B500" s="139">
        <v>28</v>
      </c>
      <c r="C500" s="162">
        <v>-0.48049999999999998</v>
      </c>
      <c r="D500" s="162">
        <v>-0.48049999999999998</v>
      </c>
      <c r="E500" s="162">
        <v>-0.48209999999999997</v>
      </c>
      <c r="F500" s="162">
        <v>-0.48199999999999998</v>
      </c>
      <c r="G500" s="162">
        <v>-0.48139999999999999</v>
      </c>
      <c r="H500" s="162">
        <v>-0.48259999999999997</v>
      </c>
      <c r="I500" s="162">
        <v>-0.48299999999999998</v>
      </c>
      <c r="J500" s="162">
        <v>-0.48270000000000002</v>
      </c>
      <c r="K500" s="162">
        <v>-0.48220000000000002</v>
      </c>
      <c r="L500" s="162">
        <v>-0.48280000000000001</v>
      </c>
      <c r="M500" s="162">
        <v>-0.47989999999999999</v>
      </c>
      <c r="N500" s="162">
        <v>-0.48270000000000002</v>
      </c>
      <c r="O500" s="162">
        <v>-0.48209999999999997</v>
      </c>
      <c r="P500" s="162">
        <v>-0.48230000000000001</v>
      </c>
      <c r="Q500" s="162">
        <v>-0.48180000000000001</v>
      </c>
      <c r="R500" s="162">
        <v>-0.48139999999999999</v>
      </c>
      <c r="S500" s="162">
        <v>-0.46679999999999999</v>
      </c>
      <c r="T500" s="162">
        <v>-0.43319999999999997</v>
      </c>
      <c r="U500" s="162">
        <v>-0.3926</v>
      </c>
      <c r="V500" s="162">
        <v>-0.34470000000000001</v>
      </c>
      <c r="W500" s="162">
        <v>-0.28689999999999999</v>
      </c>
      <c r="X500" s="162">
        <v>-0.22500000000000001</v>
      </c>
      <c r="Y500" s="162">
        <v>-0.15959999999999999</v>
      </c>
      <c r="Z500" s="162">
        <v>-9.5600000000000004E-2</v>
      </c>
      <c r="AA500" s="162">
        <v>-3.3000000000000002E-2</v>
      </c>
      <c r="AB500" s="162">
        <v>2.8000000000000001E-2</v>
      </c>
      <c r="AC500" s="162">
        <v>8.6099999999999996E-2</v>
      </c>
      <c r="AD500" s="162">
        <v>0.1396</v>
      </c>
      <c r="AE500" s="162">
        <v>0.18759999999999999</v>
      </c>
      <c r="AF500" s="162">
        <v>0.22869999999999999</v>
      </c>
      <c r="AG500" s="162">
        <v>0.25309999999999999</v>
      </c>
      <c r="AH500" s="162">
        <v>0.27760000000000001</v>
      </c>
      <c r="AI500" s="162">
        <v>0.30199999999999999</v>
      </c>
      <c r="AJ500" s="162">
        <v>0.32640000000000002</v>
      </c>
      <c r="AK500" s="162">
        <v>0.3508</v>
      </c>
      <c r="AL500" s="162">
        <v>0.35639999999999999</v>
      </c>
      <c r="AM500" s="162">
        <v>0.36199999999999999</v>
      </c>
      <c r="AN500" s="162">
        <v>0.36759999999999998</v>
      </c>
      <c r="AO500" s="162">
        <v>0.37319999999999998</v>
      </c>
      <c r="AP500" s="162">
        <v>0.37880000000000003</v>
      </c>
      <c r="AQ500" s="162">
        <v>0.37609999999999999</v>
      </c>
      <c r="AR500" s="162">
        <v>0.37330000000000002</v>
      </c>
      <c r="AS500" s="162">
        <v>0.3705</v>
      </c>
      <c r="AT500" s="162">
        <v>0.36770000000000003</v>
      </c>
      <c r="AU500" s="162">
        <v>0.3649</v>
      </c>
    </row>
    <row r="501" spans="1:47" ht="12.75" customHeight="1">
      <c r="A501" s="459">
        <v>44400</v>
      </c>
      <c r="B501" s="139">
        <v>29</v>
      </c>
      <c r="C501" s="162">
        <v>-0.48149999999999998</v>
      </c>
      <c r="D501" s="162">
        <v>-0.48149999999999998</v>
      </c>
      <c r="E501" s="162">
        <v>-0.48049999999999998</v>
      </c>
      <c r="F501" s="162">
        <v>-0.48209999999999997</v>
      </c>
      <c r="G501" s="162">
        <v>-0.48180000000000001</v>
      </c>
      <c r="H501" s="162">
        <v>-0.48230000000000001</v>
      </c>
      <c r="I501" s="162">
        <v>-0.48259999999999997</v>
      </c>
      <c r="J501" s="162">
        <v>-0.48249999999999998</v>
      </c>
      <c r="K501" s="162">
        <v>-0.48209999999999997</v>
      </c>
      <c r="L501" s="162">
        <v>-0.48209999999999997</v>
      </c>
      <c r="M501" s="162">
        <v>-0.48130000000000001</v>
      </c>
      <c r="N501" s="162">
        <v>-0.47899999999999998</v>
      </c>
      <c r="O501" s="162">
        <v>-0.48089999999999999</v>
      </c>
      <c r="P501" s="162">
        <v>-0.48060000000000003</v>
      </c>
      <c r="Q501" s="162">
        <v>-0.48010000000000003</v>
      </c>
      <c r="R501" s="162">
        <v>-0.47970000000000002</v>
      </c>
      <c r="S501" s="162">
        <v>-0.4647</v>
      </c>
      <c r="T501" s="162">
        <v>-0.43390000000000001</v>
      </c>
      <c r="U501" s="162">
        <v>-0.39989999999999998</v>
      </c>
      <c r="V501" s="162">
        <v>-0.35799999999999998</v>
      </c>
      <c r="W501" s="162">
        <v>-0.30470000000000003</v>
      </c>
      <c r="X501" s="162">
        <v>-0.2457</v>
      </c>
      <c r="Y501" s="162">
        <v>-0.1837</v>
      </c>
      <c r="Z501" s="162">
        <v>-0.122</v>
      </c>
      <c r="AA501" s="162">
        <v>-6.1400000000000003E-2</v>
      </c>
      <c r="AB501" s="162">
        <v>-1E-3</v>
      </c>
      <c r="AC501" s="162">
        <v>5.6500000000000002E-2</v>
      </c>
      <c r="AD501" s="162">
        <v>0.1103</v>
      </c>
      <c r="AE501" s="162">
        <v>0.15740000000000001</v>
      </c>
      <c r="AF501" s="162">
        <v>0.19750000000000001</v>
      </c>
      <c r="AG501" s="162">
        <v>0.2215</v>
      </c>
      <c r="AH501" s="162">
        <v>0.2455</v>
      </c>
      <c r="AI501" s="162">
        <v>0.26950000000000002</v>
      </c>
      <c r="AJ501" s="162">
        <v>0.29360000000000003</v>
      </c>
      <c r="AK501" s="162">
        <v>0.31759999999999999</v>
      </c>
      <c r="AL501" s="162">
        <v>0.32240000000000002</v>
      </c>
      <c r="AM501" s="162">
        <v>0.32719999999999999</v>
      </c>
      <c r="AN501" s="162">
        <v>0.33200000000000002</v>
      </c>
      <c r="AO501" s="162">
        <v>0.33679999999999999</v>
      </c>
      <c r="AP501" s="162">
        <v>0.3417</v>
      </c>
      <c r="AQ501" s="162">
        <v>0.33839999999999998</v>
      </c>
      <c r="AR501" s="162">
        <v>0.3352</v>
      </c>
      <c r="AS501" s="162">
        <v>0.33200000000000002</v>
      </c>
      <c r="AT501" s="162">
        <v>0.32879999999999998</v>
      </c>
      <c r="AU501" s="162">
        <v>0.3256</v>
      </c>
    </row>
    <row r="502" spans="1:47" ht="12.75" customHeight="1">
      <c r="A502" s="459">
        <v>44407</v>
      </c>
      <c r="B502" s="139">
        <v>30</v>
      </c>
      <c r="C502" s="162">
        <v>-0.48099999999999998</v>
      </c>
      <c r="D502" s="162">
        <v>-0.48099999999999998</v>
      </c>
      <c r="E502" s="162">
        <v>-0.48230000000000001</v>
      </c>
      <c r="F502" s="162">
        <v>-0.48220000000000002</v>
      </c>
      <c r="G502" s="162">
        <v>-0.48209999999999997</v>
      </c>
      <c r="H502" s="162">
        <v>-0.48259999999999997</v>
      </c>
      <c r="I502" s="162">
        <v>-0.48259999999999997</v>
      </c>
      <c r="J502" s="162">
        <v>-0.48249999999999998</v>
      </c>
      <c r="K502" s="162">
        <v>-0.47749999999999998</v>
      </c>
      <c r="L502" s="162">
        <v>-0.48249999999999998</v>
      </c>
      <c r="M502" s="162">
        <v>-0.4824</v>
      </c>
      <c r="N502" s="162">
        <v>-0.4829</v>
      </c>
      <c r="O502" s="162">
        <v>-0.48230000000000001</v>
      </c>
      <c r="P502" s="162">
        <v>-0.48280000000000001</v>
      </c>
      <c r="Q502" s="162">
        <v>-0.48309999999999997</v>
      </c>
      <c r="R502" s="162">
        <v>-0.4834</v>
      </c>
      <c r="S502" s="162">
        <v>-0.47539999999999999</v>
      </c>
      <c r="T502" s="162">
        <v>-0.45569999999999999</v>
      </c>
      <c r="U502" s="162">
        <v>-0.43049999999999999</v>
      </c>
      <c r="V502" s="162">
        <v>-0.39660000000000001</v>
      </c>
      <c r="W502" s="162">
        <v>-0.35099999999999998</v>
      </c>
      <c r="X502" s="162">
        <v>-0.2984</v>
      </c>
      <c r="Y502" s="162">
        <v>-0.24049999999999999</v>
      </c>
      <c r="Z502" s="162">
        <v>-0.18329999999999999</v>
      </c>
      <c r="AA502" s="162">
        <v>-0.1249</v>
      </c>
      <c r="AB502" s="162">
        <v>-6.7500000000000004E-2</v>
      </c>
      <c r="AC502" s="162">
        <v>-1.41E-2</v>
      </c>
      <c r="AD502" s="162">
        <v>3.7600000000000001E-2</v>
      </c>
      <c r="AE502" s="162">
        <v>8.2699999999999996E-2</v>
      </c>
      <c r="AF502" s="162">
        <v>0.12230000000000001</v>
      </c>
      <c r="AG502" s="162">
        <v>0.14499999999999999</v>
      </c>
      <c r="AH502" s="162">
        <v>0.1678</v>
      </c>
      <c r="AI502" s="162">
        <v>0.1905</v>
      </c>
      <c r="AJ502" s="162">
        <v>0.2132</v>
      </c>
      <c r="AK502" s="162">
        <v>0.23599999999999999</v>
      </c>
      <c r="AL502" s="162">
        <v>0.24010000000000001</v>
      </c>
      <c r="AM502" s="162">
        <v>0.2442</v>
      </c>
      <c r="AN502" s="162">
        <v>0.24829999999999999</v>
      </c>
      <c r="AO502" s="162">
        <v>0.25240000000000001</v>
      </c>
      <c r="AP502" s="162">
        <v>0.25650000000000001</v>
      </c>
      <c r="AQ502" s="162">
        <v>0.25269999999999998</v>
      </c>
      <c r="AR502" s="162">
        <v>0.24879999999999999</v>
      </c>
      <c r="AS502" s="162">
        <v>0.245</v>
      </c>
      <c r="AT502" s="162">
        <v>0.24110000000000001</v>
      </c>
      <c r="AU502" s="162">
        <v>0.23730000000000001</v>
      </c>
    </row>
    <row r="503" spans="1:47" ht="12.75" customHeight="1">
      <c r="A503" s="459">
        <v>44414</v>
      </c>
      <c r="B503" s="139">
        <v>31</v>
      </c>
      <c r="C503" s="162">
        <v>-0.48099999999999998</v>
      </c>
      <c r="D503" s="162">
        <v>-0.48099999999999998</v>
      </c>
      <c r="E503" s="162">
        <v>-0.4829</v>
      </c>
      <c r="F503" s="162">
        <v>-0.48259999999999997</v>
      </c>
      <c r="G503" s="162">
        <v>-0.48209999999999997</v>
      </c>
      <c r="H503" s="162">
        <v>-0.48</v>
      </c>
      <c r="I503" s="162">
        <v>-0.48270000000000002</v>
      </c>
      <c r="J503" s="162">
        <v>-0.48349999999999999</v>
      </c>
      <c r="K503" s="162">
        <v>-0.48420000000000002</v>
      </c>
      <c r="L503" s="162">
        <v>-0.48499999999999999</v>
      </c>
      <c r="M503" s="162">
        <v>-0.4859</v>
      </c>
      <c r="N503" s="162">
        <v>-0.4864</v>
      </c>
      <c r="O503" s="162">
        <v>-0.48749999999999999</v>
      </c>
      <c r="P503" s="162">
        <v>-0.48859999999999998</v>
      </c>
      <c r="Q503" s="162">
        <v>-0.48959999999999998</v>
      </c>
      <c r="R503" s="162">
        <v>-0.49009999999999998</v>
      </c>
      <c r="S503" s="162">
        <v>-0.48930000000000001</v>
      </c>
      <c r="T503" s="162">
        <v>-0.46929999999999999</v>
      </c>
      <c r="U503" s="162">
        <v>-0.44309999999999999</v>
      </c>
      <c r="V503" s="162">
        <v>-0.40610000000000002</v>
      </c>
      <c r="W503" s="162">
        <v>-0.3599</v>
      </c>
      <c r="X503" s="162">
        <v>-0.30530000000000002</v>
      </c>
      <c r="Y503" s="162">
        <v>-0.24790000000000001</v>
      </c>
      <c r="Z503" s="162">
        <v>-0.18959999999999999</v>
      </c>
      <c r="AA503" s="162">
        <v>-0.1298</v>
      </c>
      <c r="AB503" s="162">
        <v>-7.1900000000000006E-2</v>
      </c>
      <c r="AC503" s="162">
        <v>-1.6400000000000001E-2</v>
      </c>
      <c r="AD503" s="162">
        <v>3.5400000000000001E-2</v>
      </c>
      <c r="AE503" s="162">
        <v>8.1100000000000005E-2</v>
      </c>
      <c r="AF503" s="162">
        <v>0.1203</v>
      </c>
      <c r="AG503" s="162">
        <v>0.14349999999999999</v>
      </c>
      <c r="AH503" s="162">
        <v>0.1668</v>
      </c>
      <c r="AI503" s="162">
        <v>0.19009999999999999</v>
      </c>
      <c r="AJ503" s="162">
        <v>0.21329999999999999</v>
      </c>
      <c r="AK503" s="162">
        <v>0.2366</v>
      </c>
      <c r="AL503" s="162">
        <v>0.2407</v>
      </c>
      <c r="AM503" s="162">
        <v>0.24490000000000001</v>
      </c>
      <c r="AN503" s="162">
        <v>0.249</v>
      </c>
      <c r="AO503" s="162">
        <v>0.25319999999999998</v>
      </c>
      <c r="AP503" s="162">
        <v>0.25729999999999997</v>
      </c>
      <c r="AQ503" s="162">
        <v>0.25359999999999999</v>
      </c>
      <c r="AR503" s="162">
        <v>0.25</v>
      </c>
      <c r="AS503" s="162">
        <v>0.24629999999999999</v>
      </c>
      <c r="AT503" s="162">
        <v>0.24260000000000001</v>
      </c>
      <c r="AU503" s="162">
        <v>0.23899999999999999</v>
      </c>
    </row>
    <row r="504" spans="1:47" ht="12.75" customHeight="1">
      <c r="A504" s="459">
        <v>44421</v>
      </c>
      <c r="B504" s="139">
        <v>32</v>
      </c>
      <c r="C504" s="162">
        <v>-0.48280000000000001</v>
      </c>
      <c r="D504" s="162">
        <v>-0.48280000000000001</v>
      </c>
      <c r="E504" s="162">
        <v>-0.48420000000000002</v>
      </c>
      <c r="F504" s="162">
        <v>-0.48420000000000002</v>
      </c>
      <c r="G504" s="162">
        <v>-0.48370000000000002</v>
      </c>
      <c r="H504" s="162">
        <v>-0.4834</v>
      </c>
      <c r="I504" s="162">
        <v>-0.48399999999999999</v>
      </c>
      <c r="J504" s="162">
        <v>-0.48409999999999997</v>
      </c>
      <c r="K504" s="162">
        <v>-0.48480000000000001</v>
      </c>
      <c r="L504" s="162">
        <v>-0.4864</v>
      </c>
      <c r="M504" s="162">
        <v>-0.48730000000000001</v>
      </c>
      <c r="N504" s="162">
        <v>-0.4884</v>
      </c>
      <c r="O504" s="162">
        <v>-0.49009999999999998</v>
      </c>
      <c r="P504" s="162">
        <v>-0.49120000000000003</v>
      </c>
      <c r="Q504" s="162">
        <v>-0.49209999999999998</v>
      </c>
      <c r="R504" s="162">
        <v>-0.49330000000000002</v>
      </c>
      <c r="S504" s="162">
        <v>-0.49790000000000001</v>
      </c>
      <c r="T504" s="162">
        <v>-0.4834</v>
      </c>
      <c r="U504" s="162">
        <v>-0.46239999999999998</v>
      </c>
      <c r="V504" s="162">
        <v>-0.43149999999999999</v>
      </c>
      <c r="W504" s="162">
        <v>-0.39069999999999999</v>
      </c>
      <c r="X504" s="162">
        <v>-0.34189999999999998</v>
      </c>
      <c r="Y504" s="162">
        <v>-0.28789999999999999</v>
      </c>
      <c r="Z504" s="162">
        <v>-0.23150000000000001</v>
      </c>
      <c r="AA504" s="162">
        <v>-0.1757</v>
      </c>
      <c r="AB504" s="162">
        <v>-0.1183</v>
      </c>
      <c r="AC504" s="162">
        <v>-6.6799999999999998E-2</v>
      </c>
      <c r="AD504" s="162">
        <v>-1.6400000000000001E-2</v>
      </c>
      <c r="AE504" s="162">
        <v>2.7799999999999998E-2</v>
      </c>
      <c r="AF504" s="162">
        <v>6.5100000000000005E-2</v>
      </c>
      <c r="AG504" s="162">
        <v>8.6699999999999999E-2</v>
      </c>
      <c r="AH504" s="162">
        <v>0.10829999999999999</v>
      </c>
      <c r="AI504" s="162">
        <v>0.12989999999999999</v>
      </c>
      <c r="AJ504" s="162">
        <v>0.15140000000000001</v>
      </c>
      <c r="AK504" s="162">
        <v>0.17299999999999999</v>
      </c>
      <c r="AL504" s="162">
        <v>0.1764</v>
      </c>
      <c r="AM504" s="162">
        <v>0.1799</v>
      </c>
      <c r="AN504" s="162">
        <v>0.18329999999999999</v>
      </c>
      <c r="AO504" s="162">
        <v>0.1867</v>
      </c>
      <c r="AP504" s="162">
        <v>0.19009999999999999</v>
      </c>
      <c r="AQ504" s="162">
        <v>0.1852</v>
      </c>
      <c r="AR504" s="162">
        <v>0.18029999999999999</v>
      </c>
      <c r="AS504" s="162">
        <v>0.17549999999999999</v>
      </c>
      <c r="AT504" s="162">
        <v>0.1706</v>
      </c>
      <c r="AU504" s="162">
        <v>0.16569999999999999</v>
      </c>
    </row>
    <row r="505" spans="1:47" ht="12.75" customHeight="1">
      <c r="A505" s="459">
        <v>44428</v>
      </c>
      <c r="B505" s="139">
        <v>33</v>
      </c>
      <c r="C505" s="162">
        <v>-0.48249999999999998</v>
      </c>
      <c r="D505" s="162">
        <v>-0.48249999999999998</v>
      </c>
      <c r="E505" s="162">
        <v>-0.4844</v>
      </c>
      <c r="F505" s="162">
        <v>-0.48430000000000001</v>
      </c>
      <c r="G505" s="162">
        <v>-0.48399999999999999</v>
      </c>
      <c r="H505" s="162">
        <v>-0.48259999999999997</v>
      </c>
      <c r="I505" s="162">
        <v>-0.48499999999999999</v>
      </c>
      <c r="J505" s="162">
        <v>-0.48599999999999999</v>
      </c>
      <c r="K505" s="162">
        <v>-0.48580000000000001</v>
      </c>
      <c r="L505" s="162">
        <v>-0.48670000000000002</v>
      </c>
      <c r="M505" s="162">
        <v>-0.48680000000000001</v>
      </c>
      <c r="N505" s="162">
        <v>-0.4874</v>
      </c>
      <c r="O505" s="162">
        <v>-0.48820000000000002</v>
      </c>
      <c r="P505" s="162">
        <v>-0.48859999999999998</v>
      </c>
      <c r="Q505" s="162">
        <v>-0.48909999999999998</v>
      </c>
      <c r="R505" s="162">
        <v>-0.48970000000000002</v>
      </c>
      <c r="S505" s="162">
        <v>-0.48970000000000002</v>
      </c>
      <c r="T505" s="162">
        <v>-0.4728</v>
      </c>
      <c r="U505" s="162">
        <v>-0.44819999999999999</v>
      </c>
      <c r="V505" s="162">
        <v>-0.41420000000000001</v>
      </c>
      <c r="W505" s="162">
        <v>-0.37390000000000001</v>
      </c>
      <c r="X505" s="162">
        <v>-0.32579999999999998</v>
      </c>
      <c r="Y505" s="162">
        <v>-0.27250000000000002</v>
      </c>
      <c r="Z505" s="162">
        <v>-0.21740000000000001</v>
      </c>
      <c r="AA505" s="162">
        <v>-0.16200000000000001</v>
      </c>
      <c r="AB505" s="162">
        <v>-0.1069</v>
      </c>
      <c r="AC505" s="162">
        <v>-5.4600000000000003E-2</v>
      </c>
      <c r="AD505" s="162">
        <v>-7.1999999999999998E-3</v>
      </c>
      <c r="AE505" s="162">
        <v>3.6700000000000003E-2</v>
      </c>
      <c r="AF505" s="162">
        <v>7.5200000000000003E-2</v>
      </c>
      <c r="AG505" s="162">
        <v>9.6699999999999994E-2</v>
      </c>
      <c r="AH505" s="162">
        <v>0.1182</v>
      </c>
      <c r="AI505" s="162">
        <v>0.13969999999999999</v>
      </c>
      <c r="AJ505" s="162">
        <v>0.16120000000000001</v>
      </c>
      <c r="AK505" s="162">
        <v>0.1827</v>
      </c>
      <c r="AL505" s="162">
        <v>0.18579999999999999</v>
      </c>
      <c r="AM505" s="162">
        <v>0.18890000000000001</v>
      </c>
      <c r="AN505" s="162">
        <v>0.19209999999999999</v>
      </c>
      <c r="AO505" s="162">
        <v>0.19520000000000001</v>
      </c>
      <c r="AP505" s="162">
        <v>0.1983</v>
      </c>
      <c r="AQ505" s="162">
        <v>0.19309999999999999</v>
      </c>
      <c r="AR505" s="162">
        <v>0.18779999999999999</v>
      </c>
      <c r="AS505" s="162">
        <v>0.18260000000000001</v>
      </c>
      <c r="AT505" s="162">
        <v>0.17730000000000001</v>
      </c>
      <c r="AU505" s="162">
        <v>0.1721</v>
      </c>
    </row>
    <row r="506" spans="1:47" ht="12.75" customHeight="1">
      <c r="A506" s="459">
        <v>44435</v>
      </c>
      <c r="B506" s="139">
        <v>34</v>
      </c>
      <c r="C506" s="162">
        <v>-0.48280000000000001</v>
      </c>
      <c r="D506" s="162">
        <v>-0.48280000000000001</v>
      </c>
      <c r="E506" s="162">
        <v>-0.48470000000000002</v>
      </c>
      <c r="F506" s="162">
        <v>-0.48480000000000001</v>
      </c>
      <c r="G506" s="162">
        <v>-0.48430000000000001</v>
      </c>
      <c r="H506" s="162">
        <v>-0.48580000000000001</v>
      </c>
      <c r="I506" s="162">
        <v>-0.4874</v>
      </c>
      <c r="J506" s="162">
        <v>-0.4869</v>
      </c>
      <c r="K506" s="162">
        <v>-0.48609999999999998</v>
      </c>
      <c r="L506" s="162">
        <v>-0.4889</v>
      </c>
      <c r="M506" s="162">
        <v>-0.48930000000000001</v>
      </c>
      <c r="N506" s="162">
        <v>-0.48809999999999998</v>
      </c>
      <c r="O506" s="162">
        <v>-0.49009999999999998</v>
      </c>
      <c r="P506" s="162">
        <v>-0.48899999999999999</v>
      </c>
      <c r="Q506" s="162">
        <v>-0.49170000000000003</v>
      </c>
      <c r="R506" s="162">
        <v>-0.49209999999999998</v>
      </c>
      <c r="S506" s="162">
        <v>-0.4919</v>
      </c>
      <c r="T506" s="162">
        <v>-0.47749999999999998</v>
      </c>
      <c r="U506" s="162">
        <v>-0.45629999999999998</v>
      </c>
      <c r="V506" s="162">
        <v>-0.42730000000000001</v>
      </c>
      <c r="W506" s="162">
        <v>-0.39</v>
      </c>
      <c r="X506" s="162">
        <v>-0.34470000000000001</v>
      </c>
      <c r="Y506" s="162">
        <v>-0.29349999999999998</v>
      </c>
      <c r="Z506" s="162">
        <v>-0.2399</v>
      </c>
      <c r="AA506" s="162">
        <v>-0.18490000000000001</v>
      </c>
      <c r="AB506" s="162">
        <v>-0.13020000000000001</v>
      </c>
      <c r="AC506" s="162">
        <v>-7.8399999999999997E-2</v>
      </c>
      <c r="AD506" s="162">
        <v>-2.8899999999999999E-2</v>
      </c>
      <c r="AE506" s="162">
        <v>1.4500000000000001E-2</v>
      </c>
      <c r="AF506" s="162">
        <v>5.0799999999999998E-2</v>
      </c>
      <c r="AG506" s="162">
        <v>7.2499999999999995E-2</v>
      </c>
      <c r="AH506" s="162">
        <v>9.4200000000000006E-2</v>
      </c>
      <c r="AI506" s="162">
        <v>0.11600000000000001</v>
      </c>
      <c r="AJ506" s="162">
        <v>0.13769999999999999</v>
      </c>
      <c r="AK506" s="162">
        <v>0.15939999999999999</v>
      </c>
      <c r="AL506" s="162">
        <v>0.16270000000000001</v>
      </c>
      <c r="AM506" s="162">
        <v>0.16589999999999999</v>
      </c>
      <c r="AN506" s="162">
        <v>0.16919999999999999</v>
      </c>
      <c r="AO506" s="162">
        <v>0.17249999999999999</v>
      </c>
      <c r="AP506" s="162">
        <v>0.17580000000000001</v>
      </c>
      <c r="AQ506" s="162">
        <v>0.17069999999999999</v>
      </c>
      <c r="AR506" s="162">
        <v>0.1656</v>
      </c>
      <c r="AS506" s="162">
        <v>0.1605</v>
      </c>
      <c r="AT506" s="162">
        <v>0.15540000000000001</v>
      </c>
      <c r="AU506" s="162">
        <v>0.15029999999999999</v>
      </c>
    </row>
    <row r="507" spans="1:47" ht="12.75" customHeight="1">
      <c r="A507" s="459">
        <v>44442</v>
      </c>
      <c r="B507" s="139">
        <v>35</v>
      </c>
      <c r="C507" s="162">
        <v>-0.48230000000000001</v>
      </c>
      <c r="D507" s="162">
        <v>-0.48230000000000001</v>
      </c>
      <c r="E507" s="162">
        <v>-0.48420000000000002</v>
      </c>
      <c r="F507" s="162">
        <v>-0.48399999999999999</v>
      </c>
      <c r="G507" s="162">
        <v>-0.48509999999999998</v>
      </c>
      <c r="H507" s="162">
        <v>-0.48380000000000001</v>
      </c>
      <c r="I507" s="162">
        <v>-0.48720000000000002</v>
      </c>
      <c r="J507" s="162">
        <v>-0.48799999999999999</v>
      </c>
      <c r="K507" s="162">
        <v>-0.48470000000000002</v>
      </c>
      <c r="L507" s="162">
        <v>-0.48899999999999999</v>
      </c>
      <c r="M507" s="162">
        <v>-0.48970000000000002</v>
      </c>
      <c r="N507" s="162">
        <v>-0.49009999999999998</v>
      </c>
      <c r="O507" s="162">
        <v>-0.49070000000000003</v>
      </c>
      <c r="P507" s="162">
        <v>-0.49149999999999999</v>
      </c>
      <c r="Q507" s="162">
        <v>-0.4919</v>
      </c>
      <c r="R507" s="162">
        <v>-0.49270000000000003</v>
      </c>
      <c r="S507" s="162">
        <v>-0.49009999999999998</v>
      </c>
      <c r="T507" s="162">
        <v>-0.47110000000000002</v>
      </c>
      <c r="U507" s="162">
        <v>-0.44500000000000001</v>
      </c>
      <c r="V507" s="162">
        <v>-0.41260000000000002</v>
      </c>
      <c r="W507" s="162">
        <v>-0.37080000000000002</v>
      </c>
      <c r="X507" s="162">
        <v>-0.32300000000000001</v>
      </c>
      <c r="Y507" s="162">
        <v>-0.26950000000000002</v>
      </c>
      <c r="Z507" s="162">
        <v>-0.2132</v>
      </c>
      <c r="AA507" s="162">
        <v>-0.15590000000000001</v>
      </c>
      <c r="AB507" s="162">
        <v>-0.1004</v>
      </c>
      <c r="AC507" s="162">
        <v>-4.7100000000000003E-2</v>
      </c>
      <c r="AD507" s="162">
        <v>1.6999999999999999E-3</v>
      </c>
      <c r="AE507" s="162">
        <v>4.58E-2</v>
      </c>
      <c r="AF507" s="162">
        <v>8.3799999999999999E-2</v>
      </c>
      <c r="AG507" s="162">
        <v>0.106</v>
      </c>
      <c r="AH507" s="162">
        <v>0.12820000000000001</v>
      </c>
      <c r="AI507" s="162">
        <v>0.15040000000000001</v>
      </c>
      <c r="AJ507" s="162">
        <v>0.17249999999999999</v>
      </c>
      <c r="AK507" s="162">
        <v>0.19470000000000001</v>
      </c>
      <c r="AL507" s="162">
        <v>0.1986</v>
      </c>
      <c r="AM507" s="162">
        <v>0.2026</v>
      </c>
      <c r="AN507" s="162">
        <v>0.20649999999999999</v>
      </c>
      <c r="AO507" s="162">
        <v>0.2104</v>
      </c>
      <c r="AP507" s="162">
        <v>0.21440000000000001</v>
      </c>
      <c r="AQ507" s="162">
        <v>0.21010000000000001</v>
      </c>
      <c r="AR507" s="162">
        <v>0.20580000000000001</v>
      </c>
      <c r="AS507" s="162">
        <v>0.20150000000000001</v>
      </c>
      <c r="AT507" s="162">
        <v>0.19719999999999999</v>
      </c>
      <c r="AU507" s="162">
        <v>0.19289999999999999</v>
      </c>
    </row>
    <row r="508" spans="1:47" ht="12.75" customHeight="1">
      <c r="A508" s="459">
        <v>44449</v>
      </c>
      <c r="B508" s="139">
        <v>36</v>
      </c>
      <c r="C508" s="162">
        <v>-0.48399999999999999</v>
      </c>
      <c r="D508" s="162">
        <v>-0.48399999999999999</v>
      </c>
      <c r="E508" s="162">
        <v>-0.48370000000000002</v>
      </c>
      <c r="F508" s="162">
        <v>-0.48459999999999998</v>
      </c>
      <c r="G508" s="162">
        <v>-0.48609999999999998</v>
      </c>
      <c r="H508" s="162">
        <v>-0.48630000000000001</v>
      </c>
      <c r="I508" s="162">
        <v>-0.48709999999999998</v>
      </c>
      <c r="J508" s="162">
        <v>-0.48759999999999998</v>
      </c>
      <c r="K508" s="162">
        <v>-0.48620000000000002</v>
      </c>
      <c r="L508" s="162">
        <v>-0.48849999999999999</v>
      </c>
      <c r="M508" s="162">
        <v>-0.48820000000000002</v>
      </c>
      <c r="N508" s="162">
        <v>-0.48820000000000002</v>
      </c>
      <c r="O508" s="162">
        <v>-0.4884</v>
      </c>
      <c r="P508" s="162">
        <v>-0.48809999999999998</v>
      </c>
      <c r="Q508" s="162">
        <v>-0.48820000000000002</v>
      </c>
      <c r="R508" s="162">
        <v>-0.48859999999999998</v>
      </c>
      <c r="S508" s="162">
        <v>-0.48110000000000003</v>
      </c>
      <c r="T508" s="162">
        <v>-0.45800000000000002</v>
      </c>
      <c r="U508" s="162">
        <v>-0.42709999999999998</v>
      </c>
      <c r="V508" s="162">
        <v>-0.38869999999999999</v>
      </c>
      <c r="W508" s="162">
        <v>-0.34110000000000001</v>
      </c>
      <c r="X508" s="162">
        <v>-0.2863</v>
      </c>
      <c r="Y508" s="162">
        <v>-0.22789999999999999</v>
      </c>
      <c r="Z508" s="162">
        <v>-0.16819999999999999</v>
      </c>
      <c r="AA508" s="162">
        <v>-0.1089</v>
      </c>
      <c r="AB508" s="162">
        <v>-4.9799999999999997E-2</v>
      </c>
      <c r="AC508" s="162">
        <v>4.1000000000000003E-3</v>
      </c>
      <c r="AD508" s="162">
        <v>5.6000000000000001E-2</v>
      </c>
      <c r="AE508" s="162">
        <v>0.1018</v>
      </c>
      <c r="AF508" s="162">
        <v>0.14149999999999999</v>
      </c>
      <c r="AG508" s="162">
        <v>0.16439999999999999</v>
      </c>
      <c r="AH508" s="162">
        <v>0.18729999999999999</v>
      </c>
      <c r="AI508" s="162">
        <v>0.2102</v>
      </c>
      <c r="AJ508" s="162">
        <v>0.2331</v>
      </c>
      <c r="AK508" s="162">
        <v>0.25590000000000002</v>
      </c>
      <c r="AL508" s="162">
        <v>0.26040000000000002</v>
      </c>
      <c r="AM508" s="162">
        <v>0.26479999999999998</v>
      </c>
      <c r="AN508" s="162">
        <v>0.26919999999999999</v>
      </c>
      <c r="AO508" s="162">
        <v>0.27360000000000001</v>
      </c>
      <c r="AP508" s="162">
        <v>0.27800000000000002</v>
      </c>
      <c r="AQ508" s="162">
        <v>0.2742</v>
      </c>
      <c r="AR508" s="162">
        <v>0.27029999999999998</v>
      </c>
      <c r="AS508" s="162">
        <v>0.26640000000000003</v>
      </c>
      <c r="AT508" s="162">
        <v>0.2626</v>
      </c>
      <c r="AU508" s="162">
        <v>0.25869999999999999</v>
      </c>
    </row>
    <row r="509" spans="1:47" ht="12.75" customHeight="1">
      <c r="A509" s="459">
        <v>44456</v>
      </c>
      <c r="B509" s="139">
        <v>37</v>
      </c>
      <c r="C509" s="162">
        <v>-0.48430000000000001</v>
      </c>
      <c r="D509" s="162">
        <v>-0.48430000000000001</v>
      </c>
      <c r="E509" s="162">
        <v>-0.48559999999999998</v>
      </c>
      <c r="F509" s="162">
        <v>-0.48630000000000001</v>
      </c>
      <c r="G509" s="162">
        <v>-0.48649999999999999</v>
      </c>
      <c r="H509" s="162">
        <v>-0.48649999999999999</v>
      </c>
      <c r="I509" s="162">
        <v>-0.48709999999999998</v>
      </c>
      <c r="J509" s="162">
        <v>-0.48709999999999998</v>
      </c>
      <c r="K509" s="162">
        <v>-0.48670000000000002</v>
      </c>
      <c r="L509" s="162">
        <v>-0.48649999999999999</v>
      </c>
      <c r="M509" s="162">
        <v>-0.4864</v>
      </c>
      <c r="N509" s="162">
        <v>-0.48570000000000002</v>
      </c>
      <c r="O509" s="162">
        <v>-0.48530000000000001</v>
      </c>
      <c r="P509" s="162">
        <v>-0.4849</v>
      </c>
      <c r="Q509" s="162">
        <v>-0.48470000000000002</v>
      </c>
      <c r="R509" s="162">
        <v>-0.48409999999999997</v>
      </c>
      <c r="S509" s="162">
        <v>-0.46860000000000002</v>
      </c>
      <c r="T509" s="162">
        <v>-0.4365</v>
      </c>
      <c r="U509" s="162">
        <v>-0.39600000000000002</v>
      </c>
      <c r="V509" s="162">
        <v>-0.3518</v>
      </c>
      <c r="W509" s="162">
        <v>-0.29970000000000002</v>
      </c>
      <c r="X509" s="162">
        <v>-0.24199999999999999</v>
      </c>
      <c r="Y509" s="162">
        <v>-0.18060000000000001</v>
      </c>
      <c r="Z509" s="162">
        <v>-0.1181</v>
      </c>
      <c r="AA509" s="162">
        <v>-5.67E-2</v>
      </c>
      <c r="AB509" s="162">
        <v>1.6999999999999999E-3</v>
      </c>
      <c r="AC509" s="162">
        <v>5.6500000000000002E-2</v>
      </c>
      <c r="AD509" s="162">
        <v>0.1074</v>
      </c>
      <c r="AE509" s="162">
        <v>0.15329999999999999</v>
      </c>
      <c r="AF509" s="162">
        <v>0.19309999999999999</v>
      </c>
      <c r="AG509" s="162">
        <v>0.21629999999999999</v>
      </c>
      <c r="AH509" s="162">
        <v>0.23949999999999999</v>
      </c>
      <c r="AI509" s="162">
        <v>0.26269999999999999</v>
      </c>
      <c r="AJ509" s="162">
        <v>0.28599999999999998</v>
      </c>
      <c r="AK509" s="162">
        <v>0.30919999999999997</v>
      </c>
      <c r="AL509" s="162">
        <v>0.31359999999999999</v>
      </c>
      <c r="AM509" s="162">
        <v>0.318</v>
      </c>
      <c r="AN509" s="162">
        <v>0.32250000000000001</v>
      </c>
      <c r="AO509" s="162">
        <v>0.32690000000000002</v>
      </c>
      <c r="AP509" s="162">
        <v>0.33129999999999998</v>
      </c>
      <c r="AQ509" s="162">
        <v>0.32740000000000002</v>
      </c>
      <c r="AR509" s="162">
        <v>0.32340000000000002</v>
      </c>
      <c r="AS509" s="162">
        <v>0.31940000000000002</v>
      </c>
      <c r="AT509" s="162">
        <v>0.3155</v>
      </c>
      <c r="AU509" s="162">
        <v>0.3115</v>
      </c>
    </row>
    <row r="510" spans="1:47" ht="12.75" customHeight="1">
      <c r="A510" s="459">
        <v>44463</v>
      </c>
      <c r="B510" s="139">
        <v>38</v>
      </c>
      <c r="C510" s="162">
        <v>-0.48480000000000001</v>
      </c>
      <c r="D510" s="162">
        <v>-0.48480000000000001</v>
      </c>
      <c r="E510" s="162">
        <v>-0.48609999999999998</v>
      </c>
      <c r="F510" s="162">
        <v>-0.4854</v>
      </c>
      <c r="G510" s="162">
        <v>-0.48580000000000001</v>
      </c>
      <c r="H510" s="162">
        <v>-0.48559999999999998</v>
      </c>
      <c r="I510" s="162">
        <v>-0.4864</v>
      </c>
      <c r="J510" s="162">
        <v>-0.48599999999999999</v>
      </c>
      <c r="K510" s="162">
        <v>-0.48620000000000002</v>
      </c>
      <c r="L510" s="162">
        <v>-0.48599999999999999</v>
      </c>
      <c r="M510" s="162">
        <v>-0.48530000000000001</v>
      </c>
      <c r="N510" s="162">
        <v>-0.48409999999999997</v>
      </c>
      <c r="O510" s="162">
        <v>-0.48370000000000002</v>
      </c>
      <c r="P510" s="162">
        <v>-0.48259999999999997</v>
      </c>
      <c r="Q510" s="162">
        <v>-0.48149999999999998</v>
      </c>
      <c r="R510" s="162">
        <v>-0.48010000000000003</v>
      </c>
      <c r="S510" s="162">
        <v>-0.45900000000000002</v>
      </c>
      <c r="T510" s="162">
        <v>-0.41870000000000002</v>
      </c>
      <c r="U510" s="162">
        <v>-0.37559999999999999</v>
      </c>
      <c r="V510" s="162">
        <v>-0.3276</v>
      </c>
      <c r="W510" s="162">
        <v>-0.27289999999999998</v>
      </c>
      <c r="X510" s="162">
        <v>-0.21229999999999999</v>
      </c>
      <c r="Y510" s="162">
        <v>-0.1497</v>
      </c>
      <c r="Z510" s="162">
        <v>-8.5900000000000004E-2</v>
      </c>
      <c r="AA510" s="162">
        <v>-2.3800000000000002E-2</v>
      </c>
      <c r="AB510" s="162">
        <v>3.5200000000000002E-2</v>
      </c>
      <c r="AC510" s="162">
        <v>8.9700000000000002E-2</v>
      </c>
      <c r="AD510" s="162">
        <v>0.14149999999999999</v>
      </c>
      <c r="AE510" s="162">
        <v>0.18740000000000001</v>
      </c>
      <c r="AF510" s="162">
        <v>0.22689999999999999</v>
      </c>
      <c r="AG510" s="162">
        <v>0.25040000000000001</v>
      </c>
      <c r="AH510" s="162">
        <v>0.27389999999999998</v>
      </c>
      <c r="AI510" s="162">
        <v>0.2974</v>
      </c>
      <c r="AJ510" s="162">
        <v>0.32090000000000002</v>
      </c>
      <c r="AK510" s="162">
        <v>0.34439999999999998</v>
      </c>
      <c r="AL510" s="162">
        <v>0.3493</v>
      </c>
      <c r="AM510" s="162">
        <v>0.35420000000000001</v>
      </c>
      <c r="AN510" s="162">
        <v>0.35909999999999997</v>
      </c>
      <c r="AO510" s="162">
        <v>0.36399999999999999</v>
      </c>
      <c r="AP510" s="162">
        <v>0.36890000000000001</v>
      </c>
      <c r="AQ510" s="162">
        <v>0.36530000000000001</v>
      </c>
      <c r="AR510" s="162">
        <v>0.36159999999999998</v>
      </c>
      <c r="AS510" s="162">
        <v>0.3579</v>
      </c>
      <c r="AT510" s="162">
        <v>0.3543</v>
      </c>
      <c r="AU510" s="162">
        <v>0.35060000000000002</v>
      </c>
    </row>
    <row r="511" spans="1:47" ht="12.75" customHeight="1">
      <c r="A511" s="459">
        <v>44470</v>
      </c>
      <c r="B511" s="139">
        <v>39</v>
      </c>
      <c r="C511" s="162">
        <v>-0.48330000000000001</v>
      </c>
      <c r="D511" s="162">
        <v>-0.48330000000000001</v>
      </c>
      <c r="E511" s="162">
        <v>-0.48620000000000002</v>
      </c>
      <c r="F511" s="162">
        <v>-0.48620000000000002</v>
      </c>
      <c r="G511" s="162">
        <v>-0.48509999999999998</v>
      </c>
      <c r="H511" s="162">
        <v>-0.48599999999999999</v>
      </c>
      <c r="I511" s="162">
        <v>-0.48599999999999999</v>
      </c>
      <c r="J511" s="162">
        <v>-0.48609999999999998</v>
      </c>
      <c r="K511" s="162">
        <v>-0.4849</v>
      </c>
      <c r="L511" s="162">
        <v>-0.48449999999999999</v>
      </c>
      <c r="M511" s="162">
        <v>-0.48530000000000001</v>
      </c>
      <c r="N511" s="162">
        <v>-0.48459999999999998</v>
      </c>
      <c r="O511" s="162">
        <v>-0.48430000000000001</v>
      </c>
      <c r="P511" s="162">
        <v>-0.4829</v>
      </c>
      <c r="Q511" s="162">
        <v>-0.48149999999999998</v>
      </c>
      <c r="R511" s="162">
        <v>-0.4793</v>
      </c>
      <c r="S511" s="162">
        <v>-0.45550000000000002</v>
      </c>
      <c r="T511" s="162">
        <v>-0.41220000000000001</v>
      </c>
      <c r="U511" s="162">
        <v>-0.36359999999999998</v>
      </c>
      <c r="V511" s="162">
        <v>-0.30909999999999999</v>
      </c>
      <c r="W511" s="162">
        <v>-0.25090000000000001</v>
      </c>
      <c r="X511" s="162">
        <v>-0.19040000000000001</v>
      </c>
      <c r="Y511" s="162">
        <v>-0.12820000000000001</v>
      </c>
      <c r="Z511" s="162">
        <v>-6.6400000000000001E-2</v>
      </c>
      <c r="AA511" s="162">
        <v>-5.4000000000000003E-3</v>
      </c>
      <c r="AB511" s="162">
        <v>5.0999999999999997E-2</v>
      </c>
      <c r="AC511" s="162">
        <v>0.1057</v>
      </c>
      <c r="AD511" s="162">
        <v>0.15620000000000001</v>
      </c>
      <c r="AE511" s="162">
        <v>0.2014</v>
      </c>
      <c r="AF511" s="162">
        <v>0.24079999999999999</v>
      </c>
      <c r="AG511" s="162">
        <v>0.26329999999999998</v>
      </c>
      <c r="AH511" s="162">
        <v>0.2858</v>
      </c>
      <c r="AI511" s="162">
        <v>0.30830000000000002</v>
      </c>
      <c r="AJ511" s="162">
        <v>0.33069999999999999</v>
      </c>
      <c r="AK511" s="162">
        <v>0.35320000000000001</v>
      </c>
      <c r="AL511" s="162">
        <v>0.35749999999999998</v>
      </c>
      <c r="AM511" s="162">
        <v>0.3619</v>
      </c>
      <c r="AN511" s="162">
        <v>0.36620000000000003</v>
      </c>
      <c r="AO511" s="162">
        <v>0.3705</v>
      </c>
      <c r="AP511" s="162">
        <v>0.37480000000000002</v>
      </c>
      <c r="AQ511" s="162">
        <v>0.37090000000000001</v>
      </c>
      <c r="AR511" s="162">
        <v>0.36699999999999999</v>
      </c>
      <c r="AS511" s="162">
        <v>0.36309999999999998</v>
      </c>
      <c r="AT511" s="162">
        <v>0.35930000000000001</v>
      </c>
      <c r="AU511" s="162">
        <v>0.35539999999999999</v>
      </c>
    </row>
    <row r="512" spans="1:47" ht="12.75" customHeight="1">
      <c r="A512" s="459">
        <v>44477</v>
      </c>
      <c r="B512" s="139">
        <v>40</v>
      </c>
      <c r="C512" s="162">
        <v>-0.48899999999999999</v>
      </c>
      <c r="D512" s="162">
        <v>-0.48899999999999999</v>
      </c>
      <c r="E512" s="162">
        <v>-0.48620000000000002</v>
      </c>
      <c r="F512" s="162">
        <v>-0.4859</v>
      </c>
      <c r="G512" s="162">
        <v>-0.48620000000000002</v>
      </c>
      <c r="H512" s="162">
        <v>-0.48509999999999998</v>
      </c>
      <c r="I512" s="162">
        <v>-0.4849</v>
      </c>
      <c r="J512" s="162">
        <v>-0.48530000000000001</v>
      </c>
      <c r="K512" s="162">
        <v>-0.48499999999999999</v>
      </c>
      <c r="L512" s="162">
        <v>-0.48449999999999999</v>
      </c>
      <c r="M512" s="162">
        <v>-0.48430000000000001</v>
      </c>
      <c r="N512" s="162">
        <v>-0.4839</v>
      </c>
      <c r="O512" s="162">
        <v>-0.48280000000000001</v>
      </c>
      <c r="P512" s="162">
        <v>-0.48149999999999998</v>
      </c>
      <c r="Q512" s="162">
        <v>-0.4803</v>
      </c>
      <c r="R512" s="162">
        <v>-0.47860000000000003</v>
      </c>
      <c r="S512" s="162">
        <v>-0.44719999999999999</v>
      </c>
      <c r="T512" s="162">
        <v>-0.39439999999999997</v>
      </c>
      <c r="U512" s="162">
        <v>-0.33210000000000001</v>
      </c>
      <c r="V512" s="162">
        <v>-0.26529999999999998</v>
      </c>
      <c r="W512" s="162">
        <v>-0.1988</v>
      </c>
      <c r="X512" s="162">
        <v>-0.12989999999999999</v>
      </c>
      <c r="Y512" s="162">
        <v>-6.25E-2</v>
      </c>
      <c r="Z512" s="162">
        <v>5.3E-3</v>
      </c>
      <c r="AA512" s="162">
        <v>6.7400000000000002E-2</v>
      </c>
      <c r="AB512" s="162">
        <v>0.12479999999999999</v>
      </c>
      <c r="AC512" s="162">
        <v>0.17879999999999999</v>
      </c>
      <c r="AD512" s="162">
        <v>0.22770000000000001</v>
      </c>
      <c r="AE512" s="162">
        <v>0.27210000000000001</v>
      </c>
      <c r="AF512" s="162">
        <v>0.31259999999999999</v>
      </c>
      <c r="AG512" s="162">
        <v>0.33439999999999998</v>
      </c>
      <c r="AH512" s="162">
        <v>0.35630000000000001</v>
      </c>
      <c r="AI512" s="162">
        <v>0.37809999999999999</v>
      </c>
      <c r="AJ512" s="162">
        <v>0.4</v>
      </c>
      <c r="AK512" s="162">
        <v>0.42180000000000001</v>
      </c>
      <c r="AL512" s="162">
        <v>0.42580000000000001</v>
      </c>
      <c r="AM512" s="162">
        <v>0.42970000000000003</v>
      </c>
      <c r="AN512" s="162">
        <v>0.43369999999999997</v>
      </c>
      <c r="AO512" s="162">
        <v>0.43759999999999999</v>
      </c>
      <c r="AP512" s="162">
        <v>0.44159999999999999</v>
      </c>
      <c r="AQ512" s="162">
        <v>0.43759999999999999</v>
      </c>
      <c r="AR512" s="162">
        <v>0.43359999999999999</v>
      </c>
      <c r="AS512" s="162">
        <v>0.42959999999999998</v>
      </c>
      <c r="AT512" s="162">
        <v>0.42559999999999998</v>
      </c>
      <c r="AU512" s="162">
        <v>0.42159999999999997</v>
      </c>
    </row>
    <row r="513" spans="1:47" ht="12.75" customHeight="1">
      <c r="A513" s="459">
        <v>44484</v>
      </c>
      <c r="B513" s="139">
        <v>41</v>
      </c>
      <c r="C513" s="162">
        <v>-0.48380000000000001</v>
      </c>
      <c r="D513" s="162">
        <v>-0.48380000000000001</v>
      </c>
      <c r="E513" s="162">
        <v>-0.48499999999999999</v>
      </c>
      <c r="F513" s="162">
        <v>-0.48399999999999999</v>
      </c>
      <c r="G513" s="162">
        <v>-0.48459999999999998</v>
      </c>
      <c r="H513" s="162">
        <v>-0.48180000000000001</v>
      </c>
      <c r="I513" s="162">
        <v>-0.48449999999999999</v>
      </c>
      <c r="J513" s="162">
        <v>-0.4849</v>
      </c>
      <c r="K513" s="162">
        <v>-0.48110000000000003</v>
      </c>
      <c r="L513" s="162">
        <v>-0.48299999999999998</v>
      </c>
      <c r="M513" s="162">
        <v>-0.48230000000000001</v>
      </c>
      <c r="N513" s="162">
        <v>-0.48139999999999999</v>
      </c>
      <c r="O513" s="162">
        <v>-0.47920000000000001</v>
      </c>
      <c r="P513" s="162">
        <v>-0.47749999999999998</v>
      </c>
      <c r="Q513" s="162">
        <v>-0.47539999999999999</v>
      </c>
      <c r="R513" s="162">
        <v>-0.47260000000000002</v>
      </c>
      <c r="S513" s="162">
        <v>-0.4415</v>
      </c>
      <c r="T513" s="162">
        <v>-0.38529999999999998</v>
      </c>
      <c r="U513" s="162">
        <v>-0.31940000000000002</v>
      </c>
      <c r="V513" s="162">
        <v>-0.2492</v>
      </c>
      <c r="W513" s="162">
        <v>-0.17799999999999999</v>
      </c>
      <c r="X513" s="162">
        <v>-0.10630000000000001</v>
      </c>
      <c r="Y513" s="162">
        <v>-3.5099999999999999E-2</v>
      </c>
      <c r="Z513" s="162">
        <v>3.5099999999999999E-2</v>
      </c>
      <c r="AA513" s="162">
        <v>0.1007</v>
      </c>
      <c r="AB513" s="162">
        <v>0.16139999999999999</v>
      </c>
      <c r="AC513" s="162">
        <v>0.21679999999999999</v>
      </c>
      <c r="AD513" s="162">
        <v>0.26800000000000002</v>
      </c>
      <c r="AE513" s="162">
        <v>0.31309999999999999</v>
      </c>
      <c r="AF513" s="162">
        <v>0.35310000000000002</v>
      </c>
      <c r="AG513" s="162">
        <v>0.37619999999999998</v>
      </c>
      <c r="AH513" s="162">
        <v>0.39939999999999998</v>
      </c>
      <c r="AI513" s="162">
        <v>0.42249999999999999</v>
      </c>
      <c r="AJ513" s="162">
        <v>0.44569999999999999</v>
      </c>
      <c r="AK513" s="162">
        <v>0.46879999999999999</v>
      </c>
      <c r="AL513" s="162">
        <v>0.47389999999999999</v>
      </c>
      <c r="AM513" s="162">
        <v>0.47899999999999998</v>
      </c>
      <c r="AN513" s="162">
        <v>0.48420000000000002</v>
      </c>
      <c r="AO513" s="162">
        <v>0.48930000000000001</v>
      </c>
      <c r="AP513" s="162">
        <v>0.49440000000000001</v>
      </c>
      <c r="AQ513" s="162">
        <v>0.49120000000000003</v>
      </c>
      <c r="AR513" s="162">
        <v>0.48809999999999998</v>
      </c>
      <c r="AS513" s="162">
        <v>0.4849</v>
      </c>
      <c r="AT513" s="162">
        <v>0.48170000000000002</v>
      </c>
      <c r="AU513" s="162">
        <v>0.47860000000000003</v>
      </c>
    </row>
    <row r="514" spans="1:47" ht="12.75" customHeight="1">
      <c r="A514" s="459">
        <v>44491</v>
      </c>
      <c r="B514" s="139">
        <v>42</v>
      </c>
      <c r="C514" s="162">
        <v>-0.48280000000000001</v>
      </c>
      <c r="D514" s="162">
        <v>-0.48280000000000001</v>
      </c>
      <c r="E514" s="162">
        <v>-0.48559999999999998</v>
      </c>
      <c r="F514" s="162">
        <v>-0.48509999999999998</v>
      </c>
      <c r="G514" s="162">
        <v>-0.4849</v>
      </c>
      <c r="H514" s="162">
        <v>-0.48370000000000002</v>
      </c>
      <c r="I514" s="162">
        <v>-0.48459999999999998</v>
      </c>
      <c r="J514" s="162">
        <v>-0.48420000000000002</v>
      </c>
      <c r="K514" s="162">
        <v>-0.47739999999999999</v>
      </c>
      <c r="L514" s="162">
        <v>-0.48280000000000001</v>
      </c>
      <c r="M514" s="162">
        <v>-0.48099999999999998</v>
      </c>
      <c r="N514" s="162">
        <v>-0.47720000000000001</v>
      </c>
      <c r="O514" s="162">
        <v>-0.47760000000000002</v>
      </c>
      <c r="P514" s="162">
        <v>-0.47410000000000002</v>
      </c>
      <c r="Q514" s="162">
        <v>-0.47199999999999998</v>
      </c>
      <c r="R514" s="162">
        <v>-0.46800000000000003</v>
      </c>
      <c r="S514" s="162">
        <v>-0.40860000000000002</v>
      </c>
      <c r="T514" s="162">
        <v>-0.33019999999999999</v>
      </c>
      <c r="U514" s="162">
        <v>-0.255</v>
      </c>
      <c r="V514" s="162">
        <v>-0.18260000000000001</v>
      </c>
      <c r="W514" s="162">
        <v>-0.11070000000000001</v>
      </c>
      <c r="X514" s="162">
        <v>-3.95E-2</v>
      </c>
      <c r="Y514" s="162">
        <v>2.81E-2</v>
      </c>
      <c r="Z514" s="162">
        <v>9.4200000000000006E-2</v>
      </c>
      <c r="AA514" s="162">
        <v>0.15690000000000001</v>
      </c>
      <c r="AB514" s="162">
        <v>0.21360000000000001</v>
      </c>
      <c r="AC514" s="162">
        <v>0.26669999999999999</v>
      </c>
      <c r="AD514" s="162">
        <v>0.3165</v>
      </c>
      <c r="AE514" s="162">
        <v>0.35970000000000002</v>
      </c>
      <c r="AF514" s="162">
        <v>0.39560000000000001</v>
      </c>
      <c r="AG514" s="162">
        <v>0.4168</v>
      </c>
      <c r="AH514" s="162">
        <v>0.438</v>
      </c>
      <c r="AI514" s="162">
        <v>0.45910000000000001</v>
      </c>
      <c r="AJ514" s="162">
        <v>0.4803</v>
      </c>
      <c r="AK514" s="162">
        <v>0.50149999999999995</v>
      </c>
      <c r="AL514" s="162">
        <v>0.50509999999999999</v>
      </c>
      <c r="AM514" s="162">
        <v>0.50860000000000005</v>
      </c>
      <c r="AN514" s="162">
        <v>0.5121</v>
      </c>
      <c r="AO514" s="162">
        <v>0.51559999999999995</v>
      </c>
      <c r="AP514" s="162">
        <v>0.51919999999999999</v>
      </c>
      <c r="AQ514" s="162">
        <v>0.51470000000000005</v>
      </c>
      <c r="AR514" s="162">
        <v>0.51029999999999998</v>
      </c>
      <c r="AS514" s="162">
        <v>0.50590000000000002</v>
      </c>
      <c r="AT514" s="162">
        <v>0.50149999999999995</v>
      </c>
      <c r="AU514" s="162">
        <v>0.49709999999999999</v>
      </c>
    </row>
    <row r="515" spans="1:47" ht="12.75" customHeight="1">
      <c r="A515" s="459">
        <v>44498</v>
      </c>
      <c r="B515" s="139">
        <v>43</v>
      </c>
      <c r="C515" s="162">
        <v>-0.48780000000000001</v>
      </c>
      <c r="D515" s="162">
        <v>-0.48780000000000001</v>
      </c>
      <c r="E515" s="162">
        <v>-0.48499999999999999</v>
      </c>
      <c r="F515" s="162">
        <v>-0.48499999999999999</v>
      </c>
      <c r="G515" s="162">
        <v>-0.48499999999999999</v>
      </c>
      <c r="H515" s="162">
        <v>-0.48370000000000002</v>
      </c>
      <c r="I515" s="162">
        <v>-0.48430000000000001</v>
      </c>
      <c r="J515" s="162">
        <v>-0.48309999999999997</v>
      </c>
      <c r="K515" s="162">
        <v>-0.4793</v>
      </c>
      <c r="L515" s="162">
        <v>-0.47910000000000003</v>
      </c>
      <c r="M515" s="162">
        <v>-0.47320000000000001</v>
      </c>
      <c r="N515" s="162">
        <v>-0.4738</v>
      </c>
      <c r="O515" s="162">
        <v>-0.47020000000000001</v>
      </c>
      <c r="P515" s="162">
        <v>-0.46810000000000002</v>
      </c>
      <c r="Q515" s="162">
        <v>-0.46460000000000001</v>
      </c>
      <c r="R515" s="162">
        <v>-0.45850000000000002</v>
      </c>
      <c r="S515" s="162">
        <v>-0.37059999999999998</v>
      </c>
      <c r="T515" s="162">
        <v>-0.27450000000000002</v>
      </c>
      <c r="U515" s="162">
        <v>-0.2014</v>
      </c>
      <c r="V515" s="162">
        <v>-0.128</v>
      </c>
      <c r="W515" s="162">
        <v>-6.3799999999999996E-2</v>
      </c>
      <c r="X515" s="162">
        <v>-4.0000000000000002E-4</v>
      </c>
      <c r="Y515" s="162">
        <v>6.13E-2</v>
      </c>
      <c r="Z515" s="162">
        <v>0.1196</v>
      </c>
      <c r="AA515" s="162">
        <v>0.17249999999999999</v>
      </c>
      <c r="AB515" s="162">
        <v>0.2243</v>
      </c>
      <c r="AC515" s="162">
        <v>0.26719999999999999</v>
      </c>
      <c r="AD515" s="162">
        <v>0.31740000000000002</v>
      </c>
      <c r="AE515" s="162">
        <v>0.35420000000000001</v>
      </c>
      <c r="AF515" s="162">
        <v>0.37909999999999999</v>
      </c>
      <c r="AG515" s="162">
        <v>0.39529999999999998</v>
      </c>
      <c r="AH515" s="162">
        <v>0.41160000000000002</v>
      </c>
      <c r="AI515" s="162">
        <v>0.4279</v>
      </c>
      <c r="AJ515" s="162">
        <v>0.44419999999999998</v>
      </c>
      <c r="AK515" s="162">
        <v>0.46050000000000002</v>
      </c>
      <c r="AL515" s="162">
        <v>0.4602</v>
      </c>
      <c r="AM515" s="162">
        <v>0.45989999999999998</v>
      </c>
      <c r="AN515" s="162">
        <v>0.45960000000000001</v>
      </c>
      <c r="AO515" s="162">
        <v>0.45939999999999998</v>
      </c>
      <c r="AP515" s="162">
        <v>0.45910000000000001</v>
      </c>
      <c r="AQ515" s="162">
        <v>0.45169999999999999</v>
      </c>
      <c r="AR515" s="162">
        <v>0.44429999999999997</v>
      </c>
      <c r="AS515" s="162">
        <v>0.43690000000000001</v>
      </c>
      <c r="AT515" s="162">
        <v>0.4294</v>
      </c>
      <c r="AU515" s="162">
        <v>0.42199999999999999</v>
      </c>
    </row>
    <row r="516" spans="1:47" ht="12.75" customHeight="1">
      <c r="A516" s="459">
        <v>44505</v>
      </c>
      <c r="B516" s="139">
        <v>44</v>
      </c>
      <c r="C516" s="162">
        <v>-0.57179999999999997</v>
      </c>
      <c r="D516" s="162">
        <v>-0.57179999999999997</v>
      </c>
      <c r="E516" s="162">
        <v>-0.56979999999999997</v>
      </c>
      <c r="F516" s="162">
        <v>-0.56969999999999998</v>
      </c>
      <c r="G516" s="162">
        <v>-0.5696</v>
      </c>
      <c r="H516" s="162">
        <v>-0.56979999999999997</v>
      </c>
      <c r="I516" s="162">
        <v>-0.56869999999999998</v>
      </c>
      <c r="J516" s="162">
        <v>-0.56869999999999998</v>
      </c>
      <c r="K516" s="162">
        <v>-0.56610000000000005</v>
      </c>
      <c r="L516" s="162">
        <v>-0.56240000000000001</v>
      </c>
      <c r="M516" s="162">
        <v>-0.55959999999999999</v>
      </c>
      <c r="N516" s="162">
        <v>-0.55579999999999996</v>
      </c>
      <c r="O516" s="162">
        <v>-0.55149999999999999</v>
      </c>
      <c r="P516" s="162">
        <v>-0.5454</v>
      </c>
      <c r="Q516" s="162">
        <v>-0.53859999999999997</v>
      </c>
      <c r="R516" s="162">
        <v>-0.53220000000000001</v>
      </c>
      <c r="S516" s="162">
        <v>-0.41589999999999999</v>
      </c>
      <c r="T516" s="162">
        <v>-0.32450000000000001</v>
      </c>
      <c r="U516" s="162">
        <v>-0.26219999999999999</v>
      </c>
      <c r="V516" s="162">
        <v>-0.20669999999999999</v>
      </c>
      <c r="W516" s="162">
        <v>-0.15210000000000001</v>
      </c>
      <c r="X516" s="162">
        <v>-9.7600000000000006E-2</v>
      </c>
      <c r="Y516" s="162">
        <v>-4.3400000000000001E-2</v>
      </c>
      <c r="Z516" s="162">
        <v>9.4000000000000004E-3</v>
      </c>
      <c r="AA516" s="162">
        <v>5.7200000000000001E-2</v>
      </c>
      <c r="AB516" s="162">
        <v>0.1008</v>
      </c>
      <c r="AC516" s="162">
        <v>0.14030000000000001</v>
      </c>
      <c r="AD516" s="162">
        <v>0.17630000000000001</v>
      </c>
      <c r="AE516" s="162">
        <v>0.20860000000000001</v>
      </c>
      <c r="AF516" s="162">
        <v>0.23549999999999999</v>
      </c>
      <c r="AG516" s="162">
        <v>0.24829999999999999</v>
      </c>
      <c r="AH516" s="162">
        <v>0.2611</v>
      </c>
      <c r="AI516" s="162">
        <v>0.27400000000000002</v>
      </c>
      <c r="AJ516" s="162">
        <v>0.2868</v>
      </c>
      <c r="AK516" s="162">
        <v>0.29959999999999998</v>
      </c>
      <c r="AL516" s="162">
        <v>0.30020000000000002</v>
      </c>
      <c r="AM516" s="162">
        <v>0.2994</v>
      </c>
      <c r="AN516" s="162">
        <v>0.29620000000000002</v>
      </c>
      <c r="AO516" s="162">
        <v>0.2918</v>
      </c>
      <c r="AP516" s="162">
        <v>0.28570000000000001</v>
      </c>
      <c r="AQ516" s="162">
        <v>0.27700000000000002</v>
      </c>
      <c r="AR516" s="162">
        <v>0.26790000000000003</v>
      </c>
      <c r="AS516" s="162">
        <v>0.2576</v>
      </c>
      <c r="AT516" s="162">
        <v>0.24779999999999999</v>
      </c>
      <c r="AU516" s="162">
        <v>0.23780000000000001</v>
      </c>
    </row>
    <row r="517" spans="1:47" ht="12.75" customHeight="1">
      <c r="A517" s="459">
        <v>44512</v>
      </c>
      <c r="B517" s="139">
        <v>45</v>
      </c>
      <c r="C517" s="162">
        <v>-0.57379999999999998</v>
      </c>
      <c r="D517" s="162">
        <v>-0.57379999999999998</v>
      </c>
      <c r="E517" s="162">
        <v>-0.5706</v>
      </c>
      <c r="F517" s="162">
        <v>-0.57069999999999999</v>
      </c>
      <c r="G517" s="162">
        <v>-0.57069999999999999</v>
      </c>
      <c r="H517" s="162">
        <v>-0.57069999999999999</v>
      </c>
      <c r="I517" s="162">
        <v>-0.57030000000000003</v>
      </c>
      <c r="J517" s="162">
        <v>-0.56969999999999998</v>
      </c>
      <c r="K517" s="162">
        <v>-0.56699999999999995</v>
      </c>
      <c r="L517" s="162">
        <v>-0.56469999999999998</v>
      </c>
      <c r="M517" s="162">
        <v>-0.56330000000000002</v>
      </c>
      <c r="N517" s="162">
        <v>-0.5605</v>
      </c>
      <c r="O517" s="162">
        <v>-0.55620000000000003</v>
      </c>
      <c r="P517" s="162">
        <v>-0.55079999999999996</v>
      </c>
      <c r="Q517" s="162">
        <v>-0.54659999999999997</v>
      </c>
      <c r="R517" s="162">
        <v>-0.53739999999999999</v>
      </c>
      <c r="S517" s="162">
        <v>-0.42959999999999998</v>
      </c>
      <c r="T517" s="162">
        <v>-0.35089999999999999</v>
      </c>
      <c r="U517" s="162">
        <v>-0.29210000000000003</v>
      </c>
      <c r="V517" s="162">
        <v>-0.24610000000000001</v>
      </c>
      <c r="W517" s="162">
        <v>-0.19819999999999999</v>
      </c>
      <c r="X517" s="162">
        <v>-0.14810000000000001</v>
      </c>
      <c r="Y517" s="162">
        <v>-9.4500000000000001E-2</v>
      </c>
      <c r="Z517" s="162">
        <v>-4.0500000000000001E-2</v>
      </c>
      <c r="AA517" s="162">
        <v>9.4999999999999998E-3</v>
      </c>
      <c r="AB517" s="162">
        <v>5.5399999999999998E-2</v>
      </c>
      <c r="AC517" s="162">
        <v>9.5699999999999993E-2</v>
      </c>
      <c r="AD517" s="162">
        <v>0.13250000000000001</v>
      </c>
      <c r="AE517" s="162">
        <v>0.16389999999999999</v>
      </c>
      <c r="AF517" s="162">
        <v>0.1893</v>
      </c>
      <c r="AG517" s="162">
        <v>0.2014</v>
      </c>
      <c r="AH517" s="162">
        <v>0.2135</v>
      </c>
      <c r="AI517" s="162">
        <v>0.22559999999999999</v>
      </c>
      <c r="AJ517" s="162">
        <v>0.23769999999999999</v>
      </c>
      <c r="AK517" s="162">
        <v>0.24979999999999999</v>
      </c>
      <c r="AL517" s="162">
        <v>0.25190000000000001</v>
      </c>
      <c r="AM517" s="162">
        <v>0.25180000000000002</v>
      </c>
      <c r="AN517" s="162">
        <v>0.25</v>
      </c>
      <c r="AO517" s="162">
        <v>0.24679999999999999</v>
      </c>
      <c r="AP517" s="162">
        <v>0.24179999999999999</v>
      </c>
      <c r="AQ517" s="162">
        <v>0.23730000000000001</v>
      </c>
      <c r="AR517" s="162">
        <v>0.2301</v>
      </c>
      <c r="AS517" s="162">
        <v>0.2223</v>
      </c>
      <c r="AT517" s="162">
        <v>0.21410000000000001</v>
      </c>
      <c r="AU517" s="162">
        <v>0.20469999999999999</v>
      </c>
    </row>
    <row r="518" spans="1:47" ht="12.75" customHeight="1">
      <c r="A518" s="459">
        <v>44519</v>
      </c>
      <c r="B518" s="139">
        <v>46</v>
      </c>
      <c r="C518" s="162">
        <v>-0.57530000000000003</v>
      </c>
      <c r="D518" s="162">
        <v>-0.57530000000000003</v>
      </c>
      <c r="E518" s="162">
        <v>-0.57240000000000002</v>
      </c>
      <c r="F518" s="162">
        <v>-0.57240000000000002</v>
      </c>
      <c r="G518" s="162">
        <v>-0.5726</v>
      </c>
      <c r="H518" s="162">
        <v>-0.57230000000000003</v>
      </c>
      <c r="I518" s="162">
        <v>-0.57240000000000002</v>
      </c>
      <c r="J518" s="162">
        <v>-0.57189999999999996</v>
      </c>
      <c r="K518" s="162">
        <v>-0.57030000000000003</v>
      </c>
      <c r="L518" s="162">
        <v>-0.56759999999999999</v>
      </c>
      <c r="M518" s="162">
        <v>-0.56950000000000001</v>
      </c>
      <c r="N518" s="162">
        <v>-0.56830000000000003</v>
      </c>
      <c r="O518" s="162">
        <v>-0.55779999999999996</v>
      </c>
      <c r="P518" s="162">
        <v>-0.55179999999999996</v>
      </c>
      <c r="Q518" s="162">
        <v>-0.54830000000000001</v>
      </c>
      <c r="R518" s="162">
        <v>-0.53539999999999999</v>
      </c>
      <c r="S518" s="162">
        <v>-0.42499999999999999</v>
      </c>
      <c r="T518" s="162">
        <v>-0.33429999999999999</v>
      </c>
      <c r="U518" s="162">
        <v>-0.28460000000000002</v>
      </c>
      <c r="V518" s="162">
        <v>-0.246</v>
      </c>
      <c r="W518" s="162">
        <v>-0.20749999999999999</v>
      </c>
      <c r="X518" s="162">
        <v>-0.1628</v>
      </c>
      <c r="Y518" s="162">
        <v>-0.1143</v>
      </c>
      <c r="Z518" s="162">
        <v>-6.3100000000000003E-2</v>
      </c>
      <c r="AA518" s="162">
        <v>-1.46E-2</v>
      </c>
      <c r="AB518" s="162">
        <v>2.76E-2</v>
      </c>
      <c r="AC518" s="162">
        <v>6.6600000000000006E-2</v>
      </c>
      <c r="AD518" s="162">
        <v>0.1012</v>
      </c>
      <c r="AE518" s="162">
        <v>0.13020000000000001</v>
      </c>
      <c r="AF518" s="162">
        <v>0.15279999999999999</v>
      </c>
      <c r="AG518" s="162">
        <v>0.16309999999999999</v>
      </c>
      <c r="AH518" s="162">
        <v>0.1734</v>
      </c>
      <c r="AI518" s="162">
        <v>0.1837</v>
      </c>
      <c r="AJ518" s="162">
        <v>0.19400000000000001</v>
      </c>
      <c r="AK518" s="162">
        <v>0.20430000000000001</v>
      </c>
      <c r="AL518" s="162">
        <v>0.2051</v>
      </c>
      <c r="AM518" s="162">
        <v>0.20430000000000001</v>
      </c>
      <c r="AN518" s="162">
        <v>0.20180000000000001</v>
      </c>
      <c r="AO518" s="162">
        <v>0.19700000000000001</v>
      </c>
      <c r="AP518" s="162">
        <v>0.191</v>
      </c>
      <c r="AQ518" s="162">
        <v>0.1842</v>
      </c>
      <c r="AR518" s="162">
        <v>0.17610000000000001</v>
      </c>
      <c r="AS518" s="162">
        <v>0.16769999999999999</v>
      </c>
      <c r="AT518" s="162">
        <v>0.15890000000000001</v>
      </c>
      <c r="AU518" s="162">
        <v>0.15060000000000001</v>
      </c>
    </row>
    <row r="519" spans="1:47" ht="12.75" customHeight="1">
      <c r="A519" s="459">
        <v>44526</v>
      </c>
      <c r="B519" s="139">
        <v>47</v>
      </c>
      <c r="C519" s="162">
        <v>-0.57050000000000001</v>
      </c>
      <c r="D519" s="162">
        <v>-0.57050000000000001</v>
      </c>
      <c r="E519" s="162">
        <v>-0.57450000000000001</v>
      </c>
      <c r="F519" s="162">
        <v>-0.5746</v>
      </c>
      <c r="G519" s="162">
        <v>-0.57450000000000001</v>
      </c>
      <c r="H519" s="162">
        <v>-0.57410000000000005</v>
      </c>
      <c r="I519" s="162">
        <v>-0.57420000000000004</v>
      </c>
      <c r="J519" s="162">
        <v>-0.5736</v>
      </c>
      <c r="K519" s="162">
        <v>-0.57150000000000001</v>
      </c>
      <c r="L519" s="162">
        <v>-0.56969999999999998</v>
      </c>
      <c r="M519" s="162">
        <v>-0.56799999999999995</v>
      </c>
      <c r="N519" s="162">
        <v>-0.56599999999999995</v>
      </c>
      <c r="O519" s="162">
        <v>-0.56289999999999996</v>
      </c>
      <c r="P519" s="162">
        <v>-0.5605</v>
      </c>
      <c r="Q519" s="162">
        <v>-0.55649999999999999</v>
      </c>
      <c r="R519" s="162">
        <v>-0.55210000000000004</v>
      </c>
      <c r="S519" s="162">
        <v>-0.4531</v>
      </c>
      <c r="T519" s="162">
        <v>-0.36890000000000001</v>
      </c>
      <c r="U519" s="162">
        <v>-0.3115</v>
      </c>
      <c r="V519" s="162">
        <v>-0.26850000000000002</v>
      </c>
      <c r="W519" s="162">
        <v>-0.222</v>
      </c>
      <c r="X519" s="162">
        <v>-0.1716</v>
      </c>
      <c r="Y519" s="162">
        <v>-0.1179</v>
      </c>
      <c r="Z519" s="162">
        <v>-6.25E-2</v>
      </c>
      <c r="AA519" s="162">
        <v>-9.1000000000000004E-3</v>
      </c>
      <c r="AB519" s="162">
        <v>3.7499999999999999E-2</v>
      </c>
      <c r="AC519" s="162">
        <v>8.0500000000000002E-2</v>
      </c>
      <c r="AD519" s="162">
        <v>0.11700000000000001</v>
      </c>
      <c r="AE519" s="162">
        <v>0.14940000000000001</v>
      </c>
      <c r="AF519" s="162">
        <v>0.1767</v>
      </c>
      <c r="AG519" s="162">
        <v>0.189</v>
      </c>
      <c r="AH519" s="162">
        <v>0.20119999999999999</v>
      </c>
      <c r="AI519" s="162">
        <v>0.2135</v>
      </c>
      <c r="AJ519" s="162">
        <v>0.2258</v>
      </c>
      <c r="AK519" s="162">
        <v>0.23799999999999999</v>
      </c>
      <c r="AL519" s="162">
        <v>0.24160000000000001</v>
      </c>
      <c r="AM519" s="162">
        <v>0.2417</v>
      </c>
      <c r="AN519" s="162">
        <v>0.23910000000000001</v>
      </c>
      <c r="AO519" s="162">
        <v>0.23619999999999999</v>
      </c>
      <c r="AP519" s="162">
        <v>0.23039999999999999</v>
      </c>
      <c r="AQ519" s="162">
        <v>0.2248</v>
      </c>
      <c r="AR519" s="162">
        <v>0.21779999999999999</v>
      </c>
      <c r="AS519" s="162">
        <v>0.2104</v>
      </c>
      <c r="AT519" s="162">
        <v>0.20269999999999999</v>
      </c>
      <c r="AU519" s="162">
        <v>0.19400000000000001</v>
      </c>
    </row>
    <row r="520" spans="1:47" ht="12.75" customHeight="1">
      <c r="A520" s="459">
        <v>44533</v>
      </c>
      <c r="B520" s="139">
        <v>48</v>
      </c>
      <c r="C520" s="162">
        <v>-0.57250000000000001</v>
      </c>
      <c r="D520" s="162">
        <v>-0.57250000000000001</v>
      </c>
      <c r="E520" s="162">
        <v>-0.5786</v>
      </c>
      <c r="F520" s="162">
        <v>-0.57850000000000001</v>
      </c>
      <c r="G520" s="162">
        <v>-0.57799999999999996</v>
      </c>
      <c r="H520" s="162">
        <v>-0.57850000000000001</v>
      </c>
      <c r="I520" s="162">
        <v>-0.57830000000000004</v>
      </c>
      <c r="J520" s="162">
        <v>-0.57750000000000001</v>
      </c>
      <c r="K520" s="162">
        <v>-0.57320000000000004</v>
      </c>
      <c r="L520" s="162">
        <v>-0.57210000000000005</v>
      </c>
      <c r="M520" s="162">
        <v>-0.56910000000000005</v>
      </c>
      <c r="N520" s="162">
        <v>-0.56720000000000004</v>
      </c>
      <c r="O520" s="162">
        <v>-0.56330000000000002</v>
      </c>
      <c r="P520" s="162">
        <v>-0.56079999999999997</v>
      </c>
      <c r="Q520" s="162">
        <v>-0.55789999999999995</v>
      </c>
      <c r="R520" s="162">
        <v>-0.55279999999999996</v>
      </c>
      <c r="S520" s="162">
        <v>-0.46629999999999999</v>
      </c>
      <c r="T520" s="162">
        <v>-0.38</v>
      </c>
      <c r="U520" s="162">
        <v>-0.3196</v>
      </c>
      <c r="V520" s="162">
        <v>-0.27029999999999998</v>
      </c>
      <c r="W520" s="162">
        <v>-0.2205</v>
      </c>
      <c r="X520" s="162">
        <v>-0.1666</v>
      </c>
      <c r="Y520" s="162">
        <v>-0.10979999999999999</v>
      </c>
      <c r="Z520" s="162">
        <v>-5.0799999999999998E-2</v>
      </c>
      <c r="AA520" s="162">
        <v>6.7000000000000002E-3</v>
      </c>
      <c r="AB520" s="162">
        <v>5.6099999999999997E-2</v>
      </c>
      <c r="AC520" s="162">
        <v>0.10349999999999999</v>
      </c>
      <c r="AD520" s="162">
        <v>0.14230000000000001</v>
      </c>
      <c r="AE520" s="162">
        <v>0.17680000000000001</v>
      </c>
      <c r="AF520" s="162">
        <v>0.20649999999999999</v>
      </c>
      <c r="AG520" s="162">
        <v>0.21940000000000001</v>
      </c>
      <c r="AH520" s="162">
        <v>0.23219999999999999</v>
      </c>
      <c r="AI520" s="162">
        <v>0.245</v>
      </c>
      <c r="AJ520" s="162">
        <v>0.25790000000000002</v>
      </c>
      <c r="AK520" s="162">
        <v>0.2707</v>
      </c>
      <c r="AL520" s="162">
        <v>0.27160000000000001</v>
      </c>
      <c r="AM520" s="162">
        <v>0.27160000000000001</v>
      </c>
      <c r="AN520" s="162">
        <v>0.26919999999999999</v>
      </c>
      <c r="AO520" s="162">
        <v>0.26529999999999998</v>
      </c>
      <c r="AP520" s="162">
        <v>0.26050000000000001</v>
      </c>
      <c r="AQ520" s="162">
        <v>0.25330000000000003</v>
      </c>
      <c r="AR520" s="162">
        <v>0.245</v>
      </c>
      <c r="AS520" s="162">
        <v>0.23719999999999999</v>
      </c>
      <c r="AT520" s="162">
        <v>0.22819999999999999</v>
      </c>
      <c r="AU520" s="162">
        <v>0.22090000000000001</v>
      </c>
    </row>
    <row r="521" spans="1:47" ht="12.75" customHeight="1">
      <c r="A521" s="459">
        <v>44540</v>
      </c>
      <c r="B521" s="139">
        <v>49</v>
      </c>
      <c r="C521" s="162">
        <v>-0.57430000000000003</v>
      </c>
      <c r="D521" s="162">
        <v>-0.57430000000000003</v>
      </c>
      <c r="E521" s="162">
        <v>-0.57630000000000003</v>
      </c>
      <c r="F521" s="162">
        <v>-0.57640000000000002</v>
      </c>
      <c r="G521" s="162">
        <v>-0.58220000000000005</v>
      </c>
      <c r="H521" s="162">
        <v>-0.5796</v>
      </c>
      <c r="I521" s="162">
        <v>-0.58020000000000005</v>
      </c>
      <c r="J521" s="162">
        <v>-0.5786</v>
      </c>
      <c r="K521" s="162">
        <v>-0.57699999999999996</v>
      </c>
      <c r="L521" s="162">
        <v>-0.57520000000000004</v>
      </c>
      <c r="M521" s="162">
        <v>-0.57330000000000003</v>
      </c>
      <c r="N521" s="162">
        <v>-0.56999999999999995</v>
      </c>
      <c r="O521" s="162">
        <v>-0.56710000000000005</v>
      </c>
      <c r="P521" s="162">
        <v>-0.56479999999999997</v>
      </c>
      <c r="Q521" s="162">
        <v>-0.56259999999999999</v>
      </c>
      <c r="R521" s="162">
        <v>-0.55869999999999997</v>
      </c>
      <c r="S521" s="162">
        <v>-0.48120000000000002</v>
      </c>
      <c r="T521" s="162">
        <v>-0.39589999999999997</v>
      </c>
      <c r="U521" s="162">
        <v>-0.34389999999999998</v>
      </c>
      <c r="V521" s="162">
        <v>-0.30449999999999999</v>
      </c>
      <c r="W521" s="162">
        <v>-0.26229999999999998</v>
      </c>
      <c r="X521" s="162">
        <v>-0.2162</v>
      </c>
      <c r="Y521" s="162">
        <v>-0.16539999999999999</v>
      </c>
      <c r="Z521" s="162">
        <v>-0.1106</v>
      </c>
      <c r="AA521" s="162">
        <v>-5.8200000000000002E-2</v>
      </c>
      <c r="AB521" s="162">
        <v>-7.4999999999999997E-3</v>
      </c>
      <c r="AC521" s="162">
        <v>3.6499999999999998E-2</v>
      </c>
      <c r="AD521" s="162">
        <v>7.5899999999999995E-2</v>
      </c>
      <c r="AE521" s="162">
        <v>0.1082</v>
      </c>
      <c r="AF521" s="162">
        <v>0.13339999999999999</v>
      </c>
      <c r="AG521" s="162">
        <v>0.1434</v>
      </c>
      <c r="AH521" s="162">
        <v>0.15340000000000001</v>
      </c>
      <c r="AI521" s="162">
        <v>0.1633</v>
      </c>
      <c r="AJ521" s="162">
        <v>0.17330000000000001</v>
      </c>
      <c r="AK521" s="162">
        <v>0.18329999999999999</v>
      </c>
      <c r="AL521" s="162">
        <v>0.18429999999999999</v>
      </c>
      <c r="AM521" s="162">
        <v>0.1817</v>
      </c>
      <c r="AN521" s="162">
        <v>0.1772</v>
      </c>
      <c r="AO521" s="162">
        <v>0.17199999999999999</v>
      </c>
      <c r="AP521" s="162">
        <v>0.16309999999999999</v>
      </c>
      <c r="AQ521" s="162">
        <v>0.1545</v>
      </c>
      <c r="AR521" s="162">
        <v>0.14499999999999999</v>
      </c>
      <c r="AS521" s="162">
        <v>0.13519999999999999</v>
      </c>
      <c r="AT521" s="162">
        <v>0.12470000000000001</v>
      </c>
      <c r="AU521" s="162">
        <v>0.1147</v>
      </c>
    </row>
    <row r="522" spans="1:47" ht="12.75" customHeight="1">
      <c r="A522" s="459">
        <v>44547</v>
      </c>
      <c r="B522" s="139">
        <v>50</v>
      </c>
      <c r="C522" s="162">
        <v>-0.57750000000000001</v>
      </c>
      <c r="D522" s="162">
        <v>-0.57750000000000001</v>
      </c>
      <c r="E522" s="162">
        <v>-0.57999999999999996</v>
      </c>
      <c r="F522" s="162">
        <v>-0.57979999999999998</v>
      </c>
      <c r="G522" s="162">
        <v>-0.58899999999999997</v>
      </c>
      <c r="H522" s="162">
        <v>-0.58550000000000002</v>
      </c>
      <c r="I522" s="162">
        <v>-0.58379999999999999</v>
      </c>
      <c r="J522" s="162">
        <v>-0.58089999999999997</v>
      </c>
      <c r="K522" s="162">
        <v>-0.57820000000000005</v>
      </c>
      <c r="L522" s="162">
        <v>-0.57609999999999995</v>
      </c>
      <c r="M522" s="162">
        <v>-0.57210000000000005</v>
      </c>
      <c r="N522" s="162">
        <v>-0.5675</v>
      </c>
      <c r="O522" s="162">
        <v>-0.56359999999999999</v>
      </c>
      <c r="P522" s="162">
        <v>-0.55879999999999996</v>
      </c>
      <c r="Q522" s="162">
        <v>-0.55410000000000004</v>
      </c>
      <c r="R522" s="162">
        <v>-0.54949999999999999</v>
      </c>
      <c r="S522" s="162">
        <v>-0.46379999999999999</v>
      </c>
      <c r="T522" s="162">
        <v>-0.38269999999999998</v>
      </c>
      <c r="U522" s="162">
        <v>-0.32700000000000001</v>
      </c>
      <c r="V522" s="162">
        <v>-0.2888</v>
      </c>
      <c r="W522" s="162">
        <v>-0.25269999999999998</v>
      </c>
      <c r="X522" s="162">
        <v>-0.21160000000000001</v>
      </c>
      <c r="Y522" s="162">
        <v>-0.1653</v>
      </c>
      <c r="Z522" s="162">
        <v>-0.1124</v>
      </c>
      <c r="AA522" s="162">
        <v>-6.2399999999999997E-2</v>
      </c>
      <c r="AB522" s="162">
        <v>-1.6500000000000001E-2</v>
      </c>
      <c r="AC522" s="162">
        <v>2.92E-2</v>
      </c>
      <c r="AD522" s="162">
        <v>6.5000000000000002E-2</v>
      </c>
      <c r="AE522" s="162">
        <v>9.6100000000000005E-2</v>
      </c>
      <c r="AF522" s="162">
        <v>0.1241</v>
      </c>
      <c r="AG522" s="162">
        <v>0.1346</v>
      </c>
      <c r="AH522" s="162">
        <v>0.14510000000000001</v>
      </c>
      <c r="AI522" s="162">
        <v>0.15559999999999999</v>
      </c>
      <c r="AJ522" s="162">
        <v>0.1661</v>
      </c>
      <c r="AK522" s="162">
        <v>0.17649999999999999</v>
      </c>
      <c r="AL522" s="162">
        <v>0.1787</v>
      </c>
      <c r="AM522" s="162">
        <v>0.17680000000000001</v>
      </c>
      <c r="AN522" s="162">
        <v>0.17280000000000001</v>
      </c>
      <c r="AO522" s="162">
        <v>0.16769999999999999</v>
      </c>
      <c r="AP522" s="162">
        <v>0.1593</v>
      </c>
      <c r="AQ522" s="162">
        <v>0.15290000000000001</v>
      </c>
      <c r="AR522" s="162">
        <v>0.14410000000000001</v>
      </c>
      <c r="AS522" s="162">
        <v>0.1351</v>
      </c>
      <c r="AT522" s="162">
        <v>0.12590000000000001</v>
      </c>
      <c r="AU522" s="162">
        <v>0.1152</v>
      </c>
    </row>
    <row r="523" spans="1:47" ht="12.75" customHeight="1">
      <c r="A523" s="459">
        <v>44554</v>
      </c>
      <c r="B523" s="139">
        <v>51</v>
      </c>
      <c r="C523" s="162">
        <v>-0.57750000000000001</v>
      </c>
      <c r="D523" s="162">
        <v>-0.57750000000000001</v>
      </c>
      <c r="E523" s="162">
        <v>-0.58009999999999995</v>
      </c>
      <c r="F523" s="162">
        <v>-0.58499999999999996</v>
      </c>
      <c r="G523" s="162">
        <v>-0.58660000000000001</v>
      </c>
      <c r="H523" s="162">
        <v>-0.58730000000000004</v>
      </c>
      <c r="I523" s="162">
        <v>-0.58130000000000004</v>
      </c>
      <c r="J523" s="162">
        <v>-0.57850000000000001</v>
      </c>
      <c r="K523" s="162">
        <v>-0.57779999999999998</v>
      </c>
      <c r="L523" s="162">
        <v>-0.5746</v>
      </c>
      <c r="M523" s="162">
        <v>-0.57179999999999997</v>
      </c>
      <c r="N523" s="162">
        <v>-0.56879999999999997</v>
      </c>
      <c r="O523" s="162">
        <v>-0.56620000000000004</v>
      </c>
      <c r="P523" s="162">
        <v>-0.56179999999999997</v>
      </c>
      <c r="Q523" s="162">
        <v>-0.55549999999999999</v>
      </c>
      <c r="R523" s="162">
        <v>-0.55300000000000005</v>
      </c>
      <c r="S523" s="162">
        <v>-0.4647</v>
      </c>
      <c r="T523" s="162">
        <v>-0.38619999999999999</v>
      </c>
      <c r="U523" s="162">
        <v>-0.33450000000000002</v>
      </c>
      <c r="V523" s="162">
        <v>-0.3014</v>
      </c>
      <c r="W523" s="162">
        <v>-0.26600000000000001</v>
      </c>
      <c r="X523" s="162">
        <v>-0.22739999999999999</v>
      </c>
      <c r="Y523" s="162">
        <v>-0.18360000000000001</v>
      </c>
      <c r="Z523" s="162">
        <v>-0.13569999999999999</v>
      </c>
      <c r="AA523" s="162">
        <v>-8.5500000000000007E-2</v>
      </c>
      <c r="AB523" s="162">
        <v>-3.6900000000000002E-2</v>
      </c>
      <c r="AC523" s="162">
        <v>8.0999999999999996E-3</v>
      </c>
      <c r="AD523" s="162">
        <v>4.8000000000000001E-2</v>
      </c>
      <c r="AE523" s="162">
        <v>8.0600000000000005E-2</v>
      </c>
      <c r="AF523" s="162">
        <v>0.1079</v>
      </c>
      <c r="AG523" s="162">
        <v>0.122</v>
      </c>
      <c r="AH523" s="162">
        <v>0.1361</v>
      </c>
      <c r="AI523" s="162">
        <v>0.1502</v>
      </c>
      <c r="AJ523" s="162">
        <v>0.16420000000000001</v>
      </c>
      <c r="AK523" s="162">
        <v>0.17829999999999999</v>
      </c>
      <c r="AL523" s="162">
        <v>0.18129999999999999</v>
      </c>
      <c r="AM523" s="162">
        <v>0.18099999999999999</v>
      </c>
      <c r="AN523" s="162">
        <v>0.17960000000000001</v>
      </c>
      <c r="AO523" s="162">
        <v>0.1764</v>
      </c>
      <c r="AP523" s="162">
        <v>0.17280000000000001</v>
      </c>
      <c r="AQ523" s="162">
        <v>0.16700000000000001</v>
      </c>
      <c r="AR523" s="162">
        <v>0.16059999999999999</v>
      </c>
      <c r="AS523" s="162">
        <v>0.15379999999999999</v>
      </c>
      <c r="AT523" s="162">
        <v>0.1464</v>
      </c>
      <c r="AU523" s="162">
        <v>0.13980000000000001</v>
      </c>
    </row>
    <row r="524" spans="1:47" ht="12.75" customHeight="1">
      <c r="A524" s="459">
        <v>44561</v>
      </c>
      <c r="B524" s="139">
        <v>52</v>
      </c>
      <c r="C524" s="162">
        <v>-0.57430000000000003</v>
      </c>
      <c r="D524" s="162">
        <v>-0.57430000000000003</v>
      </c>
      <c r="E524" s="162">
        <v>-0.59130000000000005</v>
      </c>
      <c r="F524" s="162">
        <v>-0.59499999999999997</v>
      </c>
      <c r="G524" s="162">
        <v>-0.58509999999999995</v>
      </c>
      <c r="H524" s="162">
        <v>-0.58069999999999999</v>
      </c>
      <c r="I524" s="162">
        <v>-0.57799999999999996</v>
      </c>
      <c r="J524" s="162">
        <v>-0.57550000000000001</v>
      </c>
      <c r="K524" s="162">
        <v>-0.5736</v>
      </c>
      <c r="L524" s="162">
        <v>-0.57189999999999996</v>
      </c>
      <c r="M524" s="162">
        <v>-0.56920000000000004</v>
      </c>
      <c r="N524" s="162">
        <v>-0.56440000000000001</v>
      </c>
      <c r="O524" s="162">
        <v>-0.56289999999999996</v>
      </c>
      <c r="P524" s="162">
        <v>-0.56020000000000003</v>
      </c>
      <c r="Q524" s="162">
        <v>-0.55669999999999997</v>
      </c>
      <c r="R524" s="162">
        <v>-0.55189999999999995</v>
      </c>
      <c r="S524" s="162">
        <v>-0.44400000000000001</v>
      </c>
      <c r="T524" s="162">
        <v>-0.35289999999999999</v>
      </c>
      <c r="U524" s="162">
        <v>-0.30149999999999999</v>
      </c>
      <c r="V524" s="162">
        <v>-0.25869999999999999</v>
      </c>
      <c r="W524" s="162">
        <v>-0.216</v>
      </c>
      <c r="X524" s="162">
        <v>-0.17019999999999999</v>
      </c>
      <c r="Y524" s="162">
        <v>-0.1196</v>
      </c>
      <c r="Z524" s="162">
        <v>-6.4799999999999996E-2</v>
      </c>
      <c r="AA524" s="162">
        <v>-1.0699999999999999E-2</v>
      </c>
      <c r="AB524" s="162">
        <v>4.0599999999999997E-2</v>
      </c>
      <c r="AC524" s="162">
        <v>8.8099999999999998E-2</v>
      </c>
      <c r="AD524" s="162">
        <v>0.13059999999999999</v>
      </c>
      <c r="AE524" s="162">
        <v>0.1668</v>
      </c>
      <c r="AF524" s="162">
        <v>0.1971</v>
      </c>
      <c r="AG524" s="162">
        <v>0.21379999999999999</v>
      </c>
      <c r="AH524" s="162">
        <v>0.2306</v>
      </c>
      <c r="AI524" s="162">
        <v>0.24740000000000001</v>
      </c>
      <c r="AJ524" s="162">
        <v>0.26419999999999999</v>
      </c>
      <c r="AK524" s="162">
        <v>0.28100000000000003</v>
      </c>
      <c r="AL524" s="162">
        <v>0.2863</v>
      </c>
      <c r="AM524" s="162">
        <v>0.28899999999999998</v>
      </c>
      <c r="AN524" s="162">
        <v>0.28899999999999998</v>
      </c>
      <c r="AO524" s="162">
        <v>0.2878</v>
      </c>
      <c r="AP524" s="162">
        <v>0.28449999999999998</v>
      </c>
      <c r="AQ524" s="162">
        <v>0.28110000000000002</v>
      </c>
      <c r="AR524" s="162">
        <v>0.2767</v>
      </c>
      <c r="AS524" s="162">
        <v>0.27100000000000002</v>
      </c>
      <c r="AT524" s="162">
        <v>0.26600000000000001</v>
      </c>
      <c r="AU524" s="162">
        <v>0.26050000000000001</v>
      </c>
    </row>
    <row r="525" spans="1:47" ht="12.75" customHeight="1">
      <c r="A525" s="459">
        <v>44568</v>
      </c>
      <c r="B525" s="139">
        <v>1</v>
      </c>
      <c r="C525" s="162">
        <v>-0.57730000000000004</v>
      </c>
      <c r="D525" s="162">
        <v>-0.57730000000000004</v>
      </c>
      <c r="E525" s="162">
        <v>-0.59119999999999995</v>
      </c>
      <c r="F525" s="162">
        <v>-0.58430000000000004</v>
      </c>
      <c r="G525" s="162">
        <v>-0.57920000000000005</v>
      </c>
      <c r="H525" s="162">
        <v>-0.57630000000000003</v>
      </c>
      <c r="I525" s="162">
        <v>-0.57509999999999994</v>
      </c>
      <c r="J525" s="162">
        <v>-0.57779999999999998</v>
      </c>
      <c r="K525" s="162">
        <v>-0.57420000000000004</v>
      </c>
      <c r="L525" s="162">
        <v>-0.57110000000000005</v>
      </c>
      <c r="M525" s="162">
        <v>-0.56850000000000001</v>
      </c>
      <c r="N525" s="162">
        <v>-0.56489999999999996</v>
      </c>
      <c r="O525" s="162">
        <v>-0.56079999999999997</v>
      </c>
      <c r="P525" s="162">
        <v>-0.55510000000000004</v>
      </c>
      <c r="Q525" s="162">
        <v>-0.54830000000000001</v>
      </c>
      <c r="R525" s="162">
        <v>-0.54149999999999998</v>
      </c>
      <c r="S525" s="162">
        <v>-0.40960000000000002</v>
      </c>
      <c r="T525" s="162">
        <v>-0.2974</v>
      </c>
      <c r="U525" s="162">
        <v>-0.23230000000000001</v>
      </c>
      <c r="V525" s="162">
        <v>-0.1837</v>
      </c>
      <c r="W525" s="162">
        <v>-0.13969999999999999</v>
      </c>
      <c r="X525" s="162">
        <v>-9.4E-2</v>
      </c>
      <c r="Y525" s="162">
        <v>-4.3799999999999999E-2</v>
      </c>
      <c r="Z525" s="162">
        <v>1.35E-2</v>
      </c>
      <c r="AA525" s="162">
        <v>6.9000000000000006E-2</v>
      </c>
      <c r="AB525" s="162">
        <v>0.12180000000000001</v>
      </c>
      <c r="AC525" s="162">
        <v>0.17030000000000001</v>
      </c>
      <c r="AD525" s="162">
        <v>0.21310000000000001</v>
      </c>
      <c r="AE525" s="162">
        <v>0.25090000000000001</v>
      </c>
      <c r="AF525" s="162">
        <v>0.2823</v>
      </c>
      <c r="AG525" s="162">
        <v>0.29849999999999999</v>
      </c>
      <c r="AH525" s="162">
        <v>0.31469999999999998</v>
      </c>
      <c r="AI525" s="162">
        <v>0.33090000000000003</v>
      </c>
      <c r="AJ525" s="162">
        <v>0.34710000000000002</v>
      </c>
      <c r="AK525" s="162">
        <v>0.36330000000000001</v>
      </c>
      <c r="AL525" s="162">
        <v>0.36880000000000002</v>
      </c>
      <c r="AM525" s="162">
        <v>0.37</v>
      </c>
      <c r="AN525" s="162">
        <v>0.37030000000000002</v>
      </c>
      <c r="AO525" s="162">
        <v>0.36759999999999998</v>
      </c>
      <c r="AP525" s="162">
        <v>0.36149999999999999</v>
      </c>
      <c r="AQ525" s="162">
        <v>0.35870000000000002</v>
      </c>
      <c r="AR525" s="162">
        <v>0.35339999999999999</v>
      </c>
      <c r="AS525" s="162">
        <v>0.34739999999999999</v>
      </c>
      <c r="AT525" s="162">
        <v>0.34050000000000002</v>
      </c>
      <c r="AU525" s="162">
        <v>0.33200000000000002</v>
      </c>
    </row>
    <row r="526" spans="1:47" ht="12.75" customHeight="1">
      <c r="A526" s="459">
        <v>44575</v>
      </c>
      <c r="B526" s="139">
        <v>2</v>
      </c>
      <c r="C526" s="162">
        <v>-0.57799999999999996</v>
      </c>
      <c r="D526" s="162">
        <v>-0.57799999999999996</v>
      </c>
      <c r="E526" s="162">
        <v>-0.57599999999999996</v>
      </c>
      <c r="F526" s="162">
        <v>-0.57609999999999995</v>
      </c>
      <c r="G526" s="162">
        <v>-0.57599999999999996</v>
      </c>
      <c r="H526" s="162">
        <v>-0.57579999999999998</v>
      </c>
      <c r="I526" s="162">
        <v>-0.57379999999999998</v>
      </c>
      <c r="J526" s="162">
        <v>-0.57310000000000005</v>
      </c>
      <c r="K526" s="162">
        <v>-0.57140000000000002</v>
      </c>
      <c r="L526" s="162">
        <v>-0.56950000000000001</v>
      </c>
      <c r="M526" s="162">
        <v>-0.56710000000000005</v>
      </c>
      <c r="N526" s="162">
        <v>-0.56599999999999995</v>
      </c>
      <c r="O526" s="162">
        <v>-0.56010000000000004</v>
      </c>
      <c r="P526" s="162">
        <v>-0.55500000000000005</v>
      </c>
      <c r="Q526" s="162">
        <v>-0.54900000000000004</v>
      </c>
      <c r="R526" s="162">
        <v>-0.54049999999999998</v>
      </c>
      <c r="S526" s="162">
        <v>-0.39589999999999997</v>
      </c>
      <c r="T526" s="162">
        <v>-0.2742</v>
      </c>
      <c r="U526" s="162">
        <v>-0.19520000000000001</v>
      </c>
      <c r="V526" s="162">
        <v>-0.14030000000000001</v>
      </c>
      <c r="W526" s="162">
        <v>-9.1899999999999996E-2</v>
      </c>
      <c r="X526" s="162">
        <v>-4.07E-2</v>
      </c>
      <c r="Y526" s="162">
        <v>1.4200000000000001E-2</v>
      </c>
      <c r="Z526" s="162">
        <v>7.4499999999999997E-2</v>
      </c>
      <c r="AA526" s="162">
        <v>0.13370000000000001</v>
      </c>
      <c r="AB526" s="162">
        <v>0.18770000000000001</v>
      </c>
      <c r="AC526" s="162">
        <v>0.23649999999999999</v>
      </c>
      <c r="AD526" s="162">
        <v>0.27850000000000003</v>
      </c>
      <c r="AE526" s="162">
        <v>0.31569999999999998</v>
      </c>
      <c r="AF526" s="162">
        <v>0.34670000000000001</v>
      </c>
      <c r="AG526" s="162">
        <v>0.36249999999999999</v>
      </c>
      <c r="AH526" s="162">
        <v>0.37830000000000003</v>
      </c>
      <c r="AI526" s="162">
        <v>0.39419999999999999</v>
      </c>
      <c r="AJ526" s="162">
        <v>0.41</v>
      </c>
      <c r="AK526" s="162">
        <v>0.42580000000000001</v>
      </c>
      <c r="AL526" s="162">
        <v>0.4304</v>
      </c>
      <c r="AM526" s="162">
        <v>0.43190000000000001</v>
      </c>
      <c r="AN526" s="162">
        <v>0.43109999999999998</v>
      </c>
      <c r="AO526" s="162">
        <v>0.42809999999999998</v>
      </c>
      <c r="AP526" s="162">
        <v>0.42349999999999999</v>
      </c>
      <c r="AQ526" s="162">
        <v>0.41889999999999999</v>
      </c>
      <c r="AR526" s="162">
        <v>0.41349999999999998</v>
      </c>
      <c r="AS526" s="162">
        <v>0.40770000000000001</v>
      </c>
      <c r="AT526" s="162">
        <v>0.40150000000000002</v>
      </c>
      <c r="AU526" s="162">
        <v>0.39479999999999998</v>
      </c>
    </row>
    <row r="527" spans="1:47" ht="12.75" customHeight="1">
      <c r="A527" s="459">
        <v>44582</v>
      </c>
      <c r="B527" s="139">
        <v>3</v>
      </c>
      <c r="C527" s="162">
        <v>-0.57850000000000001</v>
      </c>
      <c r="D527" s="162">
        <v>-0.57850000000000001</v>
      </c>
      <c r="E527" s="162">
        <v>-0.57679999999999998</v>
      </c>
      <c r="F527" s="162">
        <v>-0.5766</v>
      </c>
      <c r="G527" s="162">
        <v>-0.57620000000000005</v>
      </c>
      <c r="H527" s="162">
        <v>-0.57540000000000002</v>
      </c>
      <c r="I527" s="162">
        <v>-0.57410000000000005</v>
      </c>
      <c r="J527" s="162">
        <v>-0.57299999999999995</v>
      </c>
      <c r="K527" s="162">
        <v>-0.57250000000000001</v>
      </c>
      <c r="L527" s="162">
        <v>-0.56740000000000002</v>
      </c>
      <c r="M527" s="162">
        <v>-0.56299999999999994</v>
      </c>
      <c r="N527" s="162">
        <v>-0.55869999999999997</v>
      </c>
      <c r="O527" s="162">
        <v>-0.55169999999999997</v>
      </c>
      <c r="P527" s="162">
        <v>-0.54510000000000003</v>
      </c>
      <c r="Q527" s="162">
        <v>-0.53820000000000001</v>
      </c>
      <c r="R527" s="162">
        <v>-0.52769999999999995</v>
      </c>
      <c r="S527" s="162">
        <v>-0.3664</v>
      </c>
      <c r="T527" s="162">
        <v>-0.23549999999999999</v>
      </c>
      <c r="U527" s="162">
        <v>-0.1507</v>
      </c>
      <c r="V527" s="162">
        <v>-9.5500000000000002E-2</v>
      </c>
      <c r="W527" s="162">
        <v>-4.4999999999999998E-2</v>
      </c>
      <c r="X527" s="162">
        <v>6.1000000000000004E-3</v>
      </c>
      <c r="Y527" s="162">
        <v>5.8999999999999997E-2</v>
      </c>
      <c r="Z527" s="162">
        <v>0.1157</v>
      </c>
      <c r="AA527" s="162">
        <v>0.16850000000000001</v>
      </c>
      <c r="AB527" s="162">
        <v>0.2195</v>
      </c>
      <c r="AC527" s="162">
        <v>0.26300000000000001</v>
      </c>
      <c r="AD527" s="162">
        <v>0.30280000000000001</v>
      </c>
      <c r="AE527" s="162">
        <v>0.33700000000000002</v>
      </c>
      <c r="AF527" s="162">
        <v>0.36399999999999999</v>
      </c>
      <c r="AG527" s="162">
        <v>0.377</v>
      </c>
      <c r="AH527" s="162">
        <v>0.39</v>
      </c>
      <c r="AI527" s="162">
        <v>0.40310000000000001</v>
      </c>
      <c r="AJ527" s="162">
        <v>0.41610000000000003</v>
      </c>
      <c r="AK527" s="162">
        <v>0.42909999999999998</v>
      </c>
      <c r="AL527" s="162">
        <v>0.43120000000000003</v>
      </c>
      <c r="AM527" s="162">
        <v>0.43099999999999999</v>
      </c>
      <c r="AN527" s="162">
        <v>0.4294</v>
      </c>
      <c r="AO527" s="162">
        <v>0.4264</v>
      </c>
      <c r="AP527" s="162">
        <v>0.4234</v>
      </c>
      <c r="AQ527" s="162">
        <v>0.41820000000000002</v>
      </c>
      <c r="AR527" s="162">
        <v>0.41189999999999999</v>
      </c>
      <c r="AS527" s="162">
        <v>0.40570000000000001</v>
      </c>
      <c r="AT527" s="162">
        <v>0.39879999999999999</v>
      </c>
      <c r="AU527" s="162">
        <v>0.3921</v>
      </c>
    </row>
    <row r="528" spans="1:47" ht="12.75" customHeight="1">
      <c r="A528" s="459">
        <v>44589</v>
      </c>
      <c r="B528" s="139">
        <v>4</v>
      </c>
      <c r="C528" s="162">
        <v>-0.57850000000000001</v>
      </c>
      <c r="D528" s="162">
        <v>-0.57850000000000001</v>
      </c>
      <c r="E528" s="162">
        <v>-0.5776</v>
      </c>
      <c r="F528" s="162">
        <v>-0.57750000000000001</v>
      </c>
      <c r="G528" s="162">
        <v>-0.57699999999999996</v>
      </c>
      <c r="H528" s="162">
        <v>-0.57609999999999995</v>
      </c>
      <c r="I528" s="162">
        <v>-0.57389999999999997</v>
      </c>
      <c r="J528" s="162">
        <v>-0.57989999999999997</v>
      </c>
      <c r="K528" s="162">
        <v>-0.5696</v>
      </c>
      <c r="L528" s="162">
        <v>-0.56410000000000005</v>
      </c>
      <c r="M528" s="162">
        <v>-0.55740000000000001</v>
      </c>
      <c r="N528" s="162">
        <v>-0.5514</v>
      </c>
      <c r="O528" s="162">
        <v>-0.54379999999999995</v>
      </c>
      <c r="P528" s="162">
        <v>-0.54800000000000004</v>
      </c>
      <c r="Q528" s="162">
        <v>-0.53290000000000004</v>
      </c>
      <c r="R528" s="162">
        <v>-0.51549999999999996</v>
      </c>
      <c r="S528" s="162">
        <v>-0.34039999999999998</v>
      </c>
      <c r="T528" s="162">
        <v>-0.19839999999999999</v>
      </c>
      <c r="U528" s="162">
        <v>-0.1124</v>
      </c>
      <c r="V528" s="162">
        <v>-5.45E-2</v>
      </c>
      <c r="W528" s="162">
        <v>-4.1000000000000003E-3</v>
      </c>
      <c r="X528" s="162">
        <v>4.6800000000000001E-2</v>
      </c>
      <c r="Y528" s="162">
        <v>0.1</v>
      </c>
      <c r="Z528" s="162">
        <v>0.15579999999999999</v>
      </c>
      <c r="AA528" s="162">
        <v>0.20730000000000001</v>
      </c>
      <c r="AB528" s="162">
        <v>0.25480000000000003</v>
      </c>
      <c r="AC528" s="162">
        <v>0.29680000000000001</v>
      </c>
      <c r="AD528" s="162">
        <v>0.33410000000000001</v>
      </c>
      <c r="AE528" s="162">
        <v>0.36559999999999998</v>
      </c>
      <c r="AF528" s="162">
        <v>0.3926</v>
      </c>
      <c r="AG528" s="162">
        <v>0.40400000000000003</v>
      </c>
      <c r="AH528" s="162">
        <v>0.41549999999999998</v>
      </c>
      <c r="AI528" s="162">
        <v>0.42699999999999999</v>
      </c>
      <c r="AJ528" s="162">
        <v>0.4385</v>
      </c>
      <c r="AK528" s="162">
        <v>0.44990000000000002</v>
      </c>
      <c r="AL528" s="162">
        <v>0.45140000000000002</v>
      </c>
      <c r="AM528" s="162">
        <v>0.45029999999999998</v>
      </c>
      <c r="AN528" s="162">
        <v>0.44769999999999999</v>
      </c>
      <c r="AO528" s="162">
        <v>0.44350000000000001</v>
      </c>
      <c r="AP528" s="162">
        <v>0.438</v>
      </c>
      <c r="AQ528" s="162">
        <v>0.43319999999999997</v>
      </c>
      <c r="AR528" s="162">
        <v>0.4264</v>
      </c>
      <c r="AS528" s="162">
        <v>0.41930000000000001</v>
      </c>
      <c r="AT528" s="162">
        <v>0.4118</v>
      </c>
      <c r="AU528" s="162">
        <v>0.40260000000000001</v>
      </c>
    </row>
    <row r="529" spans="1:47" ht="12.75" customHeight="1">
      <c r="A529" s="459">
        <v>44596</v>
      </c>
      <c r="B529" s="139">
        <v>5</v>
      </c>
      <c r="C529" s="162">
        <v>-0.57650000000000001</v>
      </c>
      <c r="D529" s="162">
        <v>-0.57650000000000001</v>
      </c>
      <c r="E529" s="162">
        <v>-0.57740000000000002</v>
      </c>
      <c r="F529" s="162">
        <v>-0.57689999999999997</v>
      </c>
      <c r="G529" s="162">
        <v>-0.57630000000000003</v>
      </c>
      <c r="H529" s="162">
        <v>-0.57499999999999996</v>
      </c>
      <c r="I529" s="162">
        <v>-0.5736</v>
      </c>
      <c r="J529" s="162">
        <v>-0.5716</v>
      </c>
      <c r="K529" s="162">
        <v>-0.56789999999999996</v>
      </c>
      <c r="L529" s="162">
        <v>-0.56459999999999999</v>
      </c>
      <c r="M529" s="162">
        <v>-0.55769999999999997</v>
      </c>
      <c r="N529" s="162">
        <v>-0.55169999999999997</v>
      </c>
      <c r="O529" s="162">
        <v>-0.54569999999999996</v>
      </c>
      <c r="P529" s="162">
        <v>-0.53649999999999998</v>
      </c>
      <c r="Q529" s="162">
        <v>-0.52800000000000002</v>
      </c>
      <c r="R529" s="162">
        <v>-0.51570000000000005</v>
      </c>
      <c r="S529" s="162">
        <v>-0.33839999999999998</v>
      </c>
      <c r="T529" s="162">
        <v>-0.19500000000000001</v>
      </c>
      <c r="U529" s="162">
        <v>-0.111</v>
      </c>
      <c r="V529" s="162">
        <v>-5.7000000000000002E-2</v>
      </c>
      <c r="W529" s="162">
        <v>-9.1999999999999998E-3</v>
      </c>
      <c r="X529" s="162">
        <v>4.1399999999999999E-2</v>
      </c>
      <c r="Y529" s="162">
        <v>9.4E-2</v>
      </c>
      <c r="Z529" s="162">
        <v>0.14560000000000001</v>
      </c>
      <c r="AA529" s="162">
        <v>0.19600000000000001</v>
      </c>
      <c r="AB529" s="162">
        <v>0.2417</v>
      </c>
      <c r="AC529" s="162">
        <v>0.28299999999999997</v>
      </c>
      <c r="AD529" s="162">
        <v>0.31909999999999999</v>
      </c>
      <c r="AE529" s="162">
        <v>0.35060000000000002</v>
      </c>
      <c r="AF529" s="162">
        <v>0.37609999999999999</v>
      </c>
      <c r="AG529" s="162">
        <v>0.3866</v>
      </c>
      <c r="AH529" s="162">
        <v>0.39700000000000002</v>
      </c>
      <c r="AI529" s="162">
        <v>0.40749999999999997</v>
      </c>
      <c r="AJ529" s="162">
        <v>0.41789999999999999</v>
      </c>
      <c r="AK529" s="162">
        <v>0.4284</v>
      </c>
      <c r="AL529" s="162">
        <v>0.42809999999999998</v>
      </c>
      <c r="AM529" s="162">
        <v>0.42630000000000001</v>
      </c>
      <c r="AN529" s="162">
        <v>0.42230000000000001</v>
      </c>
      <c r="AO529" s="162">
        <v>0.41710000000000003</v>
      </c>
      <c r="AP529" s="162">
        <v>0.41210000000000002</v>
      </c>
      <c r="AQ529" s="162">
        <v>0.40489999999999998</v>
      </c>
      <c r="AR529" s="162">
        <v>0.39810000000000001</v>
      </c>
      <c r="AS529" s="162">
        <v>0.38990000000000002</v>
      </c>
      <c r="AT529" s="162">
        <v>0.38169999999999998</v>
      </c>
      <c r="AU529" s="162">
        <v>0.37390000000000001</v>
      </c>
    </row>
    <row r="530" spans="1:47" ht="12.75" customHeight="1">
      <c r="A530" s="459">
        <v>44603</v>
      </c>
      <c r="B530" s="139">
        <v>6</v>
      </c>
      <c r="C530" s="162">
        <v>-0.57799999999999996</v>
      </c>
      <c r="D530" s="162">
        <v>-0.57799999999999996</v>
      </c>
      <c r="E530" s="162">
        <v>-0.57620000000000005</v>
      </c>
      <c r="F530" s="162">
        <v>-0.57540000000000002</v>
      </c>
      <c r="G530" s="162">
        <v>-0.57479999999999998</v>
      </c>
      <c r="H530" s="162">
        <v>-0.57299999999999995</v>
      </c>
      <c r="I530" s="162">
        <v>-0.57050000000000001</v>
      </c>
      <c r="J530" s="162">
        <v>-0.56699999999999995</v>
      </c>
      <c r="K530" s="162">
        <v>-0.5575</v>
      </c>
      <c r="L530" s="162">
        <v>-0.54749999999999999</v>
      </c>
      <c r="M530" s="162">
        <v>-0.53459999999999996</v>
      </c>
      <c r="N530" s="162">
        <v>-0.51919999999999999</v>
      </c>
      <c r="O530" s="162">
        <v>-0.504</v>
      </c>
      <c r="P530" s="162">
        <v>-0.48520000000000002</v>
      </c>
      <c r="Q530" s="162">
        <v>-0.46439999999999998</v>
      </c>
      <c r="R530" s="162">
        <v>-0.44090000000000001</v>
      </c>
      <c r="S530" s="162">
        <v>-0.15820000000000001</v>
      </c>
      <c r="T530" s="162">
        <v>7.0000000000000001E-3</v>
      </c>
      <c r="U530" s="162">
        <v>9.4E-2</v>
      </c>
      <c r="V530" s="162">
        <v>0.1421</v>
      </c>
      <c r="W530" s="162">
        <v>0.17610000000000001</v>
      </c>
      <c r="X530" s="162">
        <v>0.20930000000000001</v>
      </c>
      <c r="Y530" s="162">
        <v>0.2475</v>
      </c>
      <c r="Z530" s="162">
        <v>0.2883</v>
      </c>
      <c r="AA530" s="162">
        <v>0.32579999999999998</v>
      </c>
      <c r="AB530" s="162">
        <v>0.3624</v>
      </c>
      <c r="AC530" s="162">
        <v>0.3962</v>
      </c>
      <c r="AD530" s="162">
        <v>0.4254</v>
      </c>
      <c r="AE530" s="162">
        <v>0.45190000000000002</v>
      </c>
      <c r="AF530" s="162">
        <v>0.47270000000000001</v>
      </c>
      <c r="AG530" s="162">
        <v>0.47839999999999999</v>
      </c>
      <c r="AH530" s="162">
        <v>0.48409999999999997</v>
      </c>
      <c r="AI530" s="162">
        <v>0.48980000000000001</v>
      </c>
      <c r="AJ530" s="162">
        <v>0.4955</v>
      </c>
      <c r="AK530" s="162">
        <v>0.50129999999999997</v>
      </c>
      <c r="AL530" s="162">
        <v>0.49819999999999998</v>
      </c>
      <c r="AM530" s="162">
        <v>0.49399999999999999</v>
      </c>
      <c r="AN530" s="162">
        <v>0.48799999999999999</v>
      </c>
      <c r="AO530" s="162">
        <v>0.48120000000000002</v>
      </c>
      <c r="AP530" s="162">
        <v>0.47310000000000002</v>
      </c>
      <c r="AQ530" s="162">
        <v>0.46389999999999998</v>
      </c>
      <c r="AR530" s="162">
        <v>0.45429999999999998</v>
      </c>
      <c r="AS530" s="162">
        <v>0.44429999999999997</v>
      </c>
      <c r="AT530" s="162">
        <v>0.43409999999999999</v>
      </c>
      <c r="AU530" s="162">
        <v>0.42520000000000002</v>
      </c>
    </row>
    <row r="531" spans="1:47" ht="12.75" customHeight="1">
      <c r="A531" s="459">
        <v>44610</v>
      </c>
      <c r="B531" s="139">
        <v>7</v>
      </c>
      <c r="C531" s="162">
        <v>-0.57550000000000001</v>
      </c>
      <c r="D531" s="162">
        <v>-0.57550000000000001</v>
      </c>
      <c r="E531" s="162">
        <v>-0.57509999999999994</v>
      </c>
      <c r="F531" s="162">
        <v>-0.57469999999999999</v>
      </c>
      <c r="G531" s="162">
        <v>-0.57440000000000002</v>
      </c>
      <c r="H531" s="162">
        <v>-0.57199999999999995</v>
      </c>
      <c r="I531" s="162">
        <v>-0.5655</v>
      </c>
      <c r="J531" s="162">
        <v>-0.55989999999999995</v>
      </c>
      <c r="K531" s="162">
        <v>-0.54730000000000001</v>
      </c>
      <c r="L531" s="162">
        <v>-0.53129999999999999</v>
      </c>
      <c r="M531" s="162">
        <v>-0.51619999999999999</v>
      </c>
      <c r="N531" s="162">
        <v>-0.49020000000000002</v>
      </c>
      <c r="O531" s="162">
        <v>-0.46560000000000001</v>
      </c>
      <c r="P531" s="162">
        <v>-0.44069999999999998</v>
      </c>
      <c r="Q531" s="162">
        <v>-0.40939999999999999</v>
      </c>
      <c r="R531" s="162">
        <v>-0.37519999999999998</v>
      </c>
      <c r="S531" s="162">
        <v>1.18E-2</v>
      </c>
      <c r="T531" s="162">
        <v>0.217</v>
      </c>
      <c r="U531" s="162">
        <v>0.32219999999999999</v>
      </c>
      <c r="V531" s="162">
        <v>0.37680000000000002</v>
      </c>
      <c r="W531" s="162">
        <v>0.41310000000000002</v>
      </c>
      <c r="X531" s="162">
        <v>0.44690000000000002</v>
      </c>
      <c r="Y531" s="162">
        <v>0.48159999999999997</v>
      </c>
      <c r="Z531" s="162">
        <v>0.51839999999999997</v>
      </c>
      <c r="AA531" s="162">
        <v>0.55320000000000003</v>
      </c>
      <c r="AB531" s="162">
        <v>0.58360000000000001</v>
      </c>
      <c r="AC531" s="162">
        <v>0.61</v>
      </c>
      <c r="AD531" s="162">
        <v>0.63549999999999995</v>
      </c>
      <c r="AE531" s="162">
        <v>0.65820000000000001</v>
      </c>
      <c r="AF531" s="162">
        <v>0.67330000000000001</v>
      </c>
      <c r="AG531" s="162">
        <v>0.67659999999999998</v>
      </c>
      <c r="AH531" s="162">
        <v>0.68</v>
      </c>
      <c r="AI531" s="162">
        <v>0.68330000000000002</v>
      </c>
      <c r="AJ531" s="162">
        <v>0.68669999999999998</v>
      </c>
      <c r="AK531" s="162">
        <v>0.69</v>
      </c>
      <c r="AL531" s="162">
        <v>0.68640000000000001</v>
      </c>
      <c r="AM531" s="162">
        <v>0.68059999999999998</v>
      </c>
      <c r="AN531" s="162">
        <v>0.67379999999999995</v>
      </c>
      <c r="AO531" s="162">
        <v>0.6673</v>
      </c>
      <c r="AP531" s="162">
        <v>0.65810000000000002</v>
      </c>
      <c r="AQ531" s="162">
        <v>0.65249999999999997</v>
      </c>
      <c r="AR531" s="162">
        <v>0.64349999999999996</v>
      </c>
      <c r="AS531" s="162">
        <v>0.63290000000000002</v>
      </c>
      <c r="AT531" s="162">
        <v>0.62380000000000002</v>
      </c>
      <c r="AU531" s="162">
        <v>0.61050000000000004</v>
      </c>
    </row>
    <row r="532" spans="1:47" ht="12.75" customHeight="1">
      <c r="A532" s="459">
        <v>44617</v>
      </c>
      <c r="B532" s="139">
        <v>8</v>
      </c>
      <c r="C532" s="162">
        <v>-0.57650000000000001</v>
      </c>
      <c r="D532" s="162">
        <v>-0.57650000000000001</v>
      </c>
      <c r="E532" s="162">
        <v>-0.57340000000000002</v>
      </c>
      <c r="F532" s="162">
        <v>-0.57320000000000004</v>
      </c>
      <c r="G532" s="162">
        <v>-0.57310000000000005</v>
      </c>
      <c r="H532" s="162">
        <v>-0.57099999999999995</v>
      </c>
      <c r="I532" s="162">
        <v>-0.56379999999999997</v>
      </c>
      <c r="J532" s="162">
        <v>-0.55830000000000002</v>
      </c>
      <c r="K532" s="162">
        <v>-0.54879999999999995</v>
      </c>
      <c r="L532" s="162">
        <v>-0.53390000000000004</v>
      </c>
      <c r="M532" s="162">
        <v>-0.51739999999999997</v>
      </c>
      <c r="N532" s="162">
        <v>-0.49349999999999999</v>
      </c>
      <c r="O532" s="162">
        <v>-0.47070000000000001</v>
      </c>
      <c r="P532" s="162">
        <v>-0.44790000000000002</v>
      </c>
      <c r="Q532" s="162">
        <v>-0.41599999999999998</v>
      </c>
      <c r="R532" s="162">
        <v>-0.38340000000000002</v>
      </c>
      <c r="S532" s="162">
        <v>7.6E-3</v>
      </c>
      <c r="T532" s="162">
        <v>0.2056</v>
      </c>
      <c r="U532" s="162">
        <v>0.30890000000000001</v>
      </c>
      <c r="V532" s="162">
        <v>0.36599999999999999</v>
      </c>
      <c r="W532" s="162">
        <v>0.41070000000000001</v>
      </c>
      <c r="X532" s="162">
        <v>0.45800000000000002</v>
      </c>
      <c r="Y532" s="162">
        <v>0.50649999999999995</v>
      </c>
      <c r="Z532" s="162">
        <v>0.55359999999999998</v>
      </c>
      <c r="AA532" s="162">
        <v>0.59709999999999996</v>
      </c>
      <c r="AB532" s="162">
        <v>0.63900000000000001</v>
      </c>
      <c r="AC532" s="162">
        <v>0.6694</v>
      </c>
      <c r="AD532" s="162">
        <v>0.70099999999999996</v>
      </c>
      <c r="AE532" s="162">
        <v>0.72599999999999998</v>
      </c>
      <c r="AF532" s="162">
        <v>0.74380000000000002</v>
      </c>
      <c r="AG532" s="162">
        <v>0.74960000000000004</v>
      </c>
      <c r="AH532" s="162">
        <v>0.75539999999999996</v>
      </c>
      <c r="AI532" s="162">
        <v>0.76119999999999999</v>
      </c>
      <c r="AJ532" s="162">
        <v>0.76690000000000003</v>
      </c>
      <c r="AK532" s="162">
        <v>0.77270000000000005</v>
      </c>
      <c r="AL532" s="162">
        <v>0.77249999999999996</v>
      </c>
      <c r="AM532" s="162">
        <v>0.76849999999999996</v>
      </c>
      <c r="AN532" s="162">
        <v>0.76219999999999999</v>
      </c>
      <c r="AO532" s="162">
        <v>0.75660000000000005</v>
      </c>
      <c r="AP532" s="162">
        <v>0.74729999999999996</v>
      </c>
      <c r="AQ532" s="162">
        <v>0.74099999999999999</v>
      </c>
      <c r="AR532" s="162">
        <v>0.73270000000000002</v>
      </c>
      <c r="AS532" s="162">
        <v>0.72419999999999995</v>
      </c>
      <c r="AT532" s="162">
        <v>0.71530000000000005</v>
      </c>
      <c r="AU532" s="162">
        <v>0.70450000000000002</v>
      </c>
    </row>
    <row r="533" spans="1:47" ht="12.75" customHeight="1">
      <c r="A533" s="459">
        <v>44624</v>
      </c>
      <c r="B533" s="139">
        <v>9</v>
      </c>
      <c r="C533" s="162">
        <v>-0.57579999999999998</v>
      </c>
      <c r="D533" s="162">
        <v>-0.57579999999999998</v>
      </c>
      <c r="E533" s="162">
        <v>-0.57369999999999999</v>
      </c>
      <c r="F533" s="162">
        <v>-0.5736</v>
      </c>
      <c r="G533" s="162">
        <v>-0.57269999999999999</v>
      </c>
      <c r="H533" s="162">
        <v>-0.57189999999999996</v>
      </c>
      <c r="I533" s="162">
        <v>-0.56940000000000002</v>
      </c>
      <c r="J533" s="162">
        <v>-0.56630000000000003</v>
      </c>
      <c r="K533" s="162">
        <v>-0.56110000000000004</v>
      </c>
      <c r="L533" s="162">
        <v>-0.55079999999999996</v>
      </c>
      <c r="M533" s="162">
        <v>-0.53520000000000001</v>
      </c>
      <c r="N533" s="162">
        <v>-0.51690000000000003</v>
      </c>
      <c r="O533" s="162">
        <v>-0.496</v>
      </c>
      <c r="P533" s="162">
        <v>-0.47420000000000001</v>
      </c>
      <c r="Q533" s="162">
        <v>-0.4471</v>
      </c>
      <c r="R533" s="162">
        <v>-0.41810000000000003</v>
      </c>
      <c r="S533" s="162">
        <v>-3.3799999999999997E-2</v>
      </c>
      <c r="T533" s="162">
        <v>0.16739999999999999</v>
      </c>
      <c r="U533" s="162">
        <v>0.27089999999999997</v>
      </c>
      <c r="V533" s="162">
        <v>0.3301</v>
      </c>
      <c r="W533" s="162">
        <v>0.37690000000000001</v>
      </c>
      <c r="X533" s="162">
        <v>0.42370000000000002</v>
      </c>
      <c r="Y533" s="162">
        <v>0.47389999999999999</v>
      </c>
      <c r="Z533" s="162">
        <v>0.52400000000000002</v>
      </c>
      <c r="AA533" s="162">
        <v>0.57130000000000003</v>
      </c>
      <c r="AB533" s="162">
        <v>0.61660000000000004</v>
      </c>
      <c r="AC533" s="162">
        <v>0.65669999999999995</v>
      </c>
      <c r="AD533" s="162">
        <v>0.69310000000000005</v>
      </c>
      <c r="AE533" s="162">
        <v>0.7218</v>
      </c>
      <c r="AF533" s="162">
        <v>0.74460000000000004</v>
      </c>
      <c r="AG533" s="162">
        <v>0.75209999999999999</v>
      </c>
      <c r="AH533" s="162">
        <v>0.75949999999999995</v>
      </c>
      <c r="AI533" s="162">
        <v>0.76700000000000002</v>
      </c>
      <c r="AJ533" s="162">
        <v>0.77449999999999997</v>
      </c>
      <c r="AK533" s="162">
        <v>0.78190000000000004</v>
      </c>
      <c r="AL533" s="162">
        <v>0.77900000000000003</v>
      </c>
      <c r="AM533" s="162">
        <v>0.77490000000000003</v>
      </c>
      <c r="AN533" s="162">
        <v>0.76939999999999997</v>
      </c>
      <c r="AO533" s="162">
        <v>0.76319999999999999</v>
      </c>
      <c r="AP533" s="162">
        <v>0.75609999999999999</v>
      </c>
      <c r="AQ533" s="162">
        <v>0.74790000000000001</v>
      </c>
      <c r="AR533" s="162">
        <v>0.7389</v>
      </c>
      <c r="AS533" s="162">
        <v>0.72909999999999997</v>
      </c>
      <c r="AT533" s="162">
        <v>0.7198</v>
      </c>
      <c r="AU533" s="162">
        <v>0.71179999999999999</v>
      </c>
    </row>
    <row r="534" spans="1:47" ht="12.75" customHeight="1">
      <c r="A534" s="459">
        <v>44631</v>
      </c>
      <c r="B534" s="139">
        <v>10</v>
      </c>
      <c r="C534" s="162">
        <v>-0.57850000000000001</v>
      </c>
      <c r="D534" s="162">
        <v>-0.57850000000000001</v>
      </c>
      <c r="E534" s="162">
        <v>-0.57520000000000004</v>
      </c>
      <c r="F534" s="162">
        <v>-0.57450000000000001</v>
      </c>
      <c r="G534" s="162">
        <v>-0.57440000000000002</v>
      </c>
      <c r="H534" s="162">
        <v>-0.57320000000000004</v>
      </c>
      <c r="I534" s="162">
        <v>-0.57110000000000005</v>
      </c>
      <c r="J534" s="162">
        <v>-0.56869999999999998</v>
      </c>
      <c r="K534" s="162">
        <v>-0.56689999999999996</v>
      </c>
      <c r="L534" s="162">
        <v>-0.5585</v>
      </c>
      <c r="M534" s="162">
        <v>-0.55059999999999998</v>
      </c>
      <c r="N534" s="162">
        <v>-0.54049999999999998</v>
      </c>
      <c r="O534" s="162">
        <v>-0.52569999999999995</v>
      </c>
      <c r="P534" s="162">
        <v>-0.51319999999999999</v>
      </c>
      <c r="Q534" s="162">
        <v>-0.49280000000000002</v>
      </c>
      <c r="R534" s="162">
        <v>-0.47420000000000001</v>
      </c>
      <c r="S534" s="162">
        <v>-0.18479999999999999</v>
      </c>
      <c r="T534" s="162">
        <v>-1.7100000000000001E-2</v>
      </c>
      <c r="U534" s="162">
        <v>9.1600000000000001E-2</v>
      </c>
      <c r="V534" s="162">
        <v>0.16189999999999999</v>
      </c>
      <c r="W534" s="162">
        <v>0.22650000000000001</v>
      </c>
      <c r="X534" s="162">
        <v>0.28810000000000002</v>
      </c>
      <c r="Y534" s="162">
        <v>0.35249999999999998</v>
      </c>
      <c r="Z534" s="162">
        <v>0.41660000000000003</v>
      </c>
      <c r="AA534" s="162">
        <v>0.47649999999999998</v>
      </c>
      <c r="AB534" s="162">
        <v>0.52339999999999998</v>
      </c>
      <c r="AC534" s="162">
        <v>0.57520000000000004</v>
      </c>
      <c r="AD534" s="162">
        <v>0.60829999999999995</v>
      </c>
      <c r="AE534" s="162">
        <v>0.64129999999999998</v>
      </c>
      <c r="AF534" s="162">
        <v>0.6724</v>
      </c>
      <c r="AG534" s="162">
        <v>0.67800000000000005</v>
      </c>
      <c r="AH534" s="162">
        <v>0.6835</v>
      </c>
      <c r="AI534" s="162">
        <v>0.68899999999999995</v>
      </c>
      <c r="AJ534" s="162">
        <v>0.69450000000000001</v>
      </c>
      <c r="AK534" s="162">
        <v>0.7</v>
      </c>
      <c r="AL534" s="162">
        <v>0.69520000000000004</v>
      </c>
      <c r="AM534" s="162">
        <v>0.68769999999999998</v>
      </c>
      <c r="AN534" s="162">
        <v>0.67920000000000003</v>
      </c>
      <c r="AO534" s="162">
        <v>0.66969999999999996</v>
      </c>
      <c r="AP534" s="162">
        <v>0.65849999999999997</v>
      </c>
      <c r="AQ534" s="162">
        <v>0.6482</v>
      </c>
      <c r="AR534" s="162">
        <v>0.63600000000000001</v>
      </c>
      <c r="AS534" s="162">
        <v>0.62280000000000002</v>
      </c>
      <c r="AT534" s="162">
        <v>0.61050000000000004</v>
      </c>
      <c r="AU534" s="162">
        <v>0.59709999999999996</v>
      </c>
    </row>
    <row r="535" spans="1:47" ht="12.75" customHeight="1">
      <c r="A535" s="459">
        <v>44638</v>
      </c>
      <c r="B535" s="139">
        <v>11</v>
      </c>
      <c r="C535" s="162">
        <v>-0.57850000000000001</v>
      </c>
      <c r="D535" s="162">
        <v>-0.57850000000000001</v>
      </c>
      <c r="E535" s="162">
        <v>-0.57730000000000004</v>
      </c>
      <c r="F535" s="162">
        <v>-0.5766</v>
      </c>
      <c r="G535" s="162">
        <v>-0.57650000000000001</v>
      </c>
      <c r="H535" s="162">
        <v>-0.57489999999999997</v>
      </c>
      <c r="I535" s="162">
        <v>-0.57430000000000003</v>
      </c>
      <c r="J535" s="162">
        <v>-0.56879999999999997</v>
      </c>
      <c r="K535" s="162">
        <v>-0.55989999999999995</v>
      </c>
      <c r="L535" s="162">
        <v>-0.54879999999999995</v>
      </c>
      <c r="M535" s="162">
        <v>-0.53039999999999998</v>
      </c>
      <c r="N535" s="162">
        <v>-0.51249999999999996</v>
      </c>
      <c r="O535" s="162">
        <v>-0.49399999999999999</v>
      </c>
      <c r="P535" s="162">
        <v>-0.46949999999999997</v>
      </c>
      <c r="Q535" s="162">
        <v>-0.44219999999999998</v>
      </c>
      <c r="R535" s="162">
        <v>-0.41789999999999999</v>
      </c>
      <c r="S535" s="162">
        <v>-6.6400000000000001E-2</v>
      </c>
      <c r="T535" s="162">
        <v>9.5699999999999993E-2</v>
      </c>
      <c r="U535" s="162">
        <v>0.2069</v>
      </c>
      <c r="V535" s="162">
        <v>0.29239999999999999</v>
      </c>
      <c r="W535" s="162">
        <v>0.36020000000000002</v>
      </c>
      <c r="X535" s="162">
        <v>0.4259</v>
      </c>
      <c r="Y535" s="162">
        <v>0.49259999999999998</v>
      </c>
      <c r="Z535" s="162">
        <v>0.55889999999999995</v>
      </c>
      <c r="AA535" s="162">
        <v>0.62160000000000004</v>
      </c>
      <c r="AB535" s="162">
        <v>0.67620000000000002</v>
      </c>
      <c r="AC535" s="162">
        <v>0.72940000000000005</v>
      </c>
      <c r="AD535" s="162">
        <v>0.76829999999999998</v>
      </c>
      <c r="AE535" s="162">
        <v>0.8</v>
      </c>
      <c r="AF535" s="162">
        <v>0.82389999999999997</v>
      </c>
      <c r="AG535" s="162">
        <v>0.82179999999999997</v>
      </c>
      <c r="AH535" s="162">
        <v>0.8196</v>
      </c>
      <c r="AI535" s="162">
        <v>0.8175</v>
      </c>
      <c r="AJ535" s="162">
        <v>0.81530000000000002</v>
      </c>
      <c r="AK535" s="162">
        <v>0.81310000000000004</v>
      </c>
      <c r="AL535" s="162">
        <v>0.79700000000000004</v>
      </c>
      <c r="AM535" s="162">
        <v>0.78139999999999998</v>
      </c>
      <c r="AN535" s="162">
        <v>0.7661</v>
      </c>
      <c r="AO535" s="162">
        <v>0.749</v>
      </c>
      <c r="AP535" s="162">
        <v>0.73309999999999997</v>
      </c>
      <c r="AQ535" s="162">
        <v>0.71179999999999999</v>
      </c>
      <c r="AR535" s="162">
        <v>0.69120000000000004</v>
      </c>
      <c r="AS535" s="162">
        <v>0.67069999999999996</v>
      </c>
      <c r="AT535" s="162">
        <v>0.65049999999999997</v>
      </c>
      <c r="AU535" s="162">
        <v>0.63280000000000003</v>
      </c>
    </row>
    <row r="536" spans="1:47" ht="12.75" customHeight="1">
      <c r="A536" s="459">
        <v>44645</v>
      </c>
      <c r="B536" s="139">
        <v>12</v>
      </c>
      <c r="C536" s="162">
        <v>-0.57630000000000003</v>
      </c>
      <c r="D536" s="162">
        <v>-0.57630000000000003</v>
      </c>
      <c r="E536" s="162">
        <v>-0.57650000000000001</v>
      </c>
      <c r="F536" s="162">
        <v>-0.5766</v>
      </c>
      <c r="G536" s="162">
        <v>-0.57640000000000002</v>
      </c>
      <c r="H536" s="162">
        <v>-0.57599999999999996</v>
      </c>
      <c r="I536" s="162">
        <v>-0.57330000000000003</v>
      </c>
      <c r="J536" s="162">
        <v>-0.56289999999999996</v>
      </c>
      <c r="K536" s="162">
        <v>-0.54510000000000003</v>
      </c>
      <c r="L536" s="162">
        <v>-0.52659999999999996</v>
      </c>
      <c r="M536" s="162">
        <v>-0.50070000000000003</v>
      </c>
      <c r="N536" s="162">
        <v>-0.47570000000000001</v>
      </c>
      <c r="O536" s="162">
        <v>-0.45250000000000001</v>
      </c>
      <c r="P536" s="162">
        <v>-0.42009999999999997</v>
      </c>
      <c r="Q536" s="162">
        <v>-0.38550000000000001</v>
      </c>
      <c r="R536" s="162">
        <v>-0.35339999999999999</v>
      </c>
      <c r="S536" s="162">
        <v>5.9700000000000003E-2</v>
      </c>
      <c r="T536" s="162">
        <v>0.2555</v>
      </c>
      <c r="U536" s="162">
        <v>0.372</v>
      </c>
      <c r="V536" s="162">
        <v>0.45750000000000002</v>
      </c>
      <c r="W536" s="162">
        <v>0.51919999999999999</v>
      </c>
      <c r="X536" s="162">
        <v>0.57640000000000002</v>
      </c>
      <c r="Y536" s="162">
        <v>0.63700000000000001</v>
      </c>
      <c r="Z536" s="162">
        <v>0.69830000000000003</v>
      </c>
      <c r="AA536" s="162">
        <v>0.75800000000000001</v>
      </c>
      <c r="AB536" s="162">
        <v>0.81289999999999996</v>
      </c>
      <c r="AC536" s="162">
        <v>0.86119999999999997</v>
      </c>
      <c r="AD536" s="162">
        <v>0.90359999999999996</v>
      </c>
      <c r="AE536" s="162">
        <v>0.93559999999999999</v>
      </c>
      <c r="AF536" s="162">
        <v>0.95879999999999999</v>
      </c>
      <c r="AG536" s="162">
        <v>0.96030000000000004</v>
      </c>
      <c r="AH536" s="162">
        <v>0.96179999999999999</v>
      </c>
      <c r="AI536" s="162">
        <v>0.96330000000000005</v>
      </c>
      <c r="AJ536" s="162">
        <v>0.96479999999999999</v>
      </c>
      <c r="AK536" s="162">
        <v>0.96630000000000005</v>
      </c>
      <c r="AL536" s="162">
        <v>0.95579999999999998</v>
      </c>
      <c r="AM536" s="162">
        <v>0.94179999999999997</v>
      </c>
      <c r="AN536" s="162">
        <v>0.92679999999999996</v>
      </c>
      <c r="AO536" s="162">
        <v>0.91049999999999998</v>
      </c>
      <c r="AP536" s="162">
        <v>0.89229999999999998</v>
      </c>
      <c r="AQ536" s="162">
        <v>0.87529999999999997</v>
      </c>
      <c r="AR536" s="162">
        <v>0.85660000000000003</v>
      </c>
      <c r="AS536" s="162">
        <v>0.83779999999999999</v>
      </c>
      <c r="AT536" s="162">
        <v>0.81950000000000001</v>
      </c>
      <c r="AU536" s="162">
        <v>0.80110000000000003</v>
      </c>
    </row>
    <row r="537" spans="1:47" ht="12.75" customHeight="1">
      <c r="A537" s="459">
        <v>44652</v>
      </c>
      <c r="B537" s="139">
        <v>13</v>
      </c>
      <c r="C537" s="162">
        <v>-0.57830000000000004</v>
      </c>
      <c r="D537" s="162">
        <v>-0.57830000000000004</v>
      </c>
      <c r="E537" s="162">
        <v>-0.57740000000000002</v>
      </c>
      <c r="F537" s="162">
        <v>-0.57720000000000005</v>
      </c>
      <c r="G537" s="162">
        <v>-0.57650000000000001</v>
      </c>
      <c r="H537" s="162">
        <v>-0.5766</v>
      </c>
      <c r="I537" s="162">
        <v>-0.57110000000000005</v>
      </c>
      <c r="J537" s="162">
        <v>-0.56089999999999995</v>
      </c>
      <c r="K537" s="162">
        <v>-0.53949999999999998</v>
      </c>
      <c r="L537" s="162">
        <v>-0.51600000000000001</v>
      </c>
      <c r="M537" s="162">
        <v>-0.48780000000000001</v>
      </c>
      <c r="N537" s="162">
        <v>-0.45800000000000002</v>
      </c>
      <c r="O537" s="162">
        <v>-0.42930000000000001</v>
      </c>
      <c r="P537" s="162">
        <v>-0.39090000000000003</v>
      </c>
      <c r="Q537" s="162">
        <v>-0.35060000000000002</v>
      </c>
      <c r="R537" s="162">
        <v>-0.31340000000000001</v>
      </c>
      <c r="S537" s="162">
        <v>0.16639999999999999</v>
      </c>
      <c r="T537" s="162">
        <v>0.3821</v>
      </c>
      <c r="U537" s="162">
        <v>0.49709999999999999</v>
      </c>
      <c r="V537" s="162">
        <v>0.56979999999999997</v>
      </c>
      <c r="W537" s="162">
        <v>0.62760000000000005</v>
      </c>
      <c r="X537" s="162">
        <v>0.68049999999999999</v>
      </c>
      <c r="Y537" s="162">
        <v>0.73650000000000004</v>
      </c>
      <c r="Z537" s="162">
        <v>0.79269999999999996</v>
      </c>
      <c r="AA537" s="162">
        <v>0.84750000000000003</v>
      </c>
      <c r="AB537" s="162">
        <v>0.89710000000000001</v>
      </c>
      <c r="AC537" s="162">
        <v>0.93640000000000001</v>
      </c>
      <c r="AD537" s="162">
        <v>0.97470000000000001</v>
      </c>
      <c r="AE537" s="162">
        <v>1.0028999999999999</v>
      </c>
      <c r="AF537" s="162">
        <v>1.0224</v>
      </c>
      <c r="AG537" s="162">
        <v>1.0227999999999999</v>
      </c>
      <c r="AH537" s="162">
        <v>1.0230999999999999</v>
      </c>
      <c r="AI537" s="162">
        <v>1.0235000000000001</v>
      </c>
      <c r="AJ537" s="162">
        <v>1.0238</v>
      </c>
      <c r="AK537" s="162">
        <v>1.0242</v>
      </c>
      <c r="AL537" s="162">
        <v>1.0122</v>
      </c>
      <c r="AM537" s="162">
        <v>0.99790000000000001</v>
      </c>
      <c r="AN537" s="162">
        <v>0.98329999999999995</v>
      </c>
      <c r="AO537" s="162">
        <v>0.96860000000000002</v>
      </c>
      <c r="AP537" s="162">
        <v>0.95320000000000005</v>
      </c>
      <c r="AQ537" s="162">
        <v>0.93479999999999996</v>
      </c>
      <c r="AR537" s="162">
        <v>0.91720000000000002</v>
      </c>
      <c r="AS537" s="162">
        <v>0.89980000000000004</v>
      </c>
      <c r="AT537" s="162">
        <v>0.88290000000000002</v>
      </c>
      <c r="AU537" s="162">
        <v>0.86719999999999997</v>
      </c>
    </row>
    <row r="538" spans="1:47" ht="12.75" customHeight="1">
      <c r="A538" s="459">
        <v>44659</v>
      </c>
      <c r="B538" s="139">
        <v>14</v>
      </c>
      <c r="C538" s="162">
        <v>-0.58279999999999998</v>
      </c>
      <c r="D538" s="162">
        <v>-0.58279999999999998</v>
      </c>
      <c r="E538" s="162">
        <v>-0.57699999999999996</v>
      </c>
      <c r="F538" s="162">
        <v>-0.57709999999999995</v>
      </c>
      <c r="G538" s="162">
        <v>-0.57569999999999999</v>
      </c>
      <c r="H538" s="162">
        <v>-0.57520000000000004</v>
      </c>
      <c r="I538" s="162">
        <v>-0.5645</v>
      </c>
      <c r="J538" s="162">
        <v>-0.54859999999999998</v>
      </c>
      <c r="K538" s="162">
        <v>-0.52</v>
      </c>
      <c r="L538" s="162">
        <v>-0.48749999999999999</v>
      </c>
      <c r="M538" s="162">
        <v>-0.45340000000000003</v>
      </c>
      <c r="N538" s="162">
        <v>-0.41599999999999998</v>
      </c>
      <c r="O538" s="162">
        <v>-0.37680000000000002</v>
      </c>
      <c r="P538" s="162">
        <v>-0.32829999999999998</v>
      </c>
      <c r="Q538" s="162">
        <v>-0.2833</v>
      </c>
      <c r="R538" s="162">
        <v>-0.2268</v>
      </c>
      <c r="S538" s="162">
        <v>0.34849999999999998</v>
      </c>
      <c r="T538" s="162">
        <v>0.59689999999999999</v>
      </c>
      <c r="U538" s="162">
        <v>0.70340000000000003</v>
      </c>
      <c r="V538" s="162">
        <v>0.75829999999999997</v>
      </c>
      <c r="W538" s="162">
        <v>0.80089999999999995</v>
      </c>
      <c r="X538" s="162">
        <v>0.84160000000000001</v>
      </c>
      <c r="Y538" s="162">
        <v>0.88539999999999996</v>
      </c>
      <c r="Z538" s="162">
        <v>0.92959999999999998</v>
      </c>
      <c r="AA538" s="162">
        <v>0.97489999999999999</v>
      </c>
      <c r="AB538" s="162">
        <v>1.0127999999999999</v>
      </c>
      <c r="AC538" s="162">
        <v>1.0476000000000001</v>
      </c>
      <c r="AD538" s="162">
        <v>1.0760000000000001</v>
      </c>
      <c r="AE538" s="162">
        <v>1.0986</v>
      </c>
      <c r="AF538" s="162">
        <v>1.1158999999999999</v>
      </c>
      <c r="AG538" s="162">
        <v>1.1143000000000001</v>
      </c>
      <c r="AH538" s="162">
        <v>1.1128</v>
      </c>
      <c r="AI538" s="162">
        <v>1.1112</v>
      </c>
      <c r="AJ538" s="162">
        <v>1.1095999999999999</v>
      </c>
      <c r="AK538" s="162">
        <v>1.1081000000000001</v>
      </c>
      <c r="AL538" s="162">
        <v>1.0954999999999999</v>
      </c>
      <c r="AM538" s="162">
        <v>1.0806</v>
      </c>
      <c r="AN538" s="162">
        <v>1.0656000000000001</v>
      </c>
      <c r="AO538" s="162">
        <v>1.0501</v>
      </c>
      <c r="AP538" s="162">
        <v>1.0330999999999999</v>
      </c>
      <c r="AQ538" s="162">
        <v>1.0172000000000001</v>
      </c>
      <c r="AR538" s="162">
        <v>1.0003</v>
      </c>
      <c r="AS538" s="162">
        <v>0.9829</v>
      </c>
      <c r="AT538" s="162">
        <v>0.96609999999999996</v>
      </c>
      <c r="AU538" s="162">
        <v>0.94950000000000001</v>
      </c>
    </row>
    <row r="539" spans="1:47" ht="12.75" customHeight="1">
      <c r="A539" s="459">
        <v>44666</v>
      </c>
      <c r="B539" s="139">
        <v>15</v>
      </c>
      <c r="C539" s="162">
        <v>-0.58430000000000004</v>
      </c>
      <c r="D539" s="162">
        <v>-0.58430000000000004</v>
      </c>
      <c r="E539" s="162">
        <v>-0.58020000000000005</v>
      </c>
      <c r="F539" s="162">
        <v>-0.5786</v>
      </c>
      <c r="G539" s="162">
        <v>-0.5766</v>
      </c>
      <c r="H539" s="162">
        <v>-0.57530000000000003</v>
      </c>
      <c r="I539" s="162">
        <v>-0.56530000000000002</v>
      </c>
      <c r="J539" s="162">
        <v>-0.54749999999999999</v>
      </c>
      <c r="K539" s="162">
        <v>-0.52639999999999998</v>
      </c>
      <c r="L539" s="162">
        <v>-0.49109999999999998</v>
      </c>
      <c r="M539" s="162">
        <v>-0.4572</v>
      </c>
      <c r="N539" s="162">
        <v>-0.4219</v>
      </c>
      <c r="O539" s="162">
        <v>-0.37790000000000001</v>
      </c>
      <c r="P539" s="162">
        <v>-0.3271</v>
      </c>
      <c r="Q539" s="162">
        <v>-0.2802</v>
      </c>
      <c r="R539" s="162">
        <v>-0.22020000000000001</v>
      </c>
      <c r="S539" s="162">
        <v>0.40260000000000001</v>
      </c>
      <c r="T539" s="162">
        <v>0.66369999999999996</v>
      </c>
      <c r="U539" s="162">
        <v>0.7681</v>
      </c>
      <c r="V539" s="162">
        <v>0.81640000000000001</v>
      </c>
      <c r="W539" s="162">
        <v>0.85319999999999996</v>
      </c>
      <c r="X539" s="162">
        <v>0.8921</v>
      </c>
      <c r="Y539" s="162">
        <v>0.93640000000000001</v>
      </c>
      <c r="Z539" s="162">
        <v>0.98140000000000005</v>
      </c>
      <c r="AA539" s="162">
        <v>1.0263</v>
      </c>
      <c r="AB539" s="162">
        <v>1.0676000000000001</v>
      </c>
      <c r="AC539" s="162">
        <v>1.1005</v>
      </c>
      <c r="AD539" s="162">
        <v>1.1328</v>
      </c>
      <c r="AE539" s="162">
        <v>1.1563000000000001</v>
      </c>
      <c r="AF539" s="162">
        <v>1.1715</v>
      </c>
      <c r="AG539" s="162">
        <v>1.17</v>
      </c>
      <c r="AH539" s="162">
        <v>1.1685000000000001</v>
      </c>
      <c r="AI539" s="162">
        <v>1.167</v>
      </c>
      <c r="AJ539" s="162">
        <v>1.1655</v>
      </c>
      <c r="AK539" s="162">
        <v>1.1640999999999999</v>
      </c>
      <c r="AL539" s="162">
        <v>1.1528</v>
      </c>
      <c r="AM539" s="162">
        <v>1.1397999999999999</v>
      </c>
      <c r="AN539" s="162">
        <v>1.1252</v>
      </c>
      <c r="AO539" s="162">
        <v>1.1101000000000001</v>
      </c>
      <c r="AP539" s="162">
        <v>1.0942000000000001</v>
      </c>
      <c r="AQ539" s="162">
        <v>1.08</v>
      </c>
      <c r="AR539" s="162">
        <v>1.0641</v>
      </c>
      <c r="AS539" s="162">
        <v>1.0483</v>
      </c>
      <c r="AT539" s="162">
        <v>1.0326</v>
      </c>
      <c r="AU539" s="162">
        <v>1.0170999999999999</v>
      </c>
    </row>
    <row r="540" spans="1:47" ht="12.75" customHeight="1">
      <c r="A540" s="459">
        <v>44673</v>
      </c>
      <c r="B540" s="139">
        <v>16</v>
      </c>
      <c r="C540" s="162">
        <v>-0.58399999999999996</v>
      </c>
      <c r="D540" s="162">
        <v>-0.58399999999999996</v>
      </c>
      <c r="E540" s="162">
        <v>-0.57830000000000004</v>
      </c>
      <c r="F540" s="162">
        <v>-0.57530000000000003</v>
      </c>
      <c r="G540" s="162">
        <v>-0.57350000000000001</v>
      </c>
      <c r="H540" s="162">
        <v>-0.57089999999999996</v>
      </c>
      <c r="I540" s="162">
        <v>-0.55700000000000005</v>
      </c>
      <c r="J540" s="162">
        <v>-0.52639999999999998</v>
      </c>
      <c r="K540" s="162">
        <v>-0.49769999999999998</v>
      </c>
      <c r="L540" s="162">
        <v>-0.45250000000000001</v>
      </c>
      <c r="M540" s="162">
        <v>-0.41089999999999999</v>
      </c>
      <c r="N540" s="162">
        <v>-0.37380000000000002</v>
      </c>
      <c r="O540" s="162">
        <v>-0.31909999999999999</v>
      </c>
      <c r="P540" s="162">
        <v>-0.26500000000000001</v>
      </c>
      <c r="Q540" s="162">
        <v>-0.2142</v>
      </c>
      <c r="R540" s="162">
        <v>-0.14680000000000001</v>
      </c>
      <c r="S540" s="162">
        <v>0.51719999999999999</v>
      </c>
      <c r="T540" s="162">
        <v>0.78890000000000005</v>
      </c>
      <c r="U540" s="162">
        <v>0.91379999999999995</v>
      </c>
      <c r="V540" s="162">
        <v>0.98050000000000004</v>
      </c>
      <c r="W540" s="162">
        <v>1.0265</v>
      </c>
      <c r="X540" s="162">
        <v>1.0729</v>
      </c>
      <c r="Y540" s="162">
        <v>1.1244000000000001</v>
      </c>
      <c r="Z540" s="162">
        <v>1.1777</v>
      </c>
      <c r="AA540" s="162">
        <v>1.2273000000000001</v>
      </c>
      <c r="AB540" s="162">
        <v>1.2732000000000001</v>
      </c>
      <c r="AC540" s="162">
        <v>1.3096000000000001</v>
      </c>
      <c r="AD540" s="162">
        <v>1.3438000000000001</v>
      </c>
      <c r="AE540" s="162">
        <v>1.3683000000000001</v>
      </c>
      <c r="AF540" s="162">
        <v>1.3835</v>
      </c>
      <c r="AG540" s="162">
        <v>1.3805000000000001</v>
      </c>
      <c r="AH540" s="162">
        <v>1.3774999999999999</v>
      </c>
      <c r="AI540" s="162">
        <v>1.3745000000000001</v>
      </c>
      <c r="AJ540" s="162">
        <v>1.3715999999999999</v>
      </c>
      <c r="AK540" s="162">
        <v>1.3686</v>
      </c>
      <c r="AL540" s="162">
        <v>1.3560000000000001</v>
      </c>
      <c r="AM540" s="162">
        <v>1.3408</v>
      </c>
      <c r="AN540" s="162">
        <v>1.3238000000000001</v>
      </c>
      <c r="AO540" s="162">
        <v>1.3078000000000001</v>
      </c>
      <c r="AP540" s="162">
        <v>1.2899</v>
      </c>
      <c r="AQ540" s="162">
        <v>1.2749999999999999</v>
      </c>
      <c r="AR540" s="162">
        <v>1.2574000000000001</v>
      </c>
      <c r="AS540" s="162">
        <v>1.2399</v>
      </c>
      <c r="AT540" s="162">
        <v>1.2233000000000001</v>
      </c>
      <c r="AU540" s="162">
        <v>1.2061999999999999</v>
      </c>
    </row>
    <row r="541" spans="1:47" ht="12.75" customHeight="1">
      <c r="A541" s="459">
        <v>44680</v>
      </c>
      <c r="B541" s="139">
        <v>17</v>
      </c>
      <c r="C541" s="162">
        <v>-0.5827</v>
      </c>
      <c r="D541" s="162">
        <v>-0.5827</v>
      </c>
      <c r="E541" s="162">
        <v>-0.57699999999999996</v>
      </c>
      <c r="F541" s="162">
        <v>-0.57699999999999996</v>
      </c>
      <c r="G541" s="162">
        <v>-0.57699999999999996</v>
      </c>
      <c r="H541" s="162">
        <v>-0.57210000000000005</v>
      </c>
      <c r="I541" s="162">
        <v>-0.5645</v>
      </c>
      <c r="J541" s="162">
        <v>-0.52180000000000004</v>
      </c>
      <c r="K541" s="162">
        <v>-0.4803</v>
      </c>
      <c r="L541" s="162">
        <v>-0.4355</v>
      </c>
      <c r="M541" s="162">
        <v>-0.37519999999999998</v>
      </c>
      <c r="N541" s="162">
        <v>-0.32800000000000001</v>
      </c>
      <c r="O541" s="162">
        <v>-0.26979999999999998</v>
      </c>
      <c r="P541" s="162">
        <v>-0.20749999999999999</v>
      </c>
      <c r="Q541" s="162">
        <v>-0.15</v>
      </c>
      <c r="R541" s="162">
        <v>-8.4900000000000003E-2</v>
      </c>
      <c r="S541" s="162">
        <v>0.5696</v>
      </c>
      <c r="T541" s="162">
        <v>0.84840000000000004</v>
      </c>
      <c r="U541" s="162">
        <v>0.98599999999999999</v>
      </c>
      <c r="V541" s="162">
        <v>1.0627</v>
      </c>
      <c r="W541" s="162">
        <v>1.1201000000000001</v>
      </c>
      <c r="X541" s="162">
        <v>1.1751</v>
      </c>
      <c r="Y541" s="162">
        <v>1.2330000000000001</v>
      </c>
      <c r="Z541" s="162">
        <v>1.2902</v>
      </c>
      <c r="AA541" s="162">
        <v>1.3461000000000001</v>
      </c>
      <c r="AB541" s="162">
        <v>1.3984000000000001</v>
      </c>
      <c r="AC541" s="162">
        <v>1.4415</v>
      </c>
      <c r="AD541" s="162">
        <v>1.4799</v>
      </c>
      <c r="AE541" s="162">
        <v>1.5073000000000001</v>
      </c>
      <c r="AF541" s="162">
        <v>1.524</v>
      </c>
      <c r="AG541" s="162">
        <v>1.5195000000000001</v>
      </c>
      <c r="AH541" s="162">
        <v>1.5149999999999999</v>
      </c>
      <c r="AI541" s="162">
        <v>1.5105</v>
      </c>
      <c r="AJ541" s="162">
        <v>1.506</v>
      </c>
      <c r="AK541" s="162">
        <v>1.5016</v>
      </c>
      <c r="AL541" s="162">
        <v>1.4859</v>
      </c>
      <c r="AM541" s="162">
        <v>1.4692000000000001</v>
      </c>
      <c r="AN541" s="162">
        <v>1.4499</v>
      </c>
      <c r="AO541" s="162">
        <v>1.4309000000000001</v>
      </c>
      <c r="AP541" s="162">
        <v>1.4118999999999999</v>
      </c>
      <c r="AQ541" s="162">
        <v>1.3922000000000001</v>
      </c>
      <c r="AR541" s="162">
        <v>1.3720000000000001</v>
      </c>
      <c r="AS541" s="162">
        <v>1.3526</v>
      </c>
      <c r="AT541" s="162">
        <v>1.3332999999999999</v>
      </c>
      <c r="AU541" s="162">
        <v>1.3156000000000001</v>
      </c>
    </row>
    <row r="542" spans="1:47" ht="12.75" customHeight="1">
      <c r="A542" s="459">
        <v>44687</v>
      </c>
      <c r="B542" s="139">
        <v>18</v>
      </c>
      <c r="C542" s="162">
        <v>-0.58330000000000004</v>
      </c>
      <c r="D542" s="162">
        <v>-0.58330000000000004</v>
      </c>
      <c r="E542" s="162">
        <v>-0.58040000000000003</v>
      </c>
      <c r="F542" s="162">
        <v>-0.58040000000000003</v>
      </c>
      <c r="G542" s="162">
        <v>-0.58040000000000003</v>
      </c>
      <c r="H542" s="162">
        <v>-0.57279999999999998</v>
      </c>
      <c r="I542" s="162">
        <v>-0.55920000000000003</v>
      </c>
      <c r="J542" s="162">
        <v>-0.50739999999999996</v>
      </c>
      <c r="K542" s="162">
        <v>-0.45279999999999998</v>
      </c>
      <c r="L542" s="162">
        <v>-0.39729999999999999</v>
      </c>
      <c r="M542" s="162">
        <v>-0.33339999999999997</v>
      </c>
      <c r="N542" s="162">
        <v>-0.2772</v>
      </c>
      <c r="O542" s="162">
        <v>-0.20830000000000001</v>
      </c>
      <c r="P542" s="162">
        <v>-0.14860000000000001</v>
      </c>
      <c r="Q542" s="162">
        <v>-8.1299999999999997E-2</v>
      </c>
      <c r="R542" s="162">
        <v>-1.29E-2</v>
      </c>
      <c r="S542" s="162">
        <v>0.60960000000000003</v>
      </c>
      <c r="T542" s="162">
        <v>0.85370000000000001</v>
      </c>
      <c r="U542" s="162">
        <v>0.96409999999999996</v>
      </c>
      <c r="V542" s="162">
        <v>1.026</v>
      </c>
      <c r="W542" s="162">
        <v>1.0797000000000001</v>
      </c>
      <c r="X542" s="162">
        <v>1.133</v>
      </c>
      <c r="Y542" s="162">
        <v>1.194</v>
      </c>
      <c r="Z542" s="162">
        <v>1.2546999999999999</v>
      </c>
      <c r="AA542" s="162">
        <v>1.3123</v>
      </c>
      <c r="AB542" s="162">
        <v>1.3655999999999999</v>
      </c>
      <c r="AC542" s="162">
        <v>1.4161999999999999</v>
      </c>
      <c r="AD542" s="162">
        <v>1.4538</v>
      </c>
      <c r="AE542" s="162">
        <v>1.4853000000000001</v>
      </c>
      <c r="AF542" s="162">
        <v>1.5105999999999999</v>
      </c>
      <c r="AG542" s="162">
        <v>1.5099</v>
      </c>
      <c r="AH542" s="162">
        <v>1.5091000000000001</v>
      </c>
      <c r="AI542" s="162">
        <v>1.5083</v>
      </c>
      <c r="AJ542" s="162">
        <v>1.5076000000000001</v>
      </c>
      <c r="AK542" s="162">
        <v>1.5067999999999999</v>
      </c>
      <c r="AL542" s="162">
        <v>1.4883999999999999</v>
      </c>
      <c r="AM542" s="162">
        <v>1.4697</v>
      </c>
      <c r="AN542" s="162">
        <v>1.4504999999999999</v>
      </c>
      <c r="AO542" s="162">
        <v>1.4302999999999999</v>
      </c>
      <c r="AP542" s="162">
        <v>1.4116</v>
      </c>
      <c r="AQ542" s="162">
        <v>1.3884000000000001</v>
      </c>
      <c r="AR542" s="162">
        <v>1.367</v>
      </c>
      <c r="AS542" s="162">
        <v>1.3464</v>
      </c>
      <c r="AT542" s="162">
        <v>1.3260000000000001</v>
      </c>
      <c r="AU542" s="162">
        <v>1.3102</v>
      </c>
    </row>
    <row r="543" spans="1:47" ht="12.75" customHeight="1">
      <c r="A543" s="459">
        <v>44694</v>
      </c>
      <c r="B543" s="139">
        <v>19</v>
      </c>
      <c r="C543" s="162">
        <v>-0.58299999999999996</v>
      </c>
      <c r="D543" s="162">
        <v>-0.58299999999999996</v>
      </c>
      <c r="E543" s="162">
        <v>-0.57999999999999996</v>
      </c>
      <c r="F543" s="162">
        <v>-0.57989999999999997</v>
      </c>
      <c r="G543" s="162">
        <v>-0.57999999999999996</v>
      </c>
      <c r="H543" s="162">
        <v>-0.56620000000000004</v>
      </c>
      <c r="I543" s="162">
        <v>-0.53590000000000004</v>
      </c>
      <c r="J543" s="162">
        <v>-0.48649999999999999</v>
      </c>
      <c r="K543" s="162">
        <v>-0.41860000000000003</v>
      </c>
      <c r="L543" s="162">
        <v>-0.35289999999999999</v>
      </c>
      <c r="M543" s="162">
        <v>-0.28899999999999998</v>
      </c>
      <c r="N543" s="162">
        <v>-0.22170000000000001</v>
      </c>
      <c r="O543" s="162">
        <v>-0.1457</v>
      </c>
      <c r="P543" s="162">
        <v>-8.3299999999999999E-2</v>
      </c>
      <c r="Q543" s="162">
        <v>-3.2000000000000002E-3</v>
      </c>
      <c r="R543" s="162">
        <v>7.5300000000000006E-2</v>
      </c>
      <c r="S543" s="162">
        <v>0.73880000000000001</v>
      </c>
      <c r="T543" s="162">
        <v>0.98519999999999996</v>
      </c>
      <c r="U543" s="162">
        <v>1.1014999999999999</v>
      </c>
      <c r="V543" s="162">
        <v>1.1713</v>
      </c>
      <c r="W543" s="162">
        <v>1.2270000000000001</v>
      </c>
      <c r="X543" s="162">
        <v>1.2834000000000001</v>
      </c>
      <c r="Y543" s="162">
        <v>1.3432999999999999</v>
      </c>
      <c r="Z543" s="162">
        <v>1.4063000000000001</v>
      </c>
      <c r="AA543" s="162">
        <v>1.4661</v>
      </c>
      <c r="AB543" s="162">
        <v>1.5223</v>
      </c>
      <c r="AC543" s="162">
        <v>1.5678000000000001</v>
      </c>
      <c r="AD543" s="162">
        <v>1.6093</v>
      </c>
      <c r="AE543" s="162">
        <v>1.6413</v>
      </c>
      <c r="AF543" s="162">
        <v>1.6604000000000001</v>
      </c>
      <c r="AG543" s="162">
        <v>1.6593</v>
      </c>
      <c r="AH543" s="162">
        <v>1.6581999999999999</v>
      </c>
      <c r="AI543" s="162">
        <v>1.6571</v>
      </c>
      <c r="AJ543" s="162">
        <v>1.6559999999999999</v>
      </c>
      <c r="AK543" s="162">
        <v>1.6549</v>
      </c>
      <c r="AL543" s="162">
        <v>1.6388</v>
      </c>
      <c r="AM543" s="162">
        <v>1.6194999999999999</v>
      </c>
      <c r="AN543" s="162">
        <v>1.5998000000000001</v>
      </c>
      <c r="AO543" s="162">
        <v>1.5794999999999999</v>
      </c>
      <c r="AP543" s="162">
        <v>1.5587</v>
      </c>
      <c r="AQ543" s="162">
        <v>1.5370999999999999</v>
      </c>
      <c r="AR543" s="162">
        <v>1.5159</v>
      </c>
      <c r="AS543" s="162">
        <v>1.4945999999999999</v>
      </c>
      <c r="AT543" s="162">
        <v>1.4742</v>
      </c>
      <c r="AU543" s="162">
        <v>1.4550000000000001</v>
      </c>
    </row>
    <row r="544" spans="1:47" ht="12.75" customHeight="1">
      <c r="A544" s="459">
        <v>44701</v>
      </c>
      <c r="B544" s="139">
        <v>20</v>
      </c>
      <c r="C544" s="162">
        <v>-0.58279999999999998</v>
      </c>
      <c r="D544" s="162">
        <v>-0.58279999999999998</v>
      </c>
      <c r="E544" s="162">
        <v>-0.58069999999999999</v>
      </c>
      <c r="F544" s="162">
        <v>-0.58040000000000003</v>
      </c>
      <c r="G544" s="162">
        <v>-0.58030000000000004</v>
      </c>
      <c r="H544" s="162">
        <v>-0.56320000000000003</v>
      </c>
      <c r="I544" s="162">
        <v>-0.51359999999999995</v>
      </c>
      <c r="J544" s="162">
        <v>-0.46179999999999999</v>
      </c>
      <c r="K544" s="162">
        <v>-0.39019999999999999</v>
      </c>
      <c r="L544" s="162">
        <v>-0.32600000000000001</v>
      </c>
      <c r="M544" s="162">
        <v>-0.26860000000000001</v>
      </c>
      <c r="N544" s="162">
        <v>-0.2049</v>
      </c>
      <c r="O544" s="162">
        <v>-0.13739999999999999</v>
      </c>
      <c r="P544" s="162">
        <v>-8.2500000000000004E-2</v>
      </c>
      <c r="Q544" s="162">
        <v>-1.5100000000000001E-2</v>
      </c>
      <c r="R544" s="162">
        <v>4.8099999999999997E-2</v>
      </c>
      <c r="S544" s="162">
        <v>0.61029999999999995</v>
      </c>
      <c r="T544" s="162">
        <v>0.8417</v>
      </c>
      <c r="U544" s="162">
        <v>0.97740000000000005</v>
      </c>
      <c r="V544" s="162">
        <v>1.0712999999999999</v>
      </c>
      <c r="W544" s="162">
        <v>1.1507000000000001</v>
      </c>
      <c r="X544" s="162">
        <v>1.2241</v>
      </c>
      <c r="Y544" s="162">
        <v>1.2979000000000001</v>
      </c>
      <c r="Z544" s="162">
        <v>1.3694999999999999</v>
      </c>
      <c r="AA544" s="162">
        <v>1.4386000000000001</v>
      </c>
      <c r="AB544" s="162">
        <v>1.5005999999999999</v>
      </c>
      <c r="AC544" s="162">
        <v>1.5476000000000001</v>
      </c>
      <c r="AD544" s="162">
        <v>1.5882000000000001</v>
      </c>
      <c r="AE544" s="162">
        <v>1.6178999999999999</v>
      </c>
      <c r="AF544" s="162">
        <v>1.6354</v>
      </c>
      <c r="AG544" s="162">
        <v>1.6321000000000001</v>
      </c>
      <c r="AH544" s="162">
        <v>1.6287</v>
      </c>
      <c r="AI544" s="162">
        <v>1.6253</v>
      </c>
      <c r="AJ544" s="162">
        <v>1.6220000000000001</v>
      </c>
      <c r="AK544" s="162">
        <v>1.6186</v>
      </c>
      <c r="AL544" s="162">
        <v>1.6</v>
      </c>
      <c r="AM544" s="162">
        <v>1.5815999999999999</v>
      </c>
      <c r="AN544" s="162">
        <v>1.5626</v>
      </c>
      <c r="AO544" s="162">
        <v>1.5444</v>
      </c>
      <c r="AP544" s="162">
        <v>1.5246</v>
      </c>
      <c r="AQ544" s="162">
        <v>1.5054000000000001</v>
      </c>
      <c r="AR544" s="162">
        <v>1.4855</v>
      </c>
      <c r="AS544" s="162">
        <v>1.4662999999999999</v>
      </c>
      <c r="AT544" s="162">
        <v>1.4473</v>
      </c>
      <c r="AU544" s="162">
        <v>1.4294</v>
      </c>
    </row>
    <row r="545" spans="1:47" ht="12.75" customHeight="1">
      <c r="A545" s="459">
        <v>44708</v>
      </c>
      <c r="B545" s="139">
        <v>21</v>
      </c>
      <c r="C545" s="162">
        <v>-0.58499999999999996</v>
      </c>
      <c r="D545" s="162">
        <v>-0.58499999999999996</v>
      </c>
      <c r="E545" s="162">
        <v>-0.58389999999999997</v>
      </c>
      <c r="F545" s="162">
        <v>-0.58389999999999997</v>
      </c>
      <c r="G545" s="162">
        <v>-0.57520000000000004</v>
      </c>
      <c r="H545" s="162">
        <v>-0.55900000000000005</v>
      </c>
      <c r="I545" s="162">
        <v>-0.47560000000000002</v>
      </c>
      <c r="J545" s="162">
        <v>-0.40160000000000001</v>
      </c>
      <c r="K545" s="162">
        <v>-0.3155</v>
      </c>
      <c r="L545" s="162">
        <v>-0.23069999999999999</v>
      </c>
      <c r="M545" s="162">
        <v>-0.16159999999999999</v>
      </c>
      <c r="N545" s="162">
        <v>-8.4400000000000003E-2</v>
      </c>
      <c r="O545" s="162">
        <v>-9.1999999999999998E-3</v>
      </c>
      <c r="P545" s="162">
        <v>5.2200000000000003E-2</v>
      </c>
      <c r="Q545" s="162">
        <v>0.1216</v>
      </c>
      <c r="R545" s="162">
        <v>0.18759999999999999</v>
      </c>
      <c r="S545" s="162">
        <v>0.71509999999999996</v>
      </c>
      <c r="T545" s="162">
        <v>0.91320000000000001</v>
      </c>
      <c r="U545" s="162">
        <v>1.0266</v>
      </c>
      <c r="V545" s="162">
        <v>1.1111</v>
      </c>
      <c r="W545" s="162">
        <v>1.1772</v>
      </c>
      <c r="X545" s="162">
        <v>1.2404999999999999</v>
      </c>
      <c r="Y545" s="162">
        <v>1.3052999999999999</v>
      </c>
      <c r="Z545" s="162">
        <v>1.3696999999999999</v>
      </c>
      <c r="AA545" s="162">
        <v>1.431</v>
      </c>
      <c r="AB545" s="162">
        <v>1.4866999999999999</v>
      </c>
      <c r="AC545" s="162">
        <v>1.5310999999999999</v>
      </c>
      <c r="AD545" s="162">
        <v>1.5672999999999999</v>
      </c>
      <c r="AE545" s="162">
        <v>1.5911999999999999</v>
      </c>
      <c r="AF545" s="162">
        <v>1.605</v>
      </c>
      <c r="AG545" s="162">
        <v>1.6004</v>
      </c>
      <c r="AH545" s="162">
        <v>1.5959000000000001</v>
      </c>
      <c r="AI545" s="162">
        <v>1.5912999999999999</v>
      </c>
      <c r="AJ545" s="162">
        <v>1.5868</v>
      </c>
      <c r="AK545" s="162">
        <v>1.5823</v>
      </c>
      <c r="AL545" s="162">
        <v>1.5643</v>
      </c>
      <c r="AM545" s="162">
        <v>1.5471999999999999</v>
      </c>
      <c r="AN545" s="162">
        <v>1.5291999999999999</v>
      </c>
      <c r="AO545" s="162">
        <v>1.5118</v>
      </c>
      <c r="AP545" s="162">
        <v>1.4961</v>
      </c>
      <c r="AQ545" s="162">
        <v>1.4761</v>
      </c>
      <c r="AR545" s="162">
        <v>1.4579</v>
      </c>
      <c r="AS545" s="162">
        <v>1.4407000000000001</v>
      </c>
      <c r="AT545" s="162">
        <v>1.4240999999999999</v>
      </c>
      <c r="AU545" s="162">
        <v>1.41</v>
      </c>
    </row>
    <row r="546" spans="1:47" ht="12.75" customHeight="1">
      <c r="A546" s="459">
        <v>44715</v>
      </c>
      <c r="B546" s="139">
        <v>22</v>
      </c>
      <c r="C546" s="162">
        <v>-0.58650000000000002</v>
      </c>
      <c r="D546" s="162">
        <v>-0.58650000000000002</v>
      </c>
      <c r="E546" s="162">
        <v>-0.58399999999999996</v>
      </c>
      <c r="F546" s="162">
        <v>-0.58360000000000001</v>
      </c>
      <c r="G546" s="162">
        <v>-0.57410000000000005</v>
      </c>
      <c r="H546" s="162">
        <v>-0.56769999999999998</v>
      </c>
      <c r="I546" s="162">
        <v>-0.4637</v>
      </c>
      <c r="J546" s="162">
        <v>-0.379</v>
      </c>
      <c r="K546" s="162">
        <v>-0.29239999999999999</v>
      </c>
      <c r="L546" s="162">
        <v>-0.2011</v>
      </c>
      <c r="M546" s="162">
        <v>-0.12670000000000001</v>
      </c>
      <c r="N546" s="162">
        <v>-4.9000000000000002E-2</v>
      </c>
      <c r="O546" s="162">
        <v>2.6700000000000002E-2</v>
      </c>
      <c r="P546" s="162">
        <v>8.9899999999999994E-2</v>
      </c>
      <c r="Q546" s="162">
        <v>0.15840000000000001</v>
      </c>
      <c r="R546" s="162">
        <v>0.2218</v>
      </c>
      <c r="S546" s="162">
        <v>0.70960000000000001</v>
      </c>
      <c r="T546" s="162">
        <v>0.88780000000000003</v>
      </c>
      <c r="U546" s="162">
        <v>0.99880000000000002</v>
      </c>
      <c r="V546" s="162">
        <v>1.0814999999999999</v>
      </c>
      <c r="W546" s="162">
        <v>1.145</v>
      </c>
      <c r="X546" s="162">
        <v>1.2035</v>
      </c>
      <c r="Y546" s="162">
        <v>1.264</v>
      </c>
      <c r="Z546" s="162">
        <v>1.3259000000000001</v>
      </c>
      <c r="AA546" s="162">
        <v>1.3861000000000001</v>
      </c>
      <c r="AB546" s="162">
        <v>1.4441999999999999</v>
      </c>
      <c r="AC546" s="162">
        <v>1.4877</v>
      </c>
      <c r="AD546" s="162">
        <v>1.5297000000000001</v>
      </c>
      <c r="AE546" s="162">
        <v>1.5564</v>
      </c>
      <c r="AF546" s="162">
        <v>1.5717000000000001</v>
      </c>
      <c r="AG546" s="162">
        <v>1.5717000000000001</v>
      </c>
      <c r="AH546" s="162">
        <v>1.5716000000000001</v>
      </c>
      <c r="AI546" s="162">
        <v>1.5716000000000001</v>
      </c>
      <c r="AJ546" s="162">
        <v>1.5714999999999999</v>
      </c>
      <c r="AK546" s="162">
        <v>1.5714999999999999</v>
      </c>
      <c r="AL546" s="162">
        <v>1.5583</v>
      </c>
      <c r="AM546" s="162">
        <v>1.5457000000000001</v>
      </c>
      <c r="AN546" s="162">
        <v>1.5323</v>
      </c>
      <c r="AO546" s="162">
        <v>1.5189999999999999</v>
      </c>
      <c r="AP546" s="162">
        <v>1.5072000000000001</v>
      </c>
      <c r="AQ546" s="162">
        <v>1.4930000000000001</v>
      </c>
      <c r="AR546" s="162">
        <v>1.4789000000000001</v>
      </c>
      <c r="AS546" s="162">
        <v>1.4655</v>
      </c>
      <c r="AT546" s="162">
        <v>1.4524999999999999</v>
      </c>
      <c r="AU546" s="162">
        <v>1.4413</v>
      </c>
    </row>
    <row r="547" spans="1:47" ht="12.75" customHeight="1">
      <c r="A547" s="459">
        <v>44722</v>
      </c>
      <c r="B547" s="139">
        <v>23</v>
      </c>
      <c r="C547" s="162">
        <v>-0.58550000000000002</v>
      </c>
      <c r="D547" s="162">
        <v>-0.58550000000000002</v>
      </c>
      <c r="E547" s="162">
        <v>-0.5847</v>
      </c>
      <c r="F547" s="162">
        <v>-0.58109999999999995</v>
      </c>
      <c r="G547" s="162">
        <v>-0.57340000000000002</v>
      </c>
      <c r="H547" s="162">
        <v>-0.5272</v>
      </c>
      <c r="I547" s="162">
        <v>-0.43369999999999997</v>
      </c>
      <c r="J547" s="162">
        <v>-0.3296</v>
      </c>
      <c r="K547" s="162">
        <v>-0.24010000000000001</v>
      </c>
      <c r="L547" s="162">
        <v>-0.14050000000000001</v>
      </c>
      <c r="M547" s="162">
        <v>-0.05</v>
      </c>
      <c r="N547" s="162">
        <v>3.5299999999999998E-2</v>
      </c>
      <c r="O547" s="162">
        <v>0.1138</v>
      </c>
      <c r="P547" s="162">
        <v>0.19839999999999999</v>
      </c>
      <c r="Q547" s="162">
        <v>0.27460000000000001</v>
      </c>
      <c r="R547" s="162">
        <v>0.35070000000000001</v>
      </c>
      <c r="S547" s="162">
        <v>0.92179999999999995</v>
      </c>
      <c r="T547" s="162">
        <v>1.1197999999999999</v>
      </c>
      <c r="U547" s="162">
        <v>1.2290000000000001</v>
      </c>
      <c r="V547" s="162">
        <v>1.3088</v>
      </c>
      <c r="W547" s="162">
        <v>1.3703000000000001</v>
      </c>
      <c r="X547" s="162">
        <v>1.4272</v>
      </c>
      <c r="Y547" s="162">
        <v>1.4879</v>
      </c>
      <c r="Z547" s="162">
        <v>1.5483</v>
      </c>
      <c r="AA547" s="162">
        <v>1.6072</v>
      </c>
      <c r="AB547" s="162">
        <v>1.6637</v>
      </c>
      <c r="AC547" s="162">
        <v>1.7148000000000001</v>
      </c>
      <c r="AD547" s="162">
        <v>1.7565999999999999</v>
      </c>
      <c r="AE547" s="162">
        <v>1.7901</v>
      </c>
      <c r="AF547" s="162">
        <v>1.8151999999999999</v>
      </c>
      <c r="AG547" s="162">
        <v>1.8178000000000001</v>
      </c>
      <c r="AH547" s="162">
        <v>1.8204</v>
      </c>
      <c r="AI547" s="162">
        <v>1.823</v>
      </c>
      <c r="AJ547" s="162">
        <v>1.8255999999999999</v>
      </c>
      <c r="AK547" s="162">
        <v>1.8281000000000001</v>
      </c>
      <c r="AL547" s="162">
        <v>1.8191999999999999</v>
      </c>
      <c r="AM547" s="162">
        <v>1.8087</v>
      </c>
      <c r="AN547" s="162">
        <v>1.798</v>
      </c>
      <c r="AO547" s="162">
        <v>1.7870999999999999</v>
      </c>
      <c r="AP547" s="162">
        <v>1.7754000000000001</v>
      </c>
      <c r="AQ547" s="162">
        <v>1.7647999999999999</v>
      </c>
      <c r="AR547" s="162">
        <v>1.7525999999999999</v>
      </c>
      <c r="AS547" s="162">
        <v>1.7411000000000001</v>
      </c>
      <c r="AT547" s="162">
        <v>1.7297</v>
      </c>
      <c r="AU547" s="162">
        <v>1.7183999999999999</v>
      </c>
    </row>
    <row r="548" spans="1:47" ht="12.75" customHeight="1">
      <c r="A548" s="459">
        <v>44729</v>
      </c>
      <c r="B548" s="139">
        <v>24</v>
      </c>
      <c r="C548" s="162">
        <v>-0.58430000000000004</v>
      </c>
      <c r="D548" s="162">
        <v>-0.58430000000000004</v>
      </c>
      <c r="E548" s="162">
        <v>-0.58140000000000003</v>
      </c>
      <c r="F548" s="162">
        <v>-0.57450000000000001</v>
      </c>
      <c r="G548" s="162">
        <v>-0.57110000000000005</v>
      </c>
      <c r="H548" s="162">
        <v>-0.49009999999999998</v>
      </c>
      <c r="I548" s="162">
        <v>-0.40899999999999997</v>
      </c>
      <c r="J548" s="162">
        <v>-0.27629999999999999</v>
      </c>
      <c r="K548" s="162">
        <v>-0.1663</v>
      </c>
      <c r="L548" s="162">
        <v>-5.3800000000000001E-2</v>
      </c>
      <c r="M548" s="162">
        <v>6.1800000000000001E-2</v>
      </c>
      <c r="N548" s="162">
        <v>0.16289999999999999</v>
      </c>
      <c r="O548" s="162">
        <v>0.25829999999999997</v>
      </c>
      <c r="P548" s="162">
        <v>0.36209999999999998</v>
      </c>
      <c r="Q548" s="162">
        <v>0.45019999999999999</v>
      </c>
      <c r="R548" s="162">
        <v>0.53990000000000005</v>
      </c>
      <c r="S548" s="162">
        <v>1.1528</v>
      </c>
      <c r="T548" s="162">
        <v>1.3525</v>
      </c>
      <c r="U548" s="162">
        <v>1.4592000000000001</v>
      </c>
      <c r="V548" s="162">
        <v>1.5334000000000001</v>
      </c>
      <c r="W548" s="162">
        <v>1.5851</v>
      </c>
      <c r="X548" s="162">
        <v>1.6325000000000001</v>
      </c>
      <c r="Y548" s="162">
        <v>1.6878</v>
      </c>
      <c r="Z548" s="162">
        <v>1.7412000000000001</v>
      </c>
      <c r="AA548" s="162">
        <v>1.7939000000000001</v>
      </c>
      <c r="AB548" s="162">
        <v>1.8440000000000001</v>
      </c>
      <c r="AC548" s="162">
        <v>1.889</v>
      </c>
      <c r="AD548" s="162">
        <v>1.9257</v>
      </c>
      <c r="AE548" s="162">
        <v>1.9540999999999999</v>
      </c>
      <c r="AF548" s="162">
        <v>1.9752000000000001</v>
      </c>
      <c r="AG548" s="162">
        <v>1.9754</v>
      </c>
      <c r="AH548" s="162">
        <v>1.9757</v>
      </c>
      <c r="AI548" s="162">
        <v>1.9759</v>
      </c>
      <c r="AJ548" s="162">
        <v>1.9762</v>
      </c>
      <c r="AK548" s="162">
        <v>1.9763999999999999</v>
      </c>
      <c r="AL548" s="162">
        <v>1.9661</v>
      </c>
      <c r="AM548" s="162">
        <v>1.9562999999999999</v>
      </c>
      <c r="AN548" s="162">
        <v>1.9448000000000001</v>
      </c>
      <c r="AO548" s="162">
        <v>1.9352</v>
      </c>
      <c r="AP548" s="162">
        <v>1.9269000000000001</v>
      </c>
      <c r="AQ548" s="162">
        <v>1.9152</v>
      </c>
      <c r="AR548" s="162">
        <v>1.9039999999999999</v>
      </c>
      <c r="AS548" s="162">
        <v>1.8923000000000001</v>
      </c>
      <c r="AT548" s="162">
        <v>1.8806</v>
      </c>
      <c r="AU548" s="162">
        <v>1.8714999999999999</v>
      </c>
    </row>
    <row r="549" spans="1:47" ht="12.75" customHeight="1">
      <c r="A549" s="459">
        <v>44736</v>
      </c>
      <c r="B549" s="139">
        <v>25</v>
      </c>
      <c r="C549" s="162">
        <v>-0.57999999999999996</v>
      </c>
      <c r="D549" s="162">
        <v>-0.57999999999999996</v>
      </c>
      <c r="E549" s="162">
        <v>-0.57640000000000002</v>
      </c>
      <c r="F549" s="162">
        <v>-0.57679999999999998</v>
      </c>
      <c r="G549" s="162">
        <v>-0.57640000000000002</v>
      </c>
      <c r="H549" s="162">
        <v>-0.45279999999999998</v>
      </c>
      <c r="I549" s="162">
        <v>-0.35659999999999997</v>
      </c>
      <c r="J549" s="162">
        <v>-0.19359999999999999</v>
      </c>
      <c r="K549" s="162">
        <v>-4.1700000000000001E-2</v>
      </c>
      <c r="L549" s="162">
        <v>0.10050000000000001</v>
      </c>
      <c r="M549" s="162">
        <v>0.25519999999999998</v>
      </c>
      <c r="N549" s="162">
        <v>0.3881</v>
      </c>
      <c r="O549" s="162">
        <v>0.50580000000000003</v>
      </c>
      <c r="P549" s="162">
        <v>0.64390000000000003</v>
      </c>
      <c r="Q549" s="162">
        <v>0.75849999999999995</v>
      </c>
      <c r="R549" s="162">
        <v>0.86919999999999997</v>
      </c>
      <c r="S549" s="162">
        <v>1.5766</v>
      </c>
      <c r="T549" s="162">
        <v>1.7867999999999999</v>
      </c>
      <c r="U549" s="162">
        <v>1.8927</v>
      </c>
      <c r="V549" s="162">
        <v>1.9607000000000001</v>
      </c>
      <c r="W549" s="162">
        <v>2.0062000000000002</v>
      </c>
      <c r="X549" s="162">
        <v>2.0467</v>
      </c>
      <c r="Y549" s="162">
        <v>2.0939999999999999</v>
      </c>
      <c r="Z549" s="162">
        <v>2.1402999999999999</v>
      </c>
      <c r="AA549" s="162">
        <v>2.1852</v>
      </c>
      <c r="AB549" s="162">
        <v>2.2189000000000001</v>
      </c>
      <c r="AC549" s="162">
        <v>2.2547000000000001</v>
      </c>
      <c r="AD549" s="162">
        <v>2.2759999999999998</v>
      </c>
      <c r="AE549" s="162">
        <v>2.2907999999999999</v>
      </c>
      <c r="AF549" s="162">
        <v>2.3035999999999999</v>
      </c>
      <c r="AG549" s="162">
        <v>2.2913000000000001</v>
      </c>
      <c r="AH549" s="162">
        <v>2.2789999999999999</v>
      </c>
      <c r="AI549" s="162">
        <v>2.2667999999999999</v>
      </c>
      <c r="AJ549" s="162">
        <v>2.2545000000000002</v>
      </c>
      <c r="AK549" s="162">
        <v>2.2422</v>
      </c>
      <c r="AL549" s="162">
        <v>2.2185000000000001</v>
      </c>
      <c r="AM549" s="162">
        <v>2.2014</v>
      </c>
      <c r="AN549" s="162">
        <v>2.1848000000000001</v>
      </c>
      <c r="AO549" s="162">
        <v>2.1695000000000002</v>
      </c>
      <c r="AP549" s="162">
        <v>2.1583000000000001</v>
      </c>
      <c r="AQ549" s="162">
        <v>2.1379999999999999</v>
      </c>
      <c r="AR549" s="162">
        <v>2.1225000000000001</v>
      </c>
      <c r="AS549" s="162">
        <v>2.1065</v>
      </c>
      <c r="AT549" s="162">
        <v>2.0903999999999998</v>
      </c>
      <c r="AU549" s="162">
        <v>2.0792999999999999</v>
      </c>
    </row>
    <row r="550" spans="1:47" ht="12.75" customHeight="1">
      <c r="A550" s="459">
        <v>44743</v>
      </c>
      <c r="B550" s="139">
        <v>26</v>
      </c>
      <c r="C550" s="162">
        <v>-0.57999999999999996</v>
      </c>
      <c r="D550" s="162">
        <v>-0.57999999999999996</v>
      </c>
      <c r="E550" s="162">
        <v>-0.5776</v>
      </c>
      <c r="F550" s="162">
        <v>-0.57720000000000005</v>
      </c>
      <c r="G550" s="162">
        <v>-0.57530000000000003</v>
      </c>
      <c r="H550" s="162">
        <v>-0.42949999999999999</v>
      </c>
      <c r="I550" s="162">
        <v>-0.31169999999999998</v>
      </c>
      <c r="J550" s="162">
        <v>-0.17050000000000001</v>
      </c>
      <c r="K550" s="162">
        <v>-2.01E-2</v>
      </c>
      <c r="L550" s="162">
        <v>0.10630000000000001</v>
      </c>
      <c r="M550" s="162">
        <v>0.24640000000000001</v>
      </c>
      <c r="N550" s="162">
        <v>0.36830000000000002</v>
      </c>
      <c r="O550" s="162">
        <v>0.47070000000000001</v>
      </c>
      <c r="P550" s="162">
        <v>0.59130000000000005</v>
      </c>
      <c r="Q550" s="162">
        <v>0.69040000000000001</v>
      </c>
      <c r="R550" s="162">
        <v>0.7802</v>
      </c>
      <c r="S550" s="162">
        <v>1.4008</v>
      </c>
      <c r="T550" s="162">
        <v>1.5964</v>
      </c>
      <c r="U550" s="162">
        <v>1.7257</v>
      </c>
      <c r="V550" s="162">
        <v>1.8159000000000001</v>
      </c>
      <c r="W550" s="162">
        <v>1.8725000000000001</v>
      </c>
      <c r="X550" s="162">
        <v>1.9227000000000001</v>
      </c>
      <c r="Y550" s="162">
        <v>1.9721</v>
      </c>
      <c r="Z550" s="162">
        <v>2.0247000000000002</v>
      </c>
      <c r="AA550" s="162">
        <v>2.0758000000000001</v>
      </c>
      <c r="AB550" s="162">
        <v>2.1303999999999998</v>
      </c>
      <c r="AC550" s="162">
        <v>2.1728999999999998</v>
      </c>
      <c r="AD550" s="162">
        <v>2.2132999999999998</v>
      </c>
      <c r="AE550" s="162">
        <v>2.2404000000000002</v>
      </c>
      <c r="AF550" s="162">
        <v>2.2551000000000001</v>
      </c>
      <c r="AG550" s="162">
        <v>2.2486999999999999</v>
      </c>
      <c r="AH550" s="162">
        <v>2.2423999999999999</v>
      </c>
      <c r="AI550" s="162">
        <v>2.2360000000000002</v>
      </c>
      <c r="AJ550" s="162">
        <v>2.2296</v>
      </c>
      <c r="AK550" s="162">
        <v>2.2231999999999998</v>
      </c>
      <c r="AL550" s="162">
        <v>2.2014</v>
      </c>
      <c r="AM550" s="162">
        <v>2.1848999999999998</v>
      </c>
      <c r="AN550" s="162">
        <v>2.1682999999999999</v>
      </c>
      <c r="AO550" s="162">
        <v>2.1526999999999998</v>
      </c>
      <c r="AP550" s="162">
        <v>2.1425999999999998</v>
      </c>
      <c r="AQ550" s="162">
        <v>2.1208</v>
      </c>
      <c r="AR550" s="162">
        <v>2.1048</v>
      </c>
      <c r="AS550" s="162">
        <v>2.0891999999999999</v>
      </c>
      <c r="AT550" s="162">
        <v>2.0741000000000001</v>
      </c>
      <c r="AU550" s="162">
        <v>2.0644999999999998</v>
      </c>
    </row>
    <row r="551" spans="1:47" ht="12.75" customHeight="1">
      <c r="A551" s="459">
        <v>44750</v>
      </c>
      <c r="B551" s="139">
        <v>27</v>
      </c>
      <c r="C551" s="162">
        <v>-0.58230000000000004</v>
      </c>
      <c r="D551" s="162">
        <v>-0.58230000000000004</v>
      </c>
      <c r="E551" s="162">
        <v>-0.57769999999999999</v>
      </c>
      <c r="F551" s="162">
        <v>-0.57740000000000002</v>
      </c>
      <c r="G551" s="162">
        <v>-0.52769999999999995</v>
      </c>
      <c r="H551" s="162">
        <v>-0.40139999999999998</v>
      </c>
      <c r="I551" s="162">
        <v>-0.26419999999999999</v>
      </c>
      <c r="J551" s="162">
        <v>-0.13919999999999999</v>
      </c>
      <c r="K551" s="162">
        <v>5.9999999999999995E-4</v>
      </c>
      <c r="L551" s="162">
        <v>0.1222</v>
      </c>
      <c r="M551" s="162">
        <v>0.2429</v>
      </c>
      <c r="N551" s="162">
        <v>0.3478</v>
      </c>
      <c r="O551" s="162">
        <v>0.44890000000000002</v>
      </c>
      <c r="P551" s="162">
        <v>0.54110000000000003</v>
      </c>
      <c r="Q551" s="162">
        <v>0.63060000000000005</v>
      </c>
      <c r="R551" s="162">
        <v>0.71330000000000005</v>
      </c>
      <c r="S551" s="162">
        <v>1.2484</v>
      </c>
      <c r="T551" s="162">
        <v>1.4343999999999999</v>
      </c>
      <c r="U551" s="162">
        <v>1.5589</v>
      </c>
      <c r="V551" s="162">
        <v>1.6620999999999999</v>
      </c>
      <c r="W551" s="162">
        <v>1.7418</v>
      </c>
      <c r="X551" s="162">
        <v>1.8085</v>
      </c>
      <c r="Y551" s="162">
        <v>1.8756999999999999</v>
      </c>
      <c r="Z551" s="162">
        <v>1.9430000000000001</v>
      </c>
      <c r="AA551" s="162">
        <v>2.0078999999999998</v>
      </c>
      <c r="AB551" s="162">
        <v>2.0708000000000002</v>
      </c>
      <c r="AC551" s="162">
        <v>2.1217000000000001</v>
      </c>
      <c r="AD551" s="162">
        <v>2.1661000000000001</v>
      </c>
      <c r="AE551" s="162">
        <v>2.1970999999999998</v>
      </c>
      <c r="AF551" s="162">
        <v>2.2143999999999999</v>
      </c>
      <c r="AG551" s="162">
        <v>2.2071999999999998</v>
      </c>
      <c r="AH551" s="162">
        <v>2.2000999999999999</v>
      </c>
      <c r="AI551" s="162">
        <v>2.1928999999999998</v>
      </c>
      <c r="AJ551" s="162">
        <v>2.1858</v>
      </c>
      <c r="AK551" s="162">
        <v>2.1785999999999999</v>
      </c>
      <c r="AL551" s="162">
        <v>2.1604999999999999</v>
      </c>
      <c r="AM551" s="162">
        <v>2.1404999999999998</v>
      </c>
      <c r="AN551" s="162">
        <v>2.1208999999999998</v>
      </c>
      <c r="AO551" s="162">
        <v>2.1015999999999999</v>
      </c>
      <c r="AP551" s="162">
        <v>2.0817000000000001</v>
      </c>
      <c r="AQ551" s="162">
        <v>2.0623999999999998</v>
      </c>
      <c r="AR551" s="162">
        <v>2.0436000000000001</v>
      </c>
      <c r="AS551" s="162">
        <v>2.0244</v>
      </c>
      <c r="AT551" s="162">
        <v>2.0061</v>
      </c>
      <c r="AU551" s="162">
        <v>1.9883</v>
      </c>
    </row>
    <row r="552" spans="1:47" ht="12.75" customHeight="1">
      <c r="A552" s="459">
        <v>44757</v>
      </c>
      <c r="B552" s="139">
        <v>28</v>
      </c>
      <c r="C552" s="162">
        <v>-0.57979999999999998</v>
      </c>
      <c r="D552" s="162">
        <v>-0.57979999999999998</v>
      </c>
      <c r="E552" s="162">
        <v>-0.57830000000000004</v>
      </c>
      <c r="F552" s="162">
        <v>-0.57820000000000005</v>
      </c>
      <c r="G552" s="162">
        <v>-0.45879999999999999</v>
      </c>
      <c r="H552" s="162">
        <v>-0.37990000000000002</v>
      </c>
      <c r="I552" s="162">
        <v>-0.2208</v>
      </c>
      <c r="J552" s="162">
        <v>-9.6100000000000005E-2</v>
      </c>
      <c r="K552" s="162">
        <v>3.0099999999999998E-2</v>
      </c>
      <c r="L552" s="162">
        <v>0.1492</v>
      </c>
      <c r="M552" s="162">
        <v>0.24590000000000001</v>
      </c>
      <c r="N552" s="162">
        <v>0.33279999999999998</v>
      </c>
      <c r="O552" s="162">
        <v>0.42080000000000001</v>
      </c>
      <c r="P552" s="162">
        <v>0.48909999999999998</v>
      </c>
      <c r="Q552" s="162">
        <v>0.55730000000000002</v>
      </c>
      <c r="R552" s="162">
        <v>0.62</v>
      </c>
      <c r="S552" s="162">
        <v>1.0239</v>
      </c>
      <c r="T552" s="162">
        <v>1.1716</v>
      </c>
      <c r="U552" s="162">
        <v>1.3025</v>
      </c>
      <c r="V552" s="162">
        <v>1.4233</v>
      </c>
      <c r="W552" s="162">
        <v>1.5147999999999999</v>
      </c>
      <c r="X552" s="162">
        <v>1.5939000000000001</v>
      </c>
      <c r="Y552" s="162">
        <v>1.6709000000000001</v>
      </c>
      <c r="Z552" s="162">
        <v>1.7452000000000001</v>
      </c>
      <c r="AA552" s="162">
        <v>1.8181</v>
      </c>
      <c r="AB552" s="162">
        <v>1.8892</v>
      </c>
      <c r="AC552" s="162">
        <v>1.9517</v>
      </c>
      <c r="AD552" s="162">
        <v>2.004</v>
      </c>
      <c r="AE552" s="162">
        <v>2.0405000000000002</v>
      </c>
      <c r="AF552" s="162">
        <v>2.0634999999999999</v>
      </c>
      <c r="AG552" s="162">
        <v>2.0628000000000002</v>
      </c>
      <c r="AH552" s="162">
        <v>2.0621</v>
      </c>
      <c r="AI552" s="162">
        <v>2.0613999999999999</v>
      </c>
      <c r="AJ552" s="162">
        <v>2.0606</v>
      </c>
      <c r="AK552" s="162">
        <v>2.0598999999999998</v>
      </c>
      <c r="AL552" s="162">
        <v>2.0453000000000001</v>
      </c>
      <c r="AM552" s="162">
        <v>2.0291999999999999</v>
      </c>
      <c r="AN552" s="162">
        <v>2.0133999999999999</v>
      </c>
      <c r="AO552" s="162">
        <v>1.9970000000000001</v>
      </c>
      <c r="AP552" s="162">
        <v>1.9807999999999999</v>
      </c>
      <c r="AQ552" s="162">
        <v>1.9630000000000001</v>
      </c>
      <c r="AR552" s="162">
        <v>1.9454</v>
      </c>
      <c r="AS552" s="162">
        <v>1.9279999999999999</v>
      </c>
      <c r="AT552" s="162">
        <v>1.9116</v>
      </c>
      <c r="AU552" s="162">
        <v>1.897</v>
      </c>
    </row>
    <row r="553" spans="1:47" ht="12.75" customHeight="1">
      <c r="A553" s="459">
        <v>44764</v>
      </c>
      <c r="B553" s="139">
        <v>29</v>
      </c>
      <c r="C553" s="162">
        <v>-0.58079999999999998</v>
      </c>
      <c r="D553" s="162">
        <v>-0.58079999999999998</v>
      </c>
      <c r="E553" s="162">
        <v>-0.57950000000000002</v>
      </c>
      <c r="F553" s="162">
        <v>-0.51629999999999998</v>
      </c>
      <c r="G553" s="162">
        <v>-0.38059999999999999</v>
      </c>
      <c r="H553" s="162">
        <v>-0.30599999999999999</v>
      </c>
      <c r="I553" s="162">
        <v>-0.1119</v>
      </c>
      <c r="J553" s="162">
        <v>3.78E-2</v>
      </c>
      <c r="K553" s="162">
        <v>0.1671</v>
      </c>
      <c r="L553" s="162">
        <v>0.28920000000000001</v>
      </c>
      <c r="M553" s="162">
        <v>0.38790000000000002</v>
      </c>
      <c r="N553" s="162">
        <v>0.46510000000000001</v>
      </c>
      <c r="O553" s="162">
        <v>0.54</v>
      </c>
      <c r="P553" s="162">
        <v>0.5998</v>
      </c>
      <c r="Q553" s="162">
        <v>0.65390000000000004</v>
      </c>
      <c r="R553" s="162">
        <v>0.69630000000000003</v>
      </c>
      <c r="S553" s="162">
        <v>0.99280000000000002</v>
      </c>
      <c r="T553" s="162">
        <v>1.1017999999999999</v>
      </c>
      <c r="U553" s="162">
        <v>1.2204999999999999</v>
      </c>
      <c r="V553" s="162">
        <v>1.3319000000000001</v>
      </c>
      <c r="W553" s="162">
        <v>1.4215</v>
      </c>
      <c r="X553" s="162">
        <v>1.4946999999999999</v>
      </c>
      <c r="Y553" s="162">
        <v>1.5672999999999999</v>
      </c>
      <c r="Z553" s="162">
        <v>1.6374</v>
      </c>
      <c r="AA553" s="162">
        <v>1.7040999999999999</v>
      </c>
      <c r="AB553" s="162">
        <v>1.7705</v>
      </c>
      <c r="AC553" s="162">
        <v>1.8301000000000001</v>
      </c>
      <c r="AD553" s="162">
        <v>1.8789</v>
      </c>
      <c r="AE553" s="162">
        <v>1.9153</v>
      </c>
      <c r="AF553" s="162">
        <v>1.9382999999999999</v>
      </c>
      <c r="AG553" s="162">
        <v>1.9372</v>
      </c>
      <c r="AH553" s="162">
        <v>1.9360999999999999</v>
      </c>
      <c r="AI553" s="162">
        <v>1.9349000000000001</v>
      </c>
      <c r="AJ553" s="162">
        <v>1.9338</v>
      </c>
      <c r="AK553" s="162">
        <v>1.9327000000000001</v>
      </c>
      <c r="AL553" s="162">
        <v>1.9196</v>
      </c>
      <c r="AM553" s="162">
        <v>1.9039999999999999</v>
      </c>
      <c r="AN553" s="162">
        <v>1.8876999999999999</v>
      </c>
      <c r="AO553" s="162">
        <v>1.8723000000000001</v>
      </c>
      <c r="AP553" s="162">
        <v>1.8553999999999999</v>
      </c>
      <c r="AQ553" s="162">
        <v>1.8379000000000001</v>
      </c>
      <c r="AR553" s="162">
        <v>1.8206</v>
      </c>
      <c r="AS553" s="162">
        <v>1.8031999999999999</v>
      </c>
      <c r="AT553" s="162">
        <v>1.7866</v>
      </c>
      <c r="AU553" s="162">
        <v>1.7714000000000001</v>
      </c>
    </row>
    <row r="554" spans="1:47" ht="12.75" customHeight="1">
      <c r="A554" s="459">
        <v>44771</v>
      </c>
      <c r="B554" s="139">
        <v>30</v>
      </c>
      <c r="C554" s="162">
        <v>-0.58279999999999998</v>
      </c>
      <c r="D554" s="162">
        <v>-0.58279999999999998</v>
      </c>
      <c r="E554" s="162">
        <v>-0.39660000000000001</v>
      </c>
      <c r="F554" s="162">
        <v>-0.28920000000000001</v>
      </c>
      <c r="G554" s="162">
        <v>-0.22900000000000001</v>
      </c>
      <c r="H554" s="162">
        <v>-0.1244</v>
      </c>
      <c r="I554" s="162">
        <v>4.6800000000000001E-2</v>
      </c>
      <c r="J554" s="162">
        <v>0.2104</v>
      </c>
      <c r="K554" s="162">
        <v>0.33639999999999998</v>
      </c>
      <c r="L554" s="162">
        <v>0.46479999999999999</v>
      </c>
      <c r="M554" s="162">
        <v>0.5675</v>
      </c>
      <c r="N554" s="162">
        <v>0.64319999999999999</v>
      </c>
      <c r="O554" s="162">
        <v>0.7127</v>
      </c>
      <c r="P554" s="162">
        <v>0.77600000000000002</v>
      </c>
      <c r="Q554" s="162">
        <v>0.82720000000000005</v>
      </c>
      <c r="R554" s="162">
        <v>0.8649</v>
      </c>
      <c r="S554" s="162">
        <v>1.1315999999999999</v>
      </c>
      <c r="T554" s="162">
        <v>1.2163999999999999</v>
      </c>
      <c r="U554" s="162">
        <v>1.3172999999999999</v>
      </c>
      <c r="V554" s="162">
        <v>1.4057999999999999</v>
      </c>
      <c r="W554" s="162">
        <v>1.4761</v>
      </c>
      <c r="X554" s="162">
        <v>1.5370999999999999</v>
      </c>
      <c r="Y554" s="162">
        <v>1.5958000000000001</v>
      </c>
      <c r="Z554" s="162">
        <v>1.653</v>
      </c>
      <c r="AA554" s="162">
        <v>1.7104999999999999</v>
      </c>
      <c r="AB554" s="162">
        <v>1.7685999999999999</v>
      </c>
      <c r="AC554" s="162">
        <v>1.8183</v>
      </c>
      <c r="AD554" s="162">
        <v>1.8616999999999999</v>
      </c>
      <c r="AE554" s="162">
        <v>1.8942000000000001</v>
      </c>
      <c r="AF554" s="162">
        <v>1.913</v>
      </c>
      <c r="AG554" s="162">
        <v>1.9097</v>
      </c>
      <c r="AH554" s="162">
        <v>1.9065000000000001</v>
      </c>
      <c r="AI554" s="162">
        <v>1.9032</v>
      </c>
      <c r="AJ554" s="162">
        <v>1.8998999999999999</v>
      </c>
      <c r="AK554" s="162">
        <v>1.8966000000000001</v>
      </c>
      <c r="AL554" s="162">
        <v>1.8812</v>
      </c>
      <c r="AM554" s="162">
        <v>1.8654999999999999</v>
      </c>
      <c r="AN554" s="162">
        <v>1.849</v>
      </c>
      <c r="AO554" s="162">
        <v>1.8318000000000001</v>
      </c>
      <c r="AP554" s="162">
        <v>1.8159000000000001</v>
      </c>
      <c r="AQ554" s="162">
        <v>1.7974000000000001</v>
      </c>
      <c r="AR554" s="162">
        <v>1.7787999999999999</v>
      </c>
      <c r="AS554" s="162">
        <v>1.7606999999999999</v>
      </c>
      <c r="AT554" s="162">
        <v>1.7425999999999999</v>
      </c>
      <c r="AU554" s="162">
        <v>1.7265999999999999</v>
      </c>
    </row>
    <row r="555" spans="1:47" ht="12.75" customHeight="1">
      <c r="A555" s="459">
        <v>44778</v>
      </c>
      <c r="B555" s="139">
        <v>31</v>
      </c>
      <c r="C555" s="162">
        <v>-0.33400000000000002</v>
      </c>
      <c r="D555" s="162">
        <v>-0.33400000000000002</v>
      </c>
      <c r="E555" s="162">
        <v>-9.1499999999999998E-2</v>
      </c>
      <c r="F555" s="162">
        <v>-9.1700000000000004E-2</v>
      </c>
      <c r="G555" s="162">
        <v>-9.1800000000000007E-2</v>
      </c>
      <c r="H555" s="162">
        <v>3.04E-2</v>
      </c>
      <c r="I555" s="162">
        <v>0.14449999999999999</v>
      </c>
      <c r="J555" s="162">
        <v>0.28179999999999999</v>
      </c>
      <c r="K555" s="162">
        <v>0.3846</v>
      </c>
      <c r="L555" s="162">
        <v>0.48330000000000001</v>
      </c>
      <c r="M555" s="162">
        <v>0.55740000000000001</v>
      </c>
      <c r="N555" s="162">
        <v>0.61780000000000002</v>
      </c>
      <c r="O555" s="162">
        <v>0.66410000000000002</v>
      </c>
      <c r="P555" s="162">
        <v>0.71030000000000004</v>
      </c>
      <c r="Q555" s="162">
        <v>0.745</v>
      </c>
      <c r="R555" s="162">
        <v>0.76880000000000004</v>
      </c>
      <c r="S555" s="162">
        <v>0.93179999999999996</v>
      </c>
      <c r="T555" s="162">
        <v>0.98219999999999996</v>
      </c>
      <c r="U555" s="162">
        <v>1.0530999999999999</v>
      </c>
      <c r="V555" s="162">
        <v>1.1285000000000001</v>
      </c>
      <c r="W555" s="162">
        <v>1.1967000000000001</v>
      </c>
      <c r="X555" s="162">
        <v>1.2634000000000001</v>
      </c>
      <c r="Y555" s="162">
        <v>1.327</v>
      </c>
      <c r="Z555" s="162">
        <v>1.3873</v>
      </c>
      <c r="AA555" s="162">
        <v>1.4483999999999999</v>
      </c>
      <c r="AB555" s="162">
        <v>1.5086999999999999</v>
      </c>
      <c r="AC555" s="162">
        <v>1.5651999999999999</v>
      </c>
      <c r="AD555" s="162">
        <v>1.611</v>
      </c>
      <c r="AE555" s="162">
        <v>1.6457999999999999</v>
      </c>
      <c r="AF555" s="162">
        <v>1.67</v>
      </c>
      <c r="AG555" s="162">
        <v>1.6704000000000001</v>
      </c>
      <c r="AH555" s="162">
        <v>1.6708000000000001</v>
      </c>
      <c r="AI555" s="162">
        <v>1.6712</v>
      </c>
      <c r="AJ555" s="162">
        <v>1.6716</v>
      </c>
      <c r="AK555" s="162">
        <v>1.6719999999999999</v>
      </c>
      <c r="AL555" s="162">
        <v>1.6597999999999999</v>
      </c>
      <c r="AM555" s="162">
        <v>1.6474</v>
      </c>
      <c r="AN555" s="162">
        <v>1.6344000000000001</v>
      </c>
      <c r="AO555" s="162">
        <v>1.6214999999999999</v>
      </c>
      <c r="AP555" s="162">
        <v>1.6084000000000001</v>
      </c>
      <c r="AQ555" s="162">
        <v>1.5946</v>
      </c>
      <c r="AR555" s="162">
        <v>1.5808</v>
      </c>
      <c r="AS555" s="162">
        <v>1.5663</v>
      </c>
      <c r="AT555" s="162">
        <v>1.5523</v>
      </c>
      <c r="AU555" s="162">
        <v>1.5387</v>
      </c>
    </row>
    <row r="556" spans="1:47" ht="12.75" customHeight="1">
      <c r="A556" s="459">
        <v>44785</v>
      </c>
      <c r="B556" s="139">
        <v>32</v>
      </c>
      <c r="C556" s="162">
        <v>-8.6499999999999994E-2</v>
      </c>
      <c r="D556" s="162">
        <v>-8.6499999999999994E-2</v>
      </c>
      <c r="E556" s="162">
        <v>-8.9300000000000004E-2</v>
      </c>
      <c r="F556" s="162">
        <v>-8.9499999999999996E-2</v>
      </c>
      <c r="G556" s="162">
        <v>-8.9700000000000002E-2</v>
      </c>
      <c r="H556" s="162">
        <v>7.4300000000000005E-2</v>
      </c>
      <c r="I556" s="162">
        <v>0.1862</v>
      </c>
      <c r="J556" s="162">
        <v>0.31480000000000002</v>
      </c>
      <c r="K556" s="162">
        <v>0.4148</v>
      </c>
      <c r="L556" s="162">
        <v>0.49930000000000002</v>
      </c>
      <c r="M556" s="162">
        <v>0.56669999999999998</v>
      </c>
      <c r="N556" s="162">
        <v>0.626</v>
      </c>
      <c r="O556" s="162">
        <v>0.67130000000000001</v>
      </c>
      <c r="P556" s="162">
        <v>0.71419999999999995</v>
      </c>
      <c r="Q556" s="162">
        <v>0.74829999999999997</v>
      </c>
      <c r="R556" s="162">
        <v>0.77910000000000001</v>
      </c>
      <c r="S556" s="162">
        <v>0.93159999999999998</v>
      </c>
      <c r="T556" s="162">
        <v>0.97840000000000005</v>
      </c>
      <c r="U556" s="162">
        <v>1.0274000000000001</v>
      </c>
      <c r="V556" s="162">
        <v>1.0893999999999999</v>
      </c>
      <c r="W556" s="162">
        <v>1.1460999999999999</v>
      </c>
      <c r="X556" s="162">
        <v>1.1989000000000001</v>
      </c>
      <c r="Y556" s="162">
        <v>1.2558</v>
      </c>
      <c r="Z556" s="162">
        <v>1.3071999999999999</v>
      </c>
      <c r="AA556" s="162">
        <v>1.3595999999999999</v>
      </c>
      <c r="AB556" s="162">
        <v>1.4065000000000001</v>
      </c>
      <c r="AC556" s="162">
        <v>1.4616</v>
      </c>
      <c r="AD556" s="162">
        <v>1.4986999999999999</v>
      </c>
      <c r="AE556" s="162">
        <v>1.5304</v>
      </c>
      <c r="AF556" s="162">
        <v>1.5518000000000001</v>
      </c>
      <c r="AG556" s="162">
        <v>1.5492999999999999</v>
      </c>
      <c r="AH556" s="162">
        <v>1.5468</v>
      </c>
      <c r="AI556" s="162">
        <v>1.5443</v>
      </c>
      <c r="AJ556" s="162">
        <v>1.5418000000000001</v>
      </c>
      <c r="AK556" s="162">
        <v>1.5392999999999999</v>
      </c>
      <c r="AL556" s="162">
        <v>1.5274000000000001</v>
      </c>
      <c r="AM556" s="162">
        <v>1.5158</v>
      </c>
      <c r="AN556" s="162">
        <v>1.5038</v>
      </c>
      <c r="AO556" s="162">
        <v>1.4922</v>
      </c>
      <c r="AP556" s="162">
        <v>1.4790000000000001</v>
      </c>
      <c r="AQ556" s="162">
        <v>1.468</v>
      </c>
      <c r="AR556" s="162">
        <v>1.4556</v>
      </c>
      <c r="AS556" s="162">
        <v>1.4431</v>
      </c>
      <c r="AT556" s="162">
        <v>1.4332</v>
      </c>
      <c r="AU556" s="162">
        <v>1.4174</v>
      </c>
    </row>
    <row r="557" spans="1:47" ht="12.75" customHeight="1">
      <c r="A557" s="459">
        <v>44792</v>
      </c>
      <c r="B557" s="139">
        <v>33</v>
      </c>
      <c r="C557" s="162">
        <v>-8.5300000000000001E-2</v>
      </c>
      <c r="D557" s="162">
        <v>-8.5300000000000001E-2</v>
      </c>
      <c r="E557" s="162">
        <v>-8.8200000000000001E-2</v>
      </c>
      <c r="F557" s="162">
        <v>-8.8200000000000001E-2</v>
      </c>
      <c r="G557" s="162">
        <v>-7.9200000000000007E-2</v>
      </c>
      <c r="H557" s="162">
        <v>0.13639999999999999</v>
      </c>
      <c r="I557" s="162">
        <v>0.26379999999999998</v>
      </c>
      <c r="J557" s="162">
        <v>0.38390000000000002</v>
      </c>
      <c r="K557" s="162">
        <v>0.497</v>
      </c>
      <c r="L557" s="162">
        <v>0.58979999999999999</v>
      </c>
      <c r="M557" s="162">
        <v>0.66279999999999994</v>
      </c>
      <c r="N557" s="162">
        <v>0.73029999999999995</v>
      </c>
      <c r="O557" s="162">
        <v>0.78259999999999996</v>
      </c>
      <c r="P557" s="162">
        <v>0.83120000000000005</v>
      </c>
      <c r="Q557" s="162">
        <v>0.87160000000000004</v>
      </c>
      <c r="R557" s="162">
        <v>0.90769999999999995</v>
      </c>
      <c r="S557" s="162">
        <v>1.0922000000000001</v>
      </c>
      <c r="T557" s="162">
        <v>1.1404000000000001</v>
      </c>
      <c r="U557" s="162">
        <v>1.1827000000000001</v>
      </c>
      <c r="V557" s="162">
        <v>1.2337</v>
      </c>
      <c r="W557" s="162">
        <v>1.2842</v>
      </c>
      <c r="X557" s="162">
        <v>1.3314999999999999</v>
      </c>
      <c r="Y557" s="162">
        <v>1.3796999999999999</v>
      </c>
      <c r="Z557" s="162">
        <v>1.4298999999999999</v>
      </c>
      <c r="AA557" s="162">
        <v>1.4804999999999999</v>
      </c>
      <c r="AB557" s="162">
        <v>1.5330999999999999</v>
      </c>
      <c r="AC557" s="162">
        <v>1.5823</v>
      </c>
      <c r="AD557" s="162">
        <v>1.623</v>
      </c>
      <c r="AE557" s="162">
        <v>1.6546000000000001</v>
      </c>
      <c r="AF557" s="162">
        <v>1.675</v>
      </c>
      <c r="AG557" s="162">
        <v>1.6719999999999999</v>
      </c>
      <c r="AH557" s="162">
        <v>1.669</v>
      </c>
      <c r="AI557" s="162">
        <v>1.6658999999999999</v>
      </c>
      <c r="AJ557" s="162">
        <v>1.6629</v>
      </c>
      <c r="AK557" s="162">
        <v>1.6597999999999999</v>
      </c>
      <c r="AL557" s="162">
        <v>1.6462000000000001</v>
      </c>
      <c r="AM557" s="162">
        <v>1.6339999999999999</v>
      </c>
      <c r="AN557" s="162">
        <v>1.6214</v>
      </c>
      <c r="AO557" s="162">
        <v>1.61</v>
      </c>
      <c r="AP557" s="162">
        <v>1.5992</v>
      </c>
      <c r="AQ557" s="162">
        <v>1.5861000000000001</v>
      </c>
      <c r="AR557" s="162">
        <v>1.5734999999999999</v>
      </c>
      <c r="AS557" s="162">
        <v>1.5612999999999999</v>
      </c>
      <c r="AT557" s="162">
        <v>1.5491999999999999</v>
      </c>
      <c r="AU557" s="162">
        <v>1.5385</v>
      </c>
    </row>
    <row r="558" spans="1:47" ht="12.75" customHeight="1">
      <c r="A558" s="459">
        <v>44799</v>
      </c>
      <c r="B558" s="139">
        <v>34</v>
      </c>
      <c r="C558" s="162">
        <v>-8.6499999999999994E-2</v>
      </c>
      <c r="D558" s="162">
        <v>-8.6499999999999994E-2</v>
      </c>
      <c r="E558" s="162">
        <v>-8.72E-2</v>
      </c>
      <c r="F558" s="162">
        <v>-8.72E-2</v>
      </c>
      <c r="G558" s="162">
        <v>1.3599999999999999E-2</v>
      </c>
      <c r="H558" s="162">
        <v>0.20250000000000001</v>
      </c>
      <c r="I558" s="162">
        <v>0.34439999999999998</v>
      </c>
      <c r="J558" s="162">
        <v>0.45429999999999998</v>
      </c>
      <c r="K558" s="162">
        <v>0.5726</v>
      </c>
      <c r="L558" s="162">
        <v>0.66690000000000005</v>
      </c>
      <c r="M558" s="162">
        <v>0.73780000000000001</v>
      </c>
      <c r="N558" s="162">
        <v>0.81100000000000005</v>
      </c>
      <c r="O558" s="162">
        <v>0.86890000000000001</v>
      </c>
      <c r="P558" s="162">
        <v>0.92359999999999998</v>
      </c>
      <c r="Q558" s="162">
        <v>0.97099999999999997</v>
      </c>
      <c r="R558" s="162">
        <v>1.0136000000000001</v>
      </c>
      <c r="S558" s="162">
        <v>1.2561</v>
      </c>
      <c r="T558" s="162">
        <v>1.3066</v>
      </c>
      <c r="U558" s="162">
        <v>1.3341000000000001</v>
      </c>
      <c r="V558" s="162">
        <v>1.3665</v>
      </c>
      <c r="W558" s="162">
        <v>1.4019999999999999</v>
      </c>
      <c r="X558" s="162">
        <v>1.4367000000000001</v>
      </c>
      <c r="Y558" s="162">
        <v>1.4789000000000001</v>
      </c>
      <c r="Z558" s="162">
        <v>1.5196000000000001</v>
      </c>
      <c r="AA558" s="162">
        <v>1.5632999999999999</v>
      </c>
      <c r="AB558" s="162">
        <v>1.6119000000000001</v>
      </c>
      <c r="AC558" s="162">
        <v>1.6543000000000001</v>
      </c>
      <c r="AD558" s="162">
        <v>1.6927000000000001</v>
      </c>
      <c r="AE558" s="162">
        <v>1.7216</v>
      </c>
      <c r="AF558" s="162">
        <v>1.7386999999999999</v>
      </c>
      <c r="AG558" s="162">
        <v>1.7342</v>
      </c>
      <c r="AH558" s="162">
        <v>1.7298</v>
      </c>
      <c r="AI558" s="162">
        <v>1.7253000000000001</v>
      </c>
      <c r="AJ558" s="162">
        <v>1.7209000000000001</v>
      </c>
      <c r="AK558" s="162">
        <v>1.7163999999999999</v>
      </c>
      <c r="AL558" s="162">
        <v>1.7045999999999999</v>
      </c>
      <c r="AM558" s="162">
        <v>1.6913</v>
      </c>
      <c r="AN558" s="162">
        <v>1.6793</v>
      </c>
      <c r="AO558" s="162">
        <v>1.6666000000000001</v>
      </c>
      <c r="AP558" s="162">
        <v>1.6535</v>
      </c>
      <c r="AQ558" s="162">
        <v>1.6412</v>
      </c>
      <c r="AR558" s="162">
        <v>1.6284000000000001</v>
      </c>
      <c r="AS558" s="162">
        <v>1.6155999999999999</v>
      </c>
      <c r="AT558" s="162">
        <v>1.6031</v>
      </c>
      <c r="AU558" s="162">
        <v>1.5911999999999999</v>
      </c>
    </row>
    <row r="559" spans="1:47" ht="12.75" customHeight="1">
      <c r="A559" s="459">
        <v>44806</v>
      </c>
      <c r="B559" s="139">
        <v>35</v>
      </c>
      <c r="C559" s="162">
        <v>-8.1000000000000003E-2</v>
      </c>
      <c r="D559" s="162">
        <v>-8.1000000000000003E-2</v>
      </c>
      <c r="E559" s="162">
        <v>-8.4199999999999997E-2</v>
      </c>
      <c r="F559" s="162">
        <v>-8.4199999999999997E-2</v>
      </c>
      <c r="G559" s="162">
        <v>0.15029999999999999</v>
      </c>
      <c r="H559" s="162">
        <v>0.30530000000000002</v>
      </c>
      <c r="I559" s="162">
        <v>0.47260000000000002</v>
      </c>
      <c r="J559" s="162">
        <v>0.59599999999999997</v>
      </c>
      <c r="K559" s="162">
        <v>0.71950000000000003</v>
      </c>
      <c r="L559" s="162">
        <v>0.82520000000000004</v>
      </c>
      <c r="M559" s="162">
        <v>0.91110000000000002</v>
      </c>
      <c r="N559" s="162">
        <v>0.99739999999999995</v>
      </c>
      <c r="O559" s="162">
        <v>1.0750999999999999</v>
      </c>
      <c r="P559" s="162">
        <v>1.1446000000000001</v>
      </c>
      <c r="Q559" s="162">
        <v>1.2052</v>
      </c>
      <c r="R559" s="162">
        <v>1.2621</v>
      </c>
      <c r="S559" s="162">
        <v>1.5753999999999999</v>
      </c>
      <c r="T559" s="162">
        <v>1.6389</v>
      </c>
      <c r="U559" s="162">
        <v>1.6754</v>
      </c>
      <c r="V559" s="162">
        <v>1.7113</v>
      </c>
      <c r="W559" s="162">
        <v>1.7442</v>
      </c>
      <c r="X559" s="162">
        <v>1.7768999999999999</v>
      </c>
      <c r="Y559" s="162">
        <v>1.8144</v>
      </c>
      <c r="Z559" s="162">
        <v>1.8524</v>
      </c>
      <c r="AA559" s="162">
        <v>1.8947000000000001</v>
      </c>
      <c r="AB559" s="162">
        <v>1.9356</v>
      </c>
      <c r="AC559" s="162">
        <v>1.9738</v>
      </c>
      <c r="AD559" s="162">
        <v>2.0074999999999998</v>
      </c>
      <c r="AE559" s="162">
        <v>2.0301999999999998</v>
      </c>
      <c r="AF559" s="162">
        <v>2.0442999999999998</v>
      </c>
      <c r="AG559" s="162">
        <v>2.0350999999999999</v>
      </c>
      <c r="AH559" s="162">
        <v>2.0259</v>
      </c>
      <c r="AI559" s="162">
        <v>2.0167000000000002</v>
      </c>
      <c r="AJ559" s="162">
        <v>2.0074999999999998</v>
      </c>
      <c r="AK559" s="162">
        <v>1.9984</v>
      </c>
      <c r="AL559" s="162">
        <v>1.9787999999999999</v>
      </c>
      <c r="AM559" s="162">
        <v>1.9614</v>
      </c>
      <c r="AN559" s="162">
        <v>1.9448000000000001</v>
      </c>
      <c r="AO559" s="162">
        <v>1.929</v>
      </c>
      <c r="AP559" s="162">
        <v>1.9135</v>
      </c>
      <c r="AQ559" s="162">
        <v>1.8967000000000001</v>
      </c>
      <c r="AR559" s="162">
        <v>1.88</v>
      </c>
      <c r="AS559" s="162">
        <v>1.8633999999999999</v>
      </c>
      <c r="AT559" s="162">
        <v>1.8475999999999999</v>
      </c>
      <c r="AU559" s="162">
        <v>1.8344</v>
      </c>
    </row>
    <row r="560" spans="1:47" ht="12.75" customHeight="1">
      <c r="A560" s="459">
        <v>44813</v>
      </c>
      <c r="B560" s="139">
        <v>36</v>
      </c>
      <c r="C560" s="162">
        <v>-8.5000000000000006E-2</v>
      </c>
      <c r="D560" s="162">
        <v>-8.5000000000000006E-2</v>
      </c>
      <c r="E560" s="162">
        <v>-8.2199999999999995E-2</v>
      </c>
      <c r="F560" s="162">
        <v>4.9700000000000001E-2</v>
      </c>
      <c r="G560" s="162">
        <v>0.3387</v>
      </c>
      <c r="H560" s="162">
        <v>0.47849999999999998</v>
      </c>
      <c r="I560" s="162">
        <v>0.69110000000000005</v>
      </c>
      <c r="J560" s="162">
        <v>0.85470000000000002</v>
      </c>
      <c r="K560" s="162">
        <v>1.0084</v>
      </c>
      <c r="L560" s="162">
        <v>1.1424000000000001</v>
      </c>
      <c r="M560" s="162">
        <v>1.2623</v>
      </c>
      <c r="N560" s="162">
        <v>1.3601000000000001</v>
      </c>
      <c r="O560" s="162">
        <v>1.45</v>
      </c>
      <c r="P560" s="162">
        <v>1.5217000000000001</v>
      </c>
      <c r="Q560" s="162">
        <v>1.5869</v>
      </c>
      <c r="R560" s="162">
        <v>1.6465000000000001</v>
      </c>
      <c r="S560" s="162">
        <v>1.8975</v>
      </c>
      <c r="T560" s="162">
        <v>1.9095</v>
      </c>
      <c r="U560" s="162">
        <v>1.9278</v>
      </c>
      <c r="V560" s="162">
        <v>1.9501999999999999</v>
      </c>
      <c r="W560" s="162">
        <v>1.974</v>
      </c>
      <c r="X560" s="162">
        <v>1.9996</v>
      </c>
      <c r="Y560" s="162">
        <v>2.0339</v>
      </c>
      <c r="Z560" s="162">
        <v>2.0701999999999998</v>
      </c>
      <c r="AA560" s="162">
        <v>2.1105</v>
      </c>
      <c r="AB560" s="162">
        <v>2.1496</v>
      </c>
      <c r="AC560" s="162">
        <v>2.1837</v>
      </c>
      <c r="AD560" s="162">
        <v>2.2124999999999999</v>
      </c>
      <c r="AE560" s="162">
        <v>2.2322000000000002</v>
      </c>
      <c r="AF560" s="162">
        <v>2.2401</v>
      </c>
      <c r="AG560" s="162">
        <v>2.2269999999999999</v>
      </c>
      <c r="AH560" s="162">
        <v>2.2139000000000002</v>
      </c>
      <c r="AI560" s="162">
        <v>2.2008000000000001</v>
      </c>
      <c r="AJ560" s="162">
        <v>2.1877</v>
      </c>
      <c r="AK560" s="162">
        <v>2.1745999999999999</v>
      </c>
      <c r="AL560" s="162">
        <v>2.1526000000000001</v>
      </c>
      <c r="AM560" s="162">
        <v>2.1303999999999998</v>
      </c>
      <c r="AN560" s="162">
        <v>2.1093000000000002</v>
      </c>
      <c r="AO560" s="162">
        <v>2.0886999999999998</v>
      </c>
      <c r="AP560" s="162">
        <v>2.0684</v>
      </c>
      <c r="AQ560" s="162">
        <v>2.0489999999999999</v>
      </c>
      <c r="AR560" s="162">
        <v>2.0283000000000002</v>
      </c>
      <c r="AS560" s="162">
        <v>2.0082</v>
      </c>
      <c r="AT560" s="162">
        <v>1.9888999999999999</v>
      </c>
      <c r="AU560" s="162">
        <v>1.97</v>
      </c>
    </row>
    <row r="561" spans="1:47" ht="12.75" customHeight="1">
      <c r="A561" s="459">
        <v>44820</v>
      </c>
      <c r="B561" s="139">
        <v>37</v>
      </c>
      <c r="C561" s="162">
        <v>-8.3500000000000005E-2</v>
      </c>
      <c r="D561" s="162">
        <v>-8.3500000000000005E-2</v>
      </c>
      <c r="E561" s="162">
        <v>0.2041</v>
      </c>
      <c r="F561" s="162">
        <v>0.40560000000000002</v>
      </c>
      <c r="G561" s="162">
        <v>0.5161</v>
      </c>
      <c r="H561" s="162">
        <v>0.64670000000000005</v>
      </c>
      <c r="I561" s="162">
        <v>0.83030000000000004</v>
      </c>
      <c r="J561" s="162">
        <v>1.0103</v>
      </c>
      <c r="K561" s="162">
        <v>1.1529</v>
      </c>
      <c r="L561" s="162">
        <v>1.2854000000000001</v>
      </c>
      <c r="M561" s="162">
        <v>1.4047000000000001</v>
      </c>
      <c r="N561" s="162">
        <v>1.4882</v>
      </c>
      <c r="O561" s="162">
        <v>1.5638000000000001</v>
      </c>
      <c r="P561" s="162">
        <v>1.6297999999999999</v>
      </c>
      <c r="Q561" s="162">
        <v>1.6863999999999999</v>
      </c>
      <c r="R561" s="162">
        <v>1.7352000000000001</v>
      </c>
      <c r="S561" s="162">
        <v>1.9574</v>
      </c>
      <c r="T561" s="162">
        <v>1.9702999999999999</v>
      </c>
      <c r="U561" s="162">
        <v>1.9987999999999999</v>
      </c>
      <c r="V561" s="162">
        <v>2.0367000000000002</v>
      </c>
      <c r="W561" s="162">
        <v>2.0666000000000002</v>
      </c>
      <c r="X561" s="162">
        <v>2.0926</v>
      </c>
      <c r="Y561" s="162">
        <v>2.1272000000000002</v>
      </c>
      <c r="Z561" s="162">
        <v>2.1665000000000001</v>
      </c>
      <c r="AA561" s="162">
        <v>2.2101000000000002</v>
      </c>
      <c r="AB561" s="162">
        <v>2.2498</v>
      </c>
      <c r="AC561" s="162">
        <v>2.2837999999999998</v>
      </c>
      <c r="AD561" s="162">
        <v>2.3083999999999998</v>
      </c>
      <c r="AE561" s="162">
        <v>2.3260999999999998</v>
      </c>
      <c r="AF561" s="162">
        <v>2.3325</v>
      </c>
      <c r="AG561" s="162">
        <v>2.3180999999999998</v>
      </c>
      <c r="AH561" s="162">
        <v>2.3037000000000001</v>
      </c>
      <c r="AI561" s="162">
        <v>2.2892999999999999</v>
      </c>
      <c r="AJ561" s="162">
        <v>2.2749000000000001</v>
      </c>
      <c r="AK561" s="162">
        <v>2.2606000000000002</v>
      </c>
      <c r="AL561" s="162">
        <v>2.2391999999999999</v>
      </c>
      <c r="AM561" s="162">
        <v>2.2153999999999998</v>
      </c>
      <c r="AN561" s="162">
        <v>2.1916000000000002</v>
      </c>
      <c r="AO561" s="162">
        <v>2.1680000000000001</v>
      </c>
      <c r="AP561" s="162">
        <v>2.1434000000000002</v>
      </c>
      <c r="AQ561" s="162">
        <v>2.1206999999999998</v>
      </c>
      <c r="AR561" s="162">
        <v>2.0983999999999998</v>
      </c>
      <c r="AS561" s="162">
        <v>2.0764</v>
      </c>
      <c r="AT561" s="162">
        <v>2.0556000000000001</v>
      </c>
      <c r="AU561" s="162">
        <v>2.0354000000000001</v>
      </c>
    </row>
    <row r="562" spans="1:47" ht="12.75" customHeight="1">
      <c r="A562" s="459">
        <v>44827</v>
      </c>
      <c r="B562" s="139">
        <v>38</v>
      </c>
      <c r="C562" s="162">
        <v>0.2883</v>
      </c>
      <c r="D562" s="162">
        <v>0.2883</v>
      </c>
      <c r="E562" s="162">
        <v>0.6462</v>
      </c>
      <c r="F562" s="162">
        <v>0.64649999999999996</v>
      </c>
      <c r="G562" s="162">
        <v>0.64649999999999996</v>
      </c>
      <c r="H562" s="162">
        <v>0.82069999999999999</v>
      </c>
      <c r="I562" s="162">
        <v>0.98719999999999997</v>
      </c>
      <c r="J562" s="162">
        <v>1.2202</v>
      </c>
      <c r="K562" s="162">
        <v>1.3912</v>
      </c>
      <c r="L562" s="162">
        <v>1.5325</v>
      </c>
      <c r="M562" s="162">
        <v>1.6649</v>
      </c>
      <c r="N562" s="162">
        <v>1.764</v>
      </c>
      <c r="O562" s="162">
        <v>1.8481000000000001</v>
      </c>
      <c r="P562" s="162">
        <v>1.9166000000000001</v>
      </c>
      <c r="Q562" s="162">
        <v>1.9748000000000001</v>
      </c>
      <c r="R562" s="162">
        <v>2.0251999999999999</v>
      </c>
      <c r="S562" s="162">
        <v>2.2000999999999999</v>
      </c>
      <c r="T562" s="162">
        <v>2.1730999999999998</v>
      </c>
      <c r="U562" s="162">
        <v>2.1585999999999999</v>
      </c>
      <c r="V562" s="162">
        <v>2.1648000000000001</v>
      </c>
      <c r="W562" s="162">
        <v>2.1673</v>
      </c>
      <c r="X562" s="162">
        <v>2.1720000000000002</v>
      </c>
      <c r="Y562" s="162">
        <v>2.1886999999999999</v>
      </c>
      <c r="Z562" s="162">
        <v>2.2118000000000002</v>
      </c>
      <c r="AA562" s="162">
        <v>2.2408000000000001</v>
      </c>
      <c r="AB562" s="162">
        <v>2.2671999999999999</v>
      </c>
      <c r="AC562" s="162">
        <v>2.29</v>
      </c>
      <c r="AD562" s="162">
        <v>2.3073999999999999</v>
      </c>
      <c r="AE562" s="162">
        <v>2.3176000000000001</v>
      </c>
      <c r="AF562" s="162">
        <v>2.3176999999999999</v>
      </c>
      <c r="AG562" s="162">
        <v>2.3006000000000002</v>
      </c>
      <c r="AH562" s="162">
        <v>2.2835000000000001</v>
      </c>
      <c r="AI562" s="162">
        <v>2.2664</v>
      </c>
      <c r="AJ562" s="162">
        <v>2.2492999999999999</v>
      </c>
      <c r="AK562" s="162">
        <v>2.2322000000000002</v>
      </c>
      <c r="AL562" s="162">
        <v>2.2101000000000002</v>
      </c>
      <c r="AM562" s="162">
        <v>2.1861999999999999</v>
      </c>
      <c r="AN562" s="162">
        <v>2.1625000000000001</v>
      </c>
      <c r="AO562" s="162">
        <v>2.1389</v>
      </c>
      <c r="AP562" s="162">
        <v>2.1128</v>
      </c>
      <c r="AQ562" s="162">
        <v>2.0918999999999999</v>
      </c>
      <c r="AR562" s="162">
        <v>2.0695000000000001</v>
      </c>
      <c r="AS562" s="162">
        <v>2.0470000000000002</v>
      </c>
      <c r="AT562" s="162">
        <v>2.0259</v>
      </c>
      <c r="AU562" s="162">
        <v>2.0044</v>
      </c>
    </row>
    <row r="563" spans="1:47" ht="12.75" customHeight="1">
      <c r="A563" s="459">
        <v>44834</v>
      </c>
      <c r="B563" s="139">
        <v>39</v>
      </c>
      <c r="C563" s="162">
        <v>0.65949999999999998</v>
      </c>
      <c r="D563" s="162">
        <v>0.65949999999999998</v>
      </c>
      <c r="E563" s="162">
        <v>0.65400000000000003</v>
      </c>
      <c r="F563" s="162">
        <v>0.65369999999999995</v>
      </c>
      <c r="G563" s="162">
        <v>0.65480000000000005</v>
      </c>
      <c r="H563" s="162">
        <v>0.91259999999999997</v>
      </c>
      <c r="I563" s="162">
        <v>1.0814999999999999</v>
      </c>
      <c r="J563" s="162">
        <v>1.3237000000000001</v>
      </c>
      <c r="K563" s="162">
        <v>1.5096000000000001</v>
      </c>
      <c r="L563" s="162">
        <v>1.6577999999999999</v>
      </c>
      <c r="M563" s="162">
        <v>1.8113999999999999</v>
      </c>
      <c r="N563" s="162">
        <v>1.9273</v>
      </c>
      <c r="O563" s="162">
        <v>2.0251999999999999</v>
      </c>
      <c r="P563" s="162">
        <v>2.1112000000000002</v>
      </c>
      <c r="Q563" s="162">
        <v>2.1827000000000001</v>
      </c>
      <c r="R563" s="162">
        <v>2.2410999999999999</v>
      </c>
      <c r="S563" s="162">
        <v>2.4897999999999998</v>
      </c>
      <c r="T563" s="162">
        <v>2.4639000000000002</v>
      </c>
      <c r="U563" s="162">
        <v>2.4357000000000002</v>
      </c>
      <c r="V563" s="162">
        <v>2.4226999999999999</v>
      </c>
      <c r="W563" s="162">
        <v>2.4062999999999999</v>
      </c>
      <c r="X563" s="162">
        <v>2.3923999999999999</v>
      </c>
      <c r="Y563" s="162">
        <v>2.3923999999999999</v>
      </c>
      <c r="Z563" s="162">
        <v>2.3995000000000002</v>
      </c>
      <c r="AA563" s="162">
        <v>2.4114</v>
      </c>
      <c r="AB563" s="162">
        <v>2.4247000000000001</v>
      </c>
      <c r="AC563" s="162">
        <v>2.4335</v>
      </c>
      <c r="AD563" s="162">
        <v>2.4394</v>
      </c>
      <c r="AE563" s="162">
        <v>2.44</v>
      </c>
      <c r="AF563" s="162">
        <v>2.4308000000000001</v>
      </c>
      <c r="AG563" s="162">
        <v>2.4066999999999998</v>
      </c>
      <c r="AH563" s="162">
        <v>2.3826999999999998</v>
      </c>
      <c r="AI563" s="162">
        <v>2.3586</v>
      </c>
      <c r="AJ563" s="162">
        <v>2.3344999999999998</v>
      </c>
      <c r="AK563" s="162">
        <v>2.3104</v>
      </c>
      <c r="AL563" s="162">
        <v>2.2812000000000001</v>
      </c>
      <c r="AM563" s="162">
        <v>2.2521</v>
      </c>
      <c r="AN563" s="162">
        <v>2.2241</v>
      </c>
      <c r="AO563" s="162">
        <v>2.1964000000000001</v>
      </c>
      <c r="AP563" s="162">
        <v>2.1694</v>
      </c>
      <c r="AQ563" s="162">
        <v>2.1415999999999999</v>
      </c>
      <c r="AR563" s="162">
        <v>2.1145999999999998</v>
      </c>
      <c r="AS563" s="162">
        <v>2.089</v>
      </c>
      <c r="AT563" s="162">
        <v>2.0649000000000002</v>
      </c>
      <c r="AU563" s="162">
        <v>2.0419999999999998</v>
      </c>
    </row>
    <row r="564" spans="1:47" ht="12.75" customHeight="1">
      <c r="A564" s="459">
        <v>44841</v>
      </c>
      <c r="B564" s="139">
        <v>40</v>
      </c>
      <c r="C564" s="162">
        <v>0.66200000000000003</v>
      </c>
      <c r="D564" s="162">
        <v>0.66200000000000003</v>
      </c>
      <c r="E564" s="162">
        <v>0.65949999999999998</v>
      </c>
      <c r="F564" s="162">
        <v>0.66010000000000002</v>
      </c>
      <c r="G564" s="162">
        <v>0.67390000000000005</v>
      </c>
      <c r="H564" s="162">
        <v>0.99829999999999997</v>
      </c>
      <c r="I564" s="162">
        <v>1.1902999999999999</v>
      </c>
      <c r="J564" s="162">
        <v>1.4023000000000001</v>
      </c>
      <c r="K564" s="162">
        <v>1.5745</v>
      </c>
      <c r="L564" s="162">
        <v>1.7257</v>
      </c>
      <c r="M564" s="162">
        <v>1.8613</v>
      </c>
      <c r="N564" s="162">
        <v>1.9822</v>
      </c>
      <c r="O564" s="162">
        <v>2.081</v>
      </c>
      <c r="P564" s="162">
        <v>2.1696</v>
      </c>
      <c r="Q564" s="162">
        <v>2.2479</v>
      </c>
      <c r="R564" s="162">
        <v>2.3159999999999998</v>
      </c>
      <c r="S564" s="162">
        <v>2.6522999999999999</v>
      </c>
      <c r="T564" s="162">
        <v>2.6974999999999998</v>
      </c>
      <c r="U564" s="162">
        <v>2.7277999999999998</v>
      </c>
      <c r="V564" s="162">
        <v>2.7498999999999998</v>
      </c>
      <c r="W564" s="162">
        <v>2.7604000000000002</v>
      </c>
      <c r="X564" s="162">
        <v>2.7643</v>
      </c>
      <c r="Y564" s="162">
        <v>2.7785000000000002</v>
      </c>
      <c r="Z564" s="162">
        <v>2.7959000000000001</v>
      </c>
      <c r="AA564" s="162">
        <v>2.8100999999999998</v>
      </c>
      <c r="AB564" s="162">
        <v>2.8258000000000001</v>
      </c>
      <c r="AC564" s="162">
        <v>2.8338999999999999</v>
      </c>
      <c r="AD564" s="162">
        <v>2.8372999999999999</v>
      </c>
      <c r="AE564" s="162">
        <v>2.8340999999999998</v>
      </c>
      <c r="AF564" s="162">
        <v>2.8212000000000002</v>
      </c>
      <c r="AG564" s="162">
        <v>2.7881</v>
      </c>
      <c r="AH564" s="162">
        <v>2.7549999999999999</v>
      </c>
      <c r="AI564" s="162">
        <v>2.7219000000000002</v>
      </c>
      <c r="AJ564" s="162">
        <v>2.6888000000000001</v>
      </c>
      <c r="AK564" s="162">
        <v>2.6556999999999999</v>
      </c>
      <c r="AL564" s="162">
        <v>2.6175000000000002</v>
      </c>
      <c r="AM564" s="162">
        <v>2.5771000000000002</v>
      </c>
      <c r="AN564" s="162">
        <v>2.5375000000000001</v>
      </c>
      <c r="AO564" s="162">
        <v>2.4986000000000002</v>
      </c>
      <c r="AP564" s="162">
        <v>2.4605999999999999</v>
      </c>
      <c r="AQ564" s="162">
        <v>2.423</v>
      </c>
      <c r="AR564" s="162">
        <v>2.3885000000000001</v>
      </c>
      <c r="AS564" s="162">
        <v>2.3544999999999998</v>
      </c>
      <c r="AT564" s="162">
        <v>2.323</v>
      </c>
      <c r="AU564" s="162">
        <v>2.2957999999999998</v>
      </c>
    </row>
    <row r="565" spans="1:47" ht="12.75" customHeight="1">
      <c r="A565" s="459">
        <v>44848</v>
      </c>
      <c r="B565" s="139">
        <v>41</v>
      </c>
      <c r="C565" s="162">
        <v>0.65500000000000003</v>
      </c>
      <c r="D565" s="162">
        <v>0.65500000000000003</v>
      </c>
      <c r="E565" s="162">
        <v>0.65800000000000003</v>
      </c>
      <c r="F565" s="162">
        <v>0.65810000000000002</v>
      </c>
      <c r="G565" s="162">
        <v>0.79990000000000006</v>
      </c>
      <c r="H565" s="162">
        <v>1.0709</v>
      </c>
      <c r="I565" s="162">
        <v>1.2817000000000001</v>
      </c>
      <c r="J565" s="162">
        <v>1.4537</v>
      </c>
      <c r="K565" s="162">
        <v>1.6085</v>
      </c>
      <c r="L565" s="162">
        <v>1.7512000000000001</v>
      </c>
      <c r="M565" s="162">
        <v>1.8613</v>
      </c>
      <c r="N565" s="162">
        <v>1.9645999999999999</v>
      </c>
      <c r="O565" s="162">
        <v>2.048</v>
      </c>
      <c r="P565" s="162">
        <v>2.1244999999999998</v>
      </c>
      <c r="Q565" s="162">
        <v>2.1901999999999999</v>
      </c>
      <c r="R565" s="162">
        <v>2.2437</v>
      </c>
      <c r="S565" s="162">
        <v>2.4836999999999998</v>
      </c>
      <c r="T565" s="162">
        <v>2.5190999999999999</v>
      </c>
      <c r="U565" s="162">
        <v>2.5461</v>
      </c>
      <c r="V565" s="162">
        <v>2.5775000000000001</v>
      </c>
      <c r="W565" s="162">
        <v>2.6036000000000001</v>
      </c>
      <c r="X565" s="162">
        <v>2.6257999999999999</v>
      </c>
      <c r="Y565" s="162">
        <v>2.6533000000000002</v>
      </c>
      <c r="Z565" s="162">
        <v>2.6785000000000001</v>
      </c>
      <c r="AA565" s="162">
        <v>2.7105000000000001</v>
      </c>
      <c r="AB565" s="162">
        <v>2.7349999999999999</v>
      </c>
      <c r="AC565" s="162">
        <v>2.7532000000000001</v>
      </c>
      <c r="AD565" s="162">
        <v>2.7614000000000001</v>
      </c>
      <c r="AE565" s="162">
        <v>2.7663000000000002</v>
      </c>
      <c r="AF565" s="162">
        <v>2.7589999999999999</v>
      </c>
      <c r="AG565" s="162">
        <v>2.7305000000000001</v>
      </c>
      <c r="AH565" s="162">
        <v>2.702</v>
      </c>
      <c r="AI565" s="162">
        <v>2.6735000000000002</v>
      </c>
      <c r="AJ565" s="162">
        <v>2.6450999999999998</v>
      </c>
      <c r="AK565" s="162">
        <v>2.6166</v>
      </c>
      <c r="AL565" s="162">
        <v>2.5781999999999998</v>
      </c>
      <c r="AM565" s="162">
        <v>2.5417999999999998</v>
      </c>
      <c r="AN565" s="162">
        <v>2.5044</v>
      </c>
      <c r="AO565" s="162">
        <v>2.4685999999999999</v>
      </c>
      <c r="AP565" s="162">
        <v>2.4373999999999998</v>
      </c>
      <c r="AQ565" s="162">
        <v>2.4011</v>
      </c>
      <c r="AR565" s="162">
        <v>2.3679000000000001</v>
      </c>
      <c r="AS565" s="162">
        <v>2.3365999999999998</v>
      </c>
      <c r="AT565" s="162">
        <v>2.3064</v>
      </c>
      <c r="AU565" s="162">
        <v>2.2801999999999998</v>
      </c>
    </row>
    <row r="566" spans="1:47" ht="12.75" customHeight="1">
      <c r="A566" s="459">
        <v>44855</v>
      </c>
      <c r="B566" s="139">
        <v>42</v>
      </c>
      <c r="C566" s="162">
        <v>0.65700000000000003</v>
      </c>
      <c r="D566" s="162">
        <v>0.65700000000000003</v>
      </c>
      <c r="E566" s="162">
        <v>0.65410000000000001</v>
      </c>
      <c r="F566" s="162">
        <v>0.65459999999999996</v>
      </c>
      <c r="G566" s="162">
        <v>0.95530000000000004</v>
      </c>
      <c r="H566" s="162">
        <v>1.1532</v>
      </c>
      <c r="I566" s="162">
        <v>1.3997999999999999</v>
      </c>
      <c r="J566" s="162">
        <v>1.5793999999999999</v>
      </c>
      <c r="K566" s="162">
        <v>1.7344999999999999</v>
      </c>
      <c r="L566" s="162">
        <v>1.8827</v>
      </c>
      <c r="M566" s="162">
        <v>2.0017999999999998</v>
      </c>
      <c r="N566" s="162">
        <v>2.1097999999999999</v>
      </c>
      <c r="O566" s="162">
        <v>2.1995</v>
      </c>
      <c r="P566" s="162">
        <v>2.2831999999999999</v>
      </c>
      <c r="Q566" s="162">
        <v>2.3521999999999998</v>
      </c>
      <c r="R566" s="162">
        <v>2.4123000000000001</v>
      </c>
      <c r="S566" s="162">
        <v>2.6979000000000002</v>
      </c>
      <c r="T566" s="162">
        <v>2.7559999999999998</v>
      </c>
      <c r="U566" s="162">
        <v>2.7995999999999999</v>
      </c>
      <c r="V566" s="162">
        <v>2.843</v>
      </c>
      <c r="W566" s="162">
        <v>2.8795000000000002</v>
      </c>
      <c r="X566" s="162">
        <v>2.9083999999999999</v>
      </c>
      <c r="Y566" s="162">
        <v>2.9418000000000002</v>
      </c>
      <c r="Z566" s="162">
        <v>2.9740000000000002</v>
      </c>
      <c r="AA566" s="162">
        <v>3.0068000000000001</v>
      </c>
      <c r="AB566" s="162">
        <v>3.0314999999999999</v>
      </c>
      <c r="AC566" s="162">
        <v>3.0533999999999999</v>
      </c>
      <c r="AD566" s="162">
        <v>3.0642999999999998</v>
      </c>
      <c r="AE566" s="162">
        <v>3.0688</v>
      </c>
      <c r="AF566" s="162">
        <v>3.0648</v>
      </c>
      <c r="AG566" s="162">
        <v>3.0348000000000002</v>
      </c>
      <c r="AH566" s="162">
        <v>3.0049000000000001</v>
      </c>
      <c r="AI566" s="162">
        <v>2.9748999999999999</v>
      </c>
      <c r="AJ566" s="162">
        <v>2.9449000000000001</v>
      </c>
      <c r="AK566" s="162">
        <v>2.915</v>
      </c>
      <c r="AL566" s="162">
        <v>2.8801999999999999</v>
      </c>
      <c r="AM566" s="162">
        <v>2.8409</v>
      </c>
      <c r="AN566" s="162">
        <v>2.8033999999999999</v>
      </c>
      <c r="AO566" s="162">
        <v>2.7665000000000002</v>
      </c>
      <c r="AP566" s="162">
        <v>2.7269000000000001</v>
      </c>
      <c r="AQ566" s="162">
        <v>2.6936</v>
      </c>
      <c r="AR566" s="162">
        <v>2.6597</v>
      </c>
      <c r="AS566" s="162">
        <v>2.6269</v>
      </c>
      <c r="AT566" s="162">
        <v>2.5954999999999999</v>
      </c>
      <c r="AU566" s="162">
        <v>2.5615000000000001</v>
      </c>
    </row>
    <row r="567" spans="1:47" ht="12.75" customHeight="1">
      <c r="A567" s="459">
        <v>44862</v>
      </c>
      <c r="B567" s="139">
        <v>43</v>
      </c>
      <c r="C567" s="162">
        <v>0.65680000000000005</v>
      </c>
      <c r="D567" s="162">
        <v>0.65680000000000005</v>
      </c>
      <c r="E567" s="162">
        <v>0.65410000000000001</v>
      </c>
      <c r="F567" s="162">
        <v>0.80010000000000003</v>
      </c>
      <c r="G567" s="162">
        <v>1.125</v>
      </c>
      <c r="H567" s="162">
        <v>1.2761</v>
      </c>
      <c r="I567" s="162">
        <v>1.5238</v>
      </c>
      <c r="J567" s="162">
        <v>1.7060999999999999</v>
      </c>
      <c r="K567" s="162">
        <v>1.8522000000000001</v>
      </c>
      <c r="L567" s="162">
        <v>1.9996</v>
      </c>
      <c r="M567" s="162">
        <v>2.1191</v>
      </c>
      <c r="N567" s="162">
        <v>2.2233999999999998</v>
      </c>
      <c r="O567" s="162">
        <v>2.3130000000000002</v>
      </c>
      <c r="P567" s="162">
        <v>2.3959000000000001</v>
      </c>
      <c r="Q567" s="162">
        <v>2.4641000000000002</v>
      </c>
      <c r="R567" s="162">
        <v>2.5232000000000001</v>
      </c>
      <c r="S567" s="162">
        <v>2.7921999999999998</v>
      </c>
      <c r="T567" s="162">
        <v>2.8252999999999999</v>
      </c>
      <c r="U567" s="162">
        <v>2.8437999999999999</v>
      </c>
      <c r="V567" s="162">
        <v>2.8733</v>
      </c>
      <c r="W567" s="162">
        <v>2.8906999999999998</v>
      </c>
      <c r="X567" s="162">
        <v>2.9053</v>
      </c>
      <c r="Y567" s="162">
        <v>2.9308000000000001</v>
      </c>
      <c r="Z567" s="162">
        <v>2.9558</v>
      </c>
      <c r="AA567" s="162">
        <v>2.9866999999999999</v>
      </c>
      <c r="AB567" s="162">
        <v>3.0091000000000001</v>
      </c>
      <c r="AC567" s="162">
        <v>3.0333000000000001</v>
      </c>
      <c r="AD567" s="162">
        <v>3.0419</v>
      </c>
      <c r="AE567" s="162">
        <v>3.0470999999999999</v>
      </c>
      <c r="AF567" s="162">
        <v>3.0474000000000001</v>
      </c>
      <c r="AG567" s="162">
        <v>3.0182000000000002</v>
      </c>
      <c r="AH567" s="162">
        <v>2.9891000000000001</v>
      </c>
      <c r="AI567" s="162">
        <v>2.9599000000000002</v>
      </c>
      <c r="AJ567" s="162">
        <v>2.9308000000000001</v>
      </c>
      <c r="AK567" s="162">
        <v>2.9016999999999999</v>
      </c>
      <c r="AL567" s="162">
        <v>2.8658000000000001</v>
      </c>
      <c r="AM567" s="162">
        <v>2.8269000000000002</v>
      </c>
      <c r="AN567" s="162">
        <v>2.7879999999999998</v>
      </c>
      <c r="AO567" s="162">
        <v>2.7496999999999998</v>
      </c>
      <c r="AP567" s="162">
        <v>2.7092000000000001</v>
      </c>
      <c r="AQ567" s="162">
        <v>2.6738</v>
      </c>
      <c r="AR567" s="162">
        <v>2.6387999999999998</v>
      </c>
      <c r="AS567" s="162">
        <v>2.6051000000000002</v>
      </c>
      <c r="AT567" s="162">
        <v>2.573</v>
      </c>
      <c r="AU567" s="162">
        <v>2.5426000000000002</v>
      </c>
    </row>
    <row r="568" spans="1:47" ht="12.75" customHeight="1">
      <c r="A568" s="459">
        <v>44869</v>
      </c>
      <c r="B568" s="139">
        <v>44</v>
      </c>
      <c r="C568" s="162">
        <v>0.65680000000000005</v>
      </c>
      <c r="D568" s="162">
        <v>0.65680000000000005</v>
      </c>
      <c r="E568" s="162">
        <v>0.94799999999999995</v>
      </c>
      <c r="F568" s="162">
        <v>1.1679999999999999</v>
      </c>
      <c r="G568" s="162">
        <v>1.2901</v>
      </c>
      <c r="H568" s="162">
        <v>1.4153</v>
      </c>
      <c r="I568" s="162">
        <v>1.6113</v>
      </c>
      <c r="J568" s="162">
        <v>1.7606999999999999</v>
      </c>
      <c r="K568" s="162">
        <v>1.8806</v>
      </c>
      <c r="L568" s="162">
        <v>1.9849000000000001</v>
      </c>
      <c r="M568" s="162">
        <v>2.0750000000000002</v>
      </c>
      <c r="N568" s="162">
        <v>2.1476000000000002</v>
      </c>
      <c r="O568" s="162">
        <v>2.2120000000000002</v>
      </c>
      <c r="P568" s="162">
        <v>2.2738999999999998</v>
      </c>
      <c r="Q568" s="162">
        <v>2.3210000000000002</v>
      </c>
      <c r="R568" s="162">
        <v>2.3593000000000002</v>
      </c>
      <c r="S568" s="162">
        <v>2.5411999999999999</v>
      </c>
      <c r="T568" s="162">
        <v>2.5621</v>
      </c>
      <c r="U568" s="162">
        <v>2.5729000000000002</v>
      </c>
      <c r="V568" s="162">
        <v>2.5945999999999998</v>
      </c>
      <c r="W568" s="162">
        <v>2.6073</v>
      </c>
      <c r="X568" s="162">
        <v>2.6227999999999998</v>
      </c>
      <c r="Y568" s="162">
        <v>2.6471</v>
      </c>
      <c r="Z568" s="162">
        <v>2.6772</v>
      </c>
      <c r="AA568" s="162">
        <v>2.7124000000000001</v>
      </c>
      <c r="AB568" s="162">
        <v>2.7446999999999999</v>
      </c>
      <c r="AC568" s="162">
        <v>2.7688999999999999</v>
      </c>
      <c r="AD568" s="162">
        <v>2.7854999999999999</v>
      </c>
      <c r="AE568" s="162">
        <v>2.7967</v>
      </c>
      <c r="AF568" s="162">
        <v>2.8031999999999999</v>
      </c>
      <c r="AG568" s="162">
        <v>2.7808999999999999</v>
      </c>
      <c r="AH568" s="162">
        <v>2.7585999999999999</v>
      </c>
      <c r="AI568" s="162">
        <v>2.7363</v>
      </c>
      <c r="AJ568" s="162">
        <v>2.714</v>
      </c>
      <c r="AK568" s="162">
        <v>2.6917</v>
      </c>
      <c r="AL568" s="162">
        <v>2.6536</v>
      </c>
      <c r="AM568" s="162">
        <v>2.6185999999999998</v>
      </c>
      <c r="AN568" s="162">
        <v>2.5836000000000001</v>
      </c>
      <c r="AO568" s="162">
        <v>2.5499999999999998</v>
      </c>
      <c r="AP568" s="162">
        <v>2.5206</v>
      </c>
      <c r="AQ568" s="162">
        <v>2.4826999999999999</v>
      </c>
      <c r="AR568" s="162">
        <v>2.4537</v>
      </c>
      <c r="AS568" s="162">
        <v>2.4249000000000001</v>
      </c>
      <c r="AT568" s="162">
        <v>2.3961000000000001</v>
      </c>
      <c r="AU568" s="162">
        <v>2.3727</v>
      </c>
    </row>
    <row r="569" spans="1:47" ht="12.75" customHeight="1">
      <c r="A569" s="459">
        <v>44876</v>
      </c>
      <c r="B569" s="139">
        <v>45</v>
      </c>
      <c r="C569" s="162">
        <v>1.0283</v>
      </c>
      <c r="D569" s="162">
        <v>1.0283</v>
      </c>
      <c r="E569" s="162">
        <v>1.4011</v>
      </c>
      <c r="F569" s="162">
        <v>1.4003000000000001</v>
      </c>
      <c r="G569" s="162">
        <v>1.401</v>
      </c>
      <c r="H569" s="162">
        <v>1.5580000000000001</v>
      </c>
      <c r="I569" s="162">
        <v>1.7182999999999999</v>
      </c>
      <c r="J569" s="162">
        <v>1.8702000000000001</v>
      </c>
      <c r="K569" s="162">
        <v>2.0074000000000001</v>
      </c>
      <c r="L569" s="162">
        <v>2.1076999999999999</v>
      </c>
      <c r="M569" s="162">
        <v>2.2058</v>
      </c>
      <c r="N569" s="162">
        <v>2.2841</v>
      </c>
      <c r="O569" s="162">
        <v>2.3525999999999998</v>
      </c>
      <c r="P569" s="162">
        <v>2.4150999999999998</v>
      </c>
      <c r="Q569" s="162">
        <v>2.4655</v>
      </c>
      <c r="R569" s="162">
        <v>2.5074000000000001</v>
      </c>
      <c r="S569" s="162">
        <v>2.6833</v>
      </c>
      <c r="T569" s="162">
        <v>2.6808999999999998</v>
      </c>
      <c r="U569" s="162">
        <v>2.6758000000000002</v>
      </c>
      <c r="V569" s="162">
        <v>2.6791</v>
      </c>
      <c r="W569" s="162">
        <v>2.6899000000000002</v>
      </c>
      <c r="X569" s="162">
        <v>2.7016</v>
      </c>
      <c r="Y569" s="162">
        <v>2.7212999999999998</v>
      </c>
      <c r="Z569" s="162">
        <v>2.7464</v>
      </c>
      <c r="AA569" s="162">
        <v>2.7778</v>
      </c>
      <c r="AB569" s="162">
        <v>2.8052000000000001</v>
      </c>
      <c r="AC569" s="162">
        <v>2.8285</v>
      </c>
      <c r="AD569" s="162">
        <v>2.8441999999999998</v>
      </c>
      <c r="AE569" s="162">
        <v>2.8534000000000002</v>
      </c>
      <c r="AF569" s="162">
        <v>2.8531</v>
      </c>
      <c r="AG569" s="162">
        <v>2.8294999999999999</v>
      </c>
      <c r="AH569" s="162">
        <v>2.806</v>
      </c>
      <c r="AI569" s="162">
        <v>2.7825000000000002</v>
      </c>
      <c r="AJ569" s="162">
        <v>2.7589000000000001</v>
      </c>
      <c r="AK569" s="162">
        <v>2.7353999999999998</v>
      </c>
      <c r="AL569" s="162">
        <v>2.6991999999999998</v>
      </c>
      <c r="AM569" s="162">
        <v>2.6637</v>
      </c>
      <c r="AN569" s="162">
        <v>2.6294</v>
      </c>
      <c r="AO569" s="162">
        <v>2.5962999999999998</v>
      </c>
      <c r="AP569" s="162">
        <v>2.5647000000000002</v>
      </c>
      <c r="AQ569" s="162">
        <v>2.5339999999999998</v>
      </c>
      <c r="AR569" s="162">
        <v>2.5030999999999999</v>
      </c>
      <c r="AS569" s="162">
        <v>2.4735999999999998</v>
      </c>
      <c r="AT569" s="162">
        <v>2.4453</v>
      </c>
      <c r="AU569" s="162">
        <v>2.4157999999999999</v>
      </c>
    </row>
    <row r="570" spans="1:47" ht="12.75" customHeight="1">
      <c r="A570" s="459">
        <v>44883</v>
      </c>
      <c r="B570" s="139">
        <v>46</v>
      </c>
      <c r="C570" s="162">
        <v>1.4</v>
      </c>
      <c r="D570" s="162">
        <v>1.4</v>
      </c>
      <c r="E570" s="162">
        <v>1.4041999999999999</v>
      </c>
      <c r="F570" s="162">
        <v>1.4054</v>
      </c>
      <c r="G570" s="162">
        <v>1.405</v>
      </c>
      <c r="H570" s="162">
        <v>1.6306</v>
      </c>
      <c r="I570" s="162">
        <v>1.7881</v>
      </c>
      <c r="J570" s="162">
        <v>1.9430000000000001</v>
      </c>
      <c r="K570" s="162">
        <v>2.0853999999999999</v>
      </c>
      <c r="L570" s="162">
        <v>2.1909000000000001</v>
      </c>
      <c r="M570" s="162">
        <v>2.2957999999999998</v>
      </c>
      <c r="N570" s="162">
        <v>2.3767</v>
      </c>
      <c r="O570" s="162">
        <v>2.4474999999999998</v>
      </c>
      <c r="P570" s="162">
        <v>2.5103</v>
      </c>
      <c r="Q570" s="162">
        <v>2.5590000000000002</v>
      </c>
      <c r="R570" s="162">
        <v>2.5985999999999998</v>
      </c>
      <c r="S570" s="162">
        <v>2.7441</v>
      </c>
      <c r="T570" s="162">
        <v>2.7073999999999998</v>
      </c>
      <c r="U570" s="162">
        <v>2.6793</v>
      </c>
      <c r="V570" s="162">
        <v>2.6757</v>
      </c>
      <c r="W570" s="162">
        <v>2.6770999999999998</v>
      </c>
      <c r="X570" s="162">
        <v>2.6829999999999998</v>
      </c>
      <c r="Y570" s="162">
        <v>2.6995</v>
      </c>
      <c r="Z570" s="162">
        <v>2.7221000000000002</v>
      </c>
      <c r="AA570" s="162">
        <v>2.7481</v>
      </c>
      <c r="AB570" s="162">
        <v>2.7774999999999999</v>
      </c>
      <c r="AC570" s="162">
        <v>2.7963</v>
      </c>
      <c r="AD570" s="162">
        <v>2.8142999999999998</v>
      </c>
      <c r="AE570" s="162">
        <v>2.8216999999999999</v>
      </c>
      <c r="AF570" s="162">
        <v>2.8172999999999999</v>
      </c>
      <c r="AG570" s="162">
        <v>2.7942</v>
      </c>
      <c r="AH570" s="162">
        <v>2.7711999999999999</v>
      </c>
      <c r="AI570" s="162">
        <v>2.7481</v>
      </c>
      <c r="AJ570" s="162">
        <v>2.7250999999999999</v>
      </c>
      <c r="AK570" s="162">
        <v>2.702</v>
      </c>
      <c r="AL570" s="162">
        <v>2.6709000000000001</v>
      </c>
      <c r="AM570" s="162">
        <v>2.6366000000000001</v>
      </c>
      <c r="AN570" s="162">
        <v>2.6023999999999998</v>
      </c>
      <c r="AO570" s="162">
        <v>2.5688</v>
      </c>
      <c r="AP570" s="162">
        <v>2.5345</v>
      </c>
      <c r="AQ570" s="162">
        <v>2.5041000000000002</v>
      </c>
      <c r="AR570" s="162">
        <v>2.4737</v>
      </c>
      <c r="AS570" s="162">
        <v>2.4439000000000002</v>
      </c>
      <c r="AT570" s="162">
        <v>2.4154</v>
      </c>
      <c r="AU570" s="162">
        <v>2.3873000000000002</v>
      </c>
    </row>
    <row r="571" spans="1:47" ht="12.75" customHeight="1">
      <c r="A571" s="459">
        <v>44890</v>
      </c>
      <c r="B571" s="139">
        <v>47</v>
      </c>
      <c r="C571" s="162">
        <v>1.401</v>
      </c>
      <c r="D571" s="162">
        <v>1.401</v>
      </c>
      <c r="E571" s="162">
        <v>1.4066000000000001</v>
      </c>
      <c r="F571" s="162">
        <v>1.4093</v>
      </c>
      <c r="G571" s="162">
        <v>1.415</v>
      </c>
      <c r="H571" s="162">
        <v>1.6877</v>
      </c>
      <c r="I571" s="162">
        <v>1.8391</v>
      </c>
      <c r="J571" s="162">
        <v>1.9686999999999999</v>
      </c>
      <c r="K571" s="162">
        <v>2.1084999999999998</v>
      </c>
      <c r="L571" s="162">
        <v>2.2105000000000001</v>
      </c>
      <c r="M571" s="162">
        <v>2.3037000000000001</v>
      </c>
      <c r="N571" s="162">
        <v>2.3805000000000001</v>
      </c>
      <c r="O571" s="162">
        <v>2.4424999999999999</v>
      </c>
      <c r="P571" s="162">
        <v>2.4952000000000001</v>
      </c>
      <c r="Q571" s="162">
        <v>2.5354999999999999</v>
      </c>
      <c r="R571" s="162">
        <v>2.5628000000000002</v>
      </c>
      <c r="S571" s="162">
        <v>2.6240999999999999</v>
      </c>
      <c r="T571" s="162">
        <v>2.5518000000000001</v>
      </c>
      <c r="U571" s="162">
        <v>2.5053000000000001</v>
      </c>
      <c r="V571" s="162">
        <v>2.4857</v>
      </c>
      <c r="W571" s="162">
        <v>2.4790999999999999</v>
      </c>
      <c r="X571" s="162">
        <v>2.4782000000000002</v>
      </c>
      <c r="Y571" s="162">
        <v>2.4927999999999999</v>
      </c>
      <c r="Z571" s="162">
        <v>2.5121000000000002</v>
      </c>
      <c r="AA571" s="162">
        <v>2.5356000000000001</v>
      </c>
      <c r="AB571" s="162">
        <v>2.5634999999999999</v>
      </c>
      <c r="AC571" s="162">
        <v>2.5809000000000002</v>
      </c>
      <c r="AD571" s="162">
        <v>2.5979000000000001</v>
      </c>
      <c r="AE571" s="162">
        <v>2.6042999999999998</v>
      </c>
      <c r="AF571" s="162">
        <v>2.5992999999999999</v>
      </c>
      <c r="AG571" s="162">
        <v>2.5785999999999998</v>
      </c>
      <c r="AH571" s="162">
        <v>2.5579999999999998</v>
      </c>
      <c r="AI571" s="162">
        <v>2.5373999999999999</v>
      </c>
      <c r="AJ571" s="162">
        <v>2.5167000000000002</v>
      </c>
      <c r="AK571" s="162">
        <v>2.4961000000000002</v>
      </c>
      <c r="AL571" s="162">
        <v>2.4666000000000001</v>
      </c>
      <c r="AM571" s="162">
        <v>2.4346000000000001</v>
      </c>
      <c r="AN571" s="162">
        <v>2.4028999999999998</v>
      </c>
      <c r="AO571" s="162">
        <v>2.3714</v>
      </c>
      <c r="AP571" s="162">
        <v>2.3397000000000001</v>
      </c>
      <c r="AQ571" s="162">
        <v>2.3102</v>
      </c>
      <c r="AR571" s="162">
        <v>2.2806000000000002</v>
      </c>
      <c r="AS571" s="162">
        <v>2.2526999999999999</v>
      </c>
      <c r="AT571" s="162">
        <v>2.2263000000000002</v>
      </c>
      <c r="AU571" s="162">
        <v>2.2008000000000001</v>
      </c>
    </row>
    <row r="572" spans="1:47" ht="12.75" customHeight="1">
      <c r="A572" s="459">
        <v>44897</v>
      </c>
      <c r="B572" s="139">
        <v>48</v>
      </c>
      <c r="C572" s="162">
        <v>1.4043000000000001</v>
      </c>
      <c r="D572" s="162">
        <v>1.4043000000000001</v>
      </c>
      <c r="E572" s="162">
        <v>1.4046000000000001</v>
      </c>
      <c r="F572" s="162">
        <v>1.4049</v>
      </c>
      <c r="G572" s="162">
        <v>1.5177</v>
      </c>
      <c r="H572" s="162">
        <v>1.7577</v>
      </c>
      <c r="I572" s="162">
        <v>1.9182999999999999</v>
      </c>
      <c r="J572" s="162">
        <v>2.0423</v>
      </c>
      <c r="K572" s="162">
        <v>2.1751999999999998</v>
      </c>
      <c r="L572" s="162">
        <v>2.2774000000000001</v>
      </c>
      <c r="M572" s="162">
        <v>2.3658000000000001</v>
      </c>
      <c r="N572" s="162">
        <v>2.4359000000000002</v>
      </c>
      <c r="O572" s="162">
        <v>2.4931999999999999</v>
      </c>
      <c r="P572" s="162">
        <v>2.5417999999999998</v>
      </c>
      <c r="Q572" s="162">
        <v>2.5785999999999998</v>
      </c>
      <c r="R572" s="162">
        <v>2.61</v>
      </c>
      <c r="S572" s="162">
        <v>2.6372</v>
      </c>
      <c r="T572" s="162">
        <v>2.5339999999999998</v>
      </c>
      <c r="U572" s="162">
        <v>2.4641000000000002</v>
      </c>
      <c r="V572" s="162">
        <v>2.4264000000000001</v>
      </c>
      <c r="W572" s="162">
        <v>2.4037000000000002</v>
      </c>
      <c r="X572" s="162">
        <v>2.3923999999999999</v>
      </c>
      <c r="Y572" s="162">
        <v>2.3959000000000001</v>
      </c>
      <c r="Z572" s="162">
        <v>2.4054000000000002</v>
      </c>
      <c r="AA572" s="162">
        <v>2.4214000000000002</v>
      </c>
      <c r="AB572" s="162">
        <v>2.4340000000000002</v>
      </c>
      <c r="AC572" s="162">
        <v>2.4485000000000001</v>
      </c>
      <c r="AD572" s="162">
        <v>2.4538000000000002</v>
      </c>
      <c r="AE572" s="162">
        <v>2.4533</v>
      </c>
      <c r="AF572" s="162">
        <v>2.4499</v>
      </c>
      <c r="AG572" s="162">
        <v>2.4245999999999999</v>
      </c>
      <c r="AH572" s="162">
        <v>2.3993000000000002</v>
      </c>
      <c r="AI572" s="162">
        <v>2.3738999999999999</v>
      </c>
      <c r="AJ572" s="162">
        <v>2.3485999999999998</v>
      </c>
      <c r="AK572" s="162">
        <v>2.3233000000000001</v>
      </c>
      <c r="AL572" s="162">
        <v>2.2896000000000001</v>
      </c>
      <c r="AM572" s="162">
        <v>2.258</v>
      </c>
      <c r="AN572" s="162">
        <v>2.2269999999999999</v>
      </c>
      <c r="AO572" s="162">
        <v>2.1964000000000001</v>
      </c>
      <c r="AP572" s="162">
        <v>2.1684999999999999</v>
      </c>
      <c r="AQ572" s="162">
        <v>2.1373000000000002</v>
      </c>
      <c r="AR572" s="162">
        <v>2.1093000000000002</v>
      </c>
      <c r="AS572" s="162">
        <v>2.0821000000000001</v>
      </c>
      <c r="AT572" s="162">
        <v>2.056</v>
      </c>
      <c r="AU572" s="162">
        <v>2.0327000000000002</v>
      </c>
    </row>
    <row r="573" spans="1:47" ht="12.75" customHeight="1">
      <c r="A573" s="459">
        <v>44904</v>
      </c>
      <c r="B573" s="139">
        <v>49</v>
      </c>
      <c r="C573" s="162">
        <v>1.399</v>
      </c>
      <c r="D573" s="162">
        <v>1.399</v>
      </c>
      <c r="E573" s="162">
        <v>1.4048</v>
      </c>
      <c r="F573" s="162">
        <v>1.4044000000000001</v>
      </c>
      <c r="G573" s="162">
        <v>1.6335</v>
      </c>
      <c r="H573" s="162">
        <v>1.8036000000000001</v>
      </c>
      <c r="I573" s="162">
        <v>1.9617</v>
      </c>
      <c r="J573" s="162">
        <v>2.1004999999999998</v>
      </c>
      <c r="K573" s="162">
        <v>2.2128000000000001</v>
      </c>
      <c r="L573" s="162">
        <v>2.3085</v>
      </c>
      <c r="M573" s="162">
        <v>2.3832</v>
      </c>
      <c r="N573" s="162">
        <v>2.4434</v>
      </c>
      <c r="O573" s="162">
        <v>2.4906000000000001</v>
      </c>
      <c r="P573" s="162">
        <v>2.5272000000000001</v>
      </c>
      <c r="Q573" s="162">
        <v>2.5579999999999998</v>
      </c>
      <c r="R573" s="162">
        <v>2.5819999999999999</v>
      </c>
      <c r="S573" s="162">
        <v>2.5893999999999999</v>
      </c>
      <c r="T573" s="162">
        <v>2.4763999999999999</v>
      </c>
      <c r="U573" s="162">
        <v>2.3993000000000002</v>
      </c>
      <c r="V573" s="162">
        <v>2.3592</v>
      </c>
      <c r="W573" s="162">
        <v>2.3313999999999999</v>
      </c>
      <c r="X573" s="162">
        <v>2.3227000000000002</v>
      </c>
      <c r="Y573" s="162">
        <v>2.3281000000000001</v>
      </c>
      <c r="Z573" s="162">
        <v>2.3441000000000001</v>
      </c>
      <c r="AA573" s="162">
        <v>2.3668</v>
      </c>
      <c r="AB573" s="162">
        <v>2.3828999999999998</v>
      </c>
      <c r="AC573" s="162">
        <v>2.3980999999999999</v>
      </c>
      <c r="AD573" s="162">
        <v>2.4024000000000001</v>
      </c>
      <c r="AE573" s="162">
        <v>2.403</v>
      </c>
      <c r="AF573" s="162">
        <v>2.3995000000000002</v>
      </c>
      <c r="AG573" s="162">
        <v>2.3730000000000002</v>
      </c>
      <c r="AH573" s="162">
        <v>2.3464999999999998</v>
      </c>
      <c r="AI573" s="162">
        <v>2.3199999999999998</v>
      </c>
      <c r="AJ573" s="162">
        <v>2.2934999999999999</v>
      </c>
      <c r="AK573" s="162">
        <v>2.2669999999999999</v>
      </c>
      <c r="AL573" s="162">
        <v>2.234</v>
      </c>
      <c r="AM573" s="162">
        <v>2.1999</v>
      </c>
      <c r="AN573" s="162">
        <v>2.1667000000000001</v>
      </c>
      <c r="AO573" s="162">
        <v>2.1337000000000002</v>
      </c>
      <c r="AP573" s="162">
        <v>2.101</v>
      </c>
      <c r="AQ573" s="162">
        <v>2.0691000000000002</v>
      </c>
      <c r="AR573" s="162">
        <v>2.0387</v>
      </c>
      <c r="AS573" s="162">
        <v>2.0087999999999999</v>
      </c>
      <c r="AT573" s="162">
        <v>1.9807999999999999</v>
      </c>
      <c r="AU573" s="162">
        <v>1.9544999999999999</v>
      </c>
    </row>
    <row r="574" spans="1:47" ht="12.75" customHeight="1">
      <c r="A574" s="459">
        <v>44911</v>
      </c>
      <c r="B574" s="139">
        <v>50</v>
      </c>
      <c r="C574" s="162">
        <v>1.4008</v>
      </c>
      <c r="D574" s="162">
        <v>1.4008</v>
      </c>
      <c r="E574" s="162">
        <v>1.4039999999999999</v>
      </c>
      <c r="F574" s="162">
        <v>1.5183</v>
      </c>
      <c r="G574" s="162">
        <v>1.7528999999999999</v>
      </c>
      <c r="H574" s="162">
        <v>1.8658999999999999</v>
      </c>
      <c r="I574" s="162">
        <v>2.0165999999999999</v>
      </c>
      <c r="J574" s="162">
        <v>2.1564000000000001</v>
      </c>
      <c r="K574" s="162">
        <v>2.2522000000000002</v>
      </c>
      <c r="L574" s="162">
        <v>2.3452999999999999</v>
      </c>
      <c r="M574" s="162">
        <v>2.4163000000000001</v>
      </c>
      <c r="N574" s="162">
        <v>2.4714</v>
      </c>
      <c r="O574" s="162">
        <v>2.5143</v>
      </c>
      <c r="P574" s="162">
        <v>2.5476999999999999</v>
      </c>
      <c r="Q574" s="162">
        <v>2.5756000000000001</v>
      </c>
      <c r="R574" s="162">
        <v>2.5994999999999999</v>
      </c>
      <c r="S574" s="162">
        <v>2.5874999999999999</v>
      </c>
      <c r="T574" s="162">
        <v>2.4622999999999999</v>
      </c>
      <c r="U574" s="162">
        <v>2.3769</v>
      </c>
      <c r="V574" s="162">
        <v>2.3304999999999998</v>
      </c>
      <c r="W574" s="162">
        <v>2.2976000000000001</v>
      </c>
      <c r="X574" s="162">
        <v>2.2787999999999999</v>
      </c>
      <c r="Y574" s="162">
        <v>2.2782</v>
      </c>
      <c r="Z574" s="162">
        <v>2.2879999999999998</v>
      </c>
      <c r="AA574" s="162">
        <v>2.3052999999999999</v>
      </c>
      <c r="AB574" s="162">
        <v>2.3193000000000001</v>
      </c>
      <c r="AC574" s="162">
        <v>2.3275999999999999</v>
      </c>
      <c r="AD574" s="162">
        <v>2.3317000000000001</v>
      </c>
      <c r="AE574" s="162">
        <v>2.3298999999999999</v>
      </c>
      <c r="AF574" s="162">
        <v>2.3193000000000001</v>
      </c>
      <c r="AG574" s="162">
        <v>2.2902999999999998</v>
      </c>
      <c r="AH574" s="162">
        <v>2.2612999999999999</v>
      </c>
      <c r="AI574" s="162">
        <v>2.2323</v>
      </c>
      <c r="AJ574" s="162">
        <v>2.2031999999999998</v>
      </c>
      <c r="AK574" s="162">
        <v>2.1741999999999999</v>
      </c>
      <c r="AL574" s="162">
        <v>2.1373000000000002</v>
      </c>
      <c r="AM574" s="162">
        <v>2.1004</v>
      </c>
      <c r="AN574" s="162">
        <v>2.0642999999999998</v>
      </c>
      <c r="AO574" s="162">
        <v>2.0287999999999999</v>
      </c>
      <c r="AP574" s="162">
        <v>1.9939</v>
      </c>
      <c r="AQ574" s="162">
        <v>1.9591000000000001</v>
      </c>
      <c r="AR574" s="162">
        <v>1.9268000000000001</v>
      </c>
      <c r="AS574" s="162">
        <v>1.8954</v>
      </c>
      <c r="AT574" s="162">
        <v>1.8653</v>
      </c>
      <c r="AU574" s="162">
        <v>1.8376999999999999</v>
      </c>
    </row>
    <row r="575" spans="1:47" ht="12.75" customHeight="1">
      <c r="A575" s="459">
        <v>44918</v>
      </c>
      <c r="B575" s="139">
        <v>51</v>
      </c>
      <c r="C575" s="162">
        <v>1.4013</v>
      </c>
      <c r="D575" s="162">
        <v>1.4013</v>
      </c>
      <c r="E575" s="162">
        <v>1.6089</v>
      </c>
      <c r="F575" s="162">
        <v>1.7612000000000001</v>
      </c>
      <c r="G575" s="162">
        <v>1.8523000000000001</v>
      </c>
      <c r="H575" s="162">
        <v>1.9520999999999999</v>
      </c>
      <c r="I575" s="162">
        <v>2.0775999999999999</v>
      </c>
      <c r="J575" s="162">
        <v>2.226</v>
      </c>
      <c r="K575" s="162">
        <v>2.3317999999999999</v>
      </c>
      <c r="L575" s="162">
        <v>2.4283000000000001</v>
      </c>
      <c r="M575" s="162">
        <v>2.5051000000000001</v>
      </c>
      <c r="N575" s="162">
        <v>2.5676999999999999</v>
      </c>
      <c r="O575" s="162">
        <v>2.6166</v>
      </c>
      <c r="P575" s="162">
        <v>2.6568999999999998</v>
      </c>
      <c r="Q575" s="162">
        <v>2.6879</v>
      </c>
      <c r="R575" s="162">
        <v>2.7155</v>
      </c>
      <c r="S575" s="162">
        <v>2.7288000000000001</v>
      </c>
      <c r="T575" s="162">
        <v>2.6150000000000002</v>
      </c>
      <c r="U575" s="162">
        <v>2.5316000000000001</v>
      </c>
      <c r="V575" s="162">
        <v>2.4857</v>
      </c>
      <c r="W575" s="162">
        <v>2.4472</v>
      </c>
      <c r="X575" s="162">
        <v>2.4218999999999999</v>
      </c>
      <c r="Y575" s="162">
        <v>2.4112</v>
      </c>
      <c r="Z575" s="162">
        <v>2.4104000000000001</v>
      </c>
      <c r="AA575" s="162">
        <v>2.4209000000000001</v>
      </c>
      <c r="AB575" s="162">
        <v>2.4253999999999998</v>
      </c>
      <c r="AC575" s="162">
        <v>2.4333999999999998</v>
      </c>
      <c r="AD575" s="162">
        <v>2.4331</v>
      </c>
      <c r="AE575" s="162">
        <v>2.4275000000000002</v>
      </c>
      <c r="AF575" s="162">
        <v>2.4161000000000001</v>
      </c>
      <c r="AG575" s="162">
        <v>2.3860999999999999</v>
      </c>
      <c r="AH575" s="162">
        <v>2.3559999999999999</v>
      </c>
      <c r="AI575" s="162">
        <v>2.3260000000000001</v>
      </c>
      <c r="AJ575" s="162">
        <v>2.2959000000000001</v>
      </c>
      <c r="AK575" s="162">
        <v>2.2658999999999998</v>
      </c>
      <c r="AL575" s="162">
        <v>2.2345000000000002</v>
      </c>
      <c r="AM575" s="162">
        <v>2.198</v>
      </c>
      <c r="AN575" s="162">
        <v>2.1629999999999998</v>
      </c>
      <c r="AO575" s="162">
        <v>2.1280000000000001</v>
      </c>
      <c r="AP575" s="162">
        <v>2.0931999999999999</v>
      </c>
      <c r="AQ575" s="162">
        <v>2.0619000000000001</v>
      </c>
      <c r="AR575" s="162">
        <v>2.0314999999999999</v>
      </c>
      <c r="AS575" s="162">
        <v>2.0019999999999998</v>
      </c>
      <c r="AT575" s="162">
        <v>1.9741</v>
      </c>
      <c r="AU575" s="162">
        <v>1.9446000000000001</v>
      </c>
    </row>
    <row r="576" spans="1:47" ht="12.75" customHeight="1">
      <c r="A576" s="459">
        <v>44925</v>
      </c>
      <c r="B576" s="139">
        <v>52</v>
      </c>
      <c r="C576" s="162">
        <v>1.653</v>
      </c>
      <c r="D576" s="162">
        <v>1.653</v>
      </c>
      <c r="E576" s="162">
        <v>1.8915</v>
      </c>
      <c r="F576" s="162">
        <v>1.8933</v>
      </c>
      <c r="G576" s="162">
        <v>1.8965000000000001</v>
      </c>
      <c r="H576" s="162">
        <v>2.0255999999999998</v>
      </c>
      <c r="I576" s="162">
        <v>2.1493000000000002</v>
      </c>
      <c r="J576" s="162">
        <v>2.3252999999999999</v>
      </c>
      <c r="K576" s="162">
        <v>2.4561000000000002</v>
      </c>
      <c r="L576" s="162">
        <v>2.5722</v>
      </c>
      <c r="M576" s="162">
        <v>2.6749000000000001</v>
      </c>
      <c r="N576" s="162">
        <v>2.7606000000000002</v>
      </c>
      <c r="O576" s="162">
        <v>2.8317999999999999</v>
      </c>
      <c r="P576" s="162">
        <v>2.8889999999999998</v>
      </c>
      <c r="Q576" s="162">
        <v>2.9356</v>
      </c>
      <c r="R576" s="162">
        <v>2.9752999999999998</v>
      </c>
      <c r="S576" s="162">
        <v>3.0057999999999998</v>
      </c>
      <c r="T576" s="162">
        <v>2.8717999999999999</v>
      </c>
      <c r="U576" s="162">
        <v>2.7867000000000002</v>
      </c>
      <c r="V576" s="162">
        <v>2.7385000000000002</v>
      </c>
      <c r="W576" s="162">
        <v>2.7035999999999998</v>
      </c>
      <c r="X576" s="162">
        <v>2.681</v>
      </c>
      <c r="Y576" s="162">
        <v>2.6736</v>
      </c>
      <c r="Z576" s="162">
        <v>2.6781000000000001</v>
      </c>
      <c r="AA576" s="162">
        <v>2.6899000000000002</v>
      </c>
      <c r="AB576" s="162">
        <v>2.7006000000000001</v>
      </c>
      <c r="AC576" s="162">
        <v>2.7033</v>
      </c>
      <c r="AD576" s="162">
        <v>2.7084000000000001</v>
      </c>
      <c r="AE576" s="162">
        <v>2.7033999999999998</v>
      </c>
      <c r="AF576" s="162">
        <v>2.6831</v>
      </c>
      <c r="AG576" s="162">
        <v>2.6537000000000002</v>
      </c>
      <c r="AH576" s="162">
        <v>2.6242999999999999</v>
      </c>
      <c r="AI576" s="162">
        <v>2.5949</v>
      </c>
      <c r="AJ576" s="162">
        <v>2.5655000000000001</v>
      </c>
      <c r="AK576" s="162">
        <v>2.5362</v>
      </c>
      <c r="AL576" s="162">
        <v>2.5061</v>
      </c>
      <c r="AM576" s="162">
        <v>2.4708000000000001</v>
      </c>
      <c r="AN576" s="162">
        <v>2.4363999999999999</v>
      </c>
      <c r="AO576" s="162">
        <v>2.403</v>
      </c>
      <c r="AP576" s="162">
        <v>2.3660999999999999</v>
      </c>
      <c r="AQ576" s="162">
        <v>2.3374999999999999</v>
      </c>
      <c r="AR576" s="162">
        <v>2.3077999999999999</v>
      </c>
      <c r="AS576" s="162">
        <v>2.2787999999999999</v>
      </c>
      <c r="AT576" s="162">
        <v>2.2509000000000001</v>
      </c>
      <c r="AU576" s="162">
        <v>2.2221000000000002</v>
      </c>
    </row>
    <row r="577" spans="1:47" ht="12.75" customHeight="1">
      <c r="A577" s="459">
        <v>44932</v>
      </c>
      <c r="B577" s="139">
        <v>1</v>
      </c>
      <c r="C577" s="162">
        <v>1.9056999999999999</v>
      </c>
      <c r="D577" s="162">
        <v>1.9056999999999999</v>
      </c>
      <c r="E577" s="162">
        <v>1.8925000000000001</v>
      </c>
      <c r="F577" s="162">
        <v>1.8994</v>
      </c>
      <c r="G577" s="162">
        <v>1.9025000000000001</v>
      </c>
      <c r="H577" s="162">
        <v>2.0743999999999998</v>
      </c>
      <c r="I577" s="162">
        <v>2.2277999999999998</v>
      </c>
      <c r="J577" s="162">
        <v>2.3765000000000001</v>
      </c>
      <c r="K577" s="162">
        <v>2.5236000000000001</v>
      </c>
      <c r="L577" s="162">
        <v>2.6467999999999998</v>
      </c>
      <c r="M577" s="162">
        <v>2.758</v>
      </c>
      <c r="N577" s="162">
        <v>2.8569</v>
      </c>
      <c r="O577" s="162">
        <v>2.9312999999999998</v>
      </c>
      <c r="P577" s="162">
        <v>2.9946000000000002</v>
      </c>
      <c r="Q577" s="162">
        <v>3.0457000000000001</v>
      </c>
      <c r="R577" s="162">
        <v>3.0821999999999998</v>
      </c>
      <c r="S577" s="162">
        <v>3.1271</v>
      </c>
      <c r="T577" s="162">
        <v>3.0114000000000001</v>
      </c>
      <c r="U577" s="162">
        <v>2.9319000000000002</v>
      </c>
      <c r="V577" s="162">
        <v>2.8896000000000002</v>
      </c>
      <c r="W577" s="162">
        <v>2.8607</v>
      </c>
      <c r="X577" s="162">
        <v>2.8374000000000001</v>
      </c>
      <c r="Y577" s="162">
        <v>2.8300999999999998</v>
      </c>
      <c r="Z577" s="162">
        <v>2.8351999999999999</v>
      </c>
      <c r="AA577" s="162">
        <v>2.8462999999999998</v>
      </c>
      <c r="AB577" s="162">
        <v>2.8685</v>
      </c>
      <c r="AC577" s="162">
        <v>2.8611</v>
      </c>
      <c r="AD577" s="162">
        <v>2.8733</v>
      </c>
      <c r="AE577" s="162">
        <v>2.8675999999999999</v>
      </c>
      <c r="AF577" s="162">
        <v>2.8426</v>
      </c>
      <c r="AG577" s="162">
        <v>2.8157000000000001</v>
      </c>
      <c r="AH577" s="162">
        <v>2.7888000000000002</v>
      </c>
      <c r="AI577" s="162">
        <v>2.7618999999999998</v>
      </c>
      <c r="AJ577" s="162">
        <v>2.7349999999999999</v>
      </c>
      <c r="AK577" s="162">
        <v>2.7082000000000002</v>
      </c>
      <c r="AL577" s="162">
        <v>2.6762999999999999</v>
      </c>
      <c r="AM577" s="162">
        <v>2.6406999999999998</v>
      </c>
      <c r="AN577" s="162">
        <v>2.6065999999999998</v>
      </c>
      <c r="AO577" s="162">
        <v>2.5733000000000001</v>
      </c>
      <c r="AP577" s="162">
        <v>2.5371999999999999</v>
      </c>
      <c r="AQ577" s="162">
        <v>2.5072000000000001</v>
      </c>
      <c r="AR577" s="162">
        <v>2.4771000000000001</v>
      </c>
      <c r="AS577" s="162">
        <v>2.448</v>
      </c>
      <c r="AT577" s="162">
        <v>2.4199000000000002</v>
      </c>
      <c r="AU577" s="162">
        <v>2.3915000000000002</v>
      </c>
    </row>
    <row r="578" spans="1:47" ht="12.75" customHeight="1">
      <c r="A578" s="459">
        <v>44939</v>
      </c>
      <c r="B578" s="139">
        <v>2</v>
      </c>
      <c r="C578" s="162">
        <v>1.9035</v>
      </c>
      <c r="D578" s="162">
        <v>1.9035</v>
      </c>
      <c r="E578" s="162">
        <v>1.9031</v>
      </c>
      <c r="F578" s="162">
        <v>1.9023000000000001</v>
      </c>
      <c r="G578" s="162">
        <v>1.9125000000000001</v>
      </c>
      <c r="H578" s="162">
        <v>2.1254</v>
      </c>
      <c r="I578" s="162">
        <v>2.2949000000000002</v>
      </c>
      <c r="J578" s="162">
        <v>2.4285000000000001</v>
      </c>
      <c r="K578" s="162">
        <v>2.5733000000000001</v>
      </c>
      <c r="L578" s="162">
        <v>2.6863000000000001</v>
      </c>
      <c r="M578" s="162">
        <v>2.7879999999999998</v>
      </c>
      <c r="N578" s="162">
        <v>2.8723000000000001</v>
      </c>
      <c r="O578" s="162">
        <v>2.9350999999999998</v>
      </c>
      <c r="P578" s="162">
        <v>2.9891000000000001</v>
      </c>
      <c r="Q578" s="162">
        <v>3.0287000000000002</v>
      </c>
      <c r="R578" s="162">
        <v>3.0638999999999998</v>
      </c>
      <c r="S578" s="162">
        <v>3.0432999999999999</v>
      </c>
      <c r="T578" s="162">
        <v>2.8915000000000002</v>
      </c>
      <c r="U578" s="162">
        <v>2.7936999999999999</v>
      </c>
      <c r="V578" s="162">
        <v>2.7355</v>
      </c>
      <c r="W578" s="162">
        <v>2.6966999999999999</v>
      </c>
      <c r="X578" s="162">
        <v>2.6747999999999998</v>
      </c>
      <c r="Y578" s="162">
        <v>2.6722000000000001</v>
      </c>
      <c r="Z578" s="162">
        <v>2.6829999999999998</v>
      </c>
      <c r="AA578" s="162">
        <v>2.7000999999999999</v>
      </c>
      <c r="AB578" s="162">
        <v>2.718</v>
      </c>
      <c r="AC578" s="162">
        <v>2.7298</v>
      </c>
      <c r="AD578" s="162">
        <v>2.7355999999999998</v>
      </c>
      <c r="AE578" s="162">
        <v>2.734</v>
      </c>
      <c r="AF578" s="162">
        <v>2.7240000000000002</v>
      </c>
      <c r="AG578" s="162">
        <v>2.6962000000000002</v>
      </c>
      <c r="AH578" s="162">
        <v>2.6684000000000001</v>
      </c>
      <c r="AI578" s="162">
        <v>2.6406000000000001</v>
      </c>
      <c r="AJ578" s="162">
        <v>2.6128</v>
      </c>
      <c r="AK578" s="162">
        <v>2.5851000000000002</v>
      </c>
      <c r="AL578" s="162">
        <v>2.5495999999999999</v>
      </c>
      <c r="AM578" s="162">
        <v>2.5135999999999998</v>
      </c>
      <c r="AN578" s="162">
        <v>2.4794999999999998</v>
      </c>
      <c r="AO578" s="162">
        <v>2.4453999999999998</v>
      </c>
      <c r="AP578" s="162">
        <v>2.4135</v>
      </c>
      <c r="AQ578" s="162">
        <v>2.3837000000000002</v>
      </c>
      <c r="AR578" s="162">
        <v>2.35</v>
      </c>
      <c r="AS578" s="162">
        <v>2.3209</v>
      </c>
      <c r="AT578" s="162">
        <v>2.2928999999999999</v>
      </c>
      <c r="AU578" s="162">
        <v>2.2673999999999999</v>
      </c>
    </row>
    <row r="579" spans="1:47" ht="12.75" customHeight="1">
      <c r="A579" s="459">
        <v>44946</v>
      </c>
      <c r="B579" s="139">
        <v>3</v>
      </c>
      <c r="C579" s="162">
        <v>1.9</v>
      </c>
      <c r="D579" s="162">
        <v>1.9</v>
      </c>
      <c r="E579" s="162">
        <v>1.9023000000000001</v>
      </c>
      <c r="F579" s="162">
        <v>1.9029</v>
      </c>
      <c r="G579" s="162">
        <v>2.0017</v>
      </c>
      <c r="H579" s="162">
        <v>2.1846000000000001</v>
      </c>
      <c r="I579" s="162">
        <v>2.3647</v>
      </c>
      <c r="J579" s="162">
        <v>2.4916999999999998</v>
      </c>
      <c r="K579" s="162">
        <v>2.6246999999999998</v>
      </c>
      <c r="L579" s="162">
        <v>2.7286000000000001</v>
      </c>
      <c r="M579" s="162">
        <v>2.8197999999999999</v>
      </c>
      <c r="N579" s="162">
        <v>2.8934000000000002</v>
      </c>
      <c r="O579" s="162">
        <v>2.9462999999999999</v>
      </c>
      <c r="P579" s="162">
        <v>2.9910999999999999</v>
      </c>
      <c r="Q579" s="162">
        <v>3.0242</v>
      </c>
      <c r="R579" s="162">
        <v>3.0495000000000001</v>
      </c>
      <c r="S579" s="162">
        <v>2.9552999999999998</v>
      </c>
      <c r="T579" s="162">
        <v>2.7566999999999999</v>
      </c>
      <c r="U579" s="162">
        <v>2.6406999999999998</v>
      </c>
      <c r="V579" s="162">
        <v>2.5752000000000002</v>
      </c>
      <c r="W579" s="162">
        <v>2.5345</v>
      </c>
      <c r="X579" s="162">
        <v>2.5137999999999998</v>
      </c>
      <c r="Y579" s="162">
        <v>2.5099</v>
      </c>
      <c r="Z579" s="162">
        <v>2.5194999999999999</v>
      </c>
      <c r="AA579" s="162">
        <v>2.5337000000000001</v>
      </c>
      <c r="AB579" s="162">
        <v>2.5535000000000001</v>
      </c>
      <c r="AC579" s="162">
        <v>2.5646</v>
      </c>
      <c r="AD579" s="162">
        <v>2.5771000000000002</v>
      </c>
      <c r="AE579" s="162">
        <v>2.5800999999999998</v>
      </c>
      <c r="AF579" s="162">
        <v>2.5718000000000001</v>
      </c>
      <c r="AG579" s="162">
        <v>2.5499999999999998</v>
      </c>
      <c r="AH579" s="162">
        <v>2.5282</v>
      </c>
      <c r="AI579" s="162">
        <v>2.5064000000000002</v>
      </c>
      <c r="AJ579" s="162">
        <v>2.4845999999999999</v>
      </c>
      <c r="AK579" s="162">
        <v>2.4626999999999999</v>
      </c>
      <c r="AL579" s="162">
        <v>2.4352999999999998</v>
      </c>
      <c r="AM579" s="162">
        <v>2.4049999999999998</v>
      </c>
      <c r="AN579" s="162">
        <v>2.3746999999999998</v>
      </c>
      <c r="AO579" s="162">
        <v>2.3451</v>
      </c>
      <c r="AP579" s="162">
        <v>2.3125</v>
      </c>
      <c r="AQ579" s="162">
        <v>2.2864</v>
      </c>
      <c r="AR579" s="162">
        <v>2.2591999999999999</v>
      </c>
      <c r="AS579" s="162">
        <v>2.2324000000000002</v>
      </c>
      <c r="AT579" s="162">
        <v>2.2059000000000002</v>
      </c>
      <c r="AU579" s="162">
        <v>2.1787999999999998</v>
      </c>
    </row>
    <row r="580" spans="1:47" ht="12.75" customHeight="1">
      <c r="A580" s="459">
        <v>44953</v>
      </c>
      <c r="B580" s="139">
        <v>4</v>
      </c>
      <c r="C580" s="162">
        <v>1.9019999999999999</v>
      </c>
      <c r="D580" s="162">
        <v>1.9019999999999999</v>
      </c>
      <c r="E580" s="162">
        <v>1.9027000000000001</v>
      </c>
      <c r="F580" s="162">
        <v>1.9031</v>
      </c>
      <c r="G580" s="162">
        <v>2.1120999999999999</v>
      </c>
      <c r="H580" s="162">
        <v>2.2511000000000001</v>
      </c>
      <c r="I580" s="162">
        <v>2.4373999999999998</v>
      </c>
      <c r="J580" s="162">
        <v>2.5596000000000001</v>
      </c>
      <c r="K580" s="162">
        <v>2.6739000000000002</v>
      </c>
      <c r="L580" s="162">
        <v>2.77</v>
      </c>
      <c r="M580" s="162">
        <v>2.8504999999999998</v>
      </c>
      <c r="N580" s="162">
        <v>2.9127000000000001</v>
      </c>
      <c r="O580" s="162">
        <v>2.9579</v>
      </c>
      <c r="P580" s="162">
        <v>2.9942000000000002</v>
      </c>
      <c r="Q580" s="162">
        <v>3.0219999999999998</v>
      </c>
      <c r="R580" s="162">
        <v>3.0390999999999999</v>
      </c>
      <c r="S580" s="162">
        <v>2.8923999999999999</v>
      </c>
      <c r="T580" s="162">
        <v>2.6703000000000001</v>
      </c>
      <c r="U580" s="162">
        <v>2.5360999999999998</v>
      </c>
      <c r="V580" s="162">
        <v>2.4590000000000001</v>
      </c>
      <c r="W580" s="162">
        <v>2.4127000000000001</v>
      </c>
      <c r="X580" s="162">
        <v>2.3892000000000002</v>
      </c>
      <c r="Y580" s="162">
        <v>2.3833000000000002</v>
      </c>
      <c r="Z580" s="162">
        <v>2.3919000000000001</v>
      </c>
      <c r="AA580" s="162">
        <v>2.4064999999999999</v>
      </c>
      <c r="AB580" s="162">
        <v>2.4283999999999999</v>
      </c>
      <c r="AC580" s="162">
        <v>2.4380000000000002</v>
      </c>
      <c r="AD580" s="162">
        <v>2.4533</v>
      </c>
      <c r="AE580" s="162">
        <v>2.4573999999999998</v>
      </c>
      <c r="AF580" s="162">
        <v>2.4489000000000001</v>
      </c>
      <c r="AG580" s="162">
        <v>2.4306000000000001</v>
      </c>
      <c r="AH580" s="162">
        <v>2.4123999999999999</v>
      </c>
      <c r="AI580" s="162">
        <v>2.3940999999999999</v>
      </c>
      <c r="AJ580" s="162">
        <v>2.3759000000000001</v>
      </c>
      <c r="AK580" s="162">
        <v>2.3576000000000001</v>
      </c>
      <c r="AL580" s="162">
        <v>2.3317000000000001</v>
      </c>
      <c r="AM580" s="162">
        <v>2.3046000000000002</v>
      </c>
      <c r="AN580" s="162">
        <v>2.2772000000000001</v>
      </c>
      <c r="AO580" s="162">
        <v>2.2501000000000002</v>
      </c>
      <c r="AP580" s="162">
        <v>2.2227999999999999</v>
      </c>
      <c r="AQ580" s="162">
        <v>2.1968000000000001</v>
      </c>
      <c r="AR580" s="162">
        <v>2.1707000000000001</v>
      </c>
      <c r="AS580" s="162">
        <v>2.1461999999999999</v>
      </c>
      <c r="AT580" s="162">
        <v>2.1225000000000001</v>
      </c>
      <c r="AU580" s="162">
        <v>2.1004</v>
      </c>
    </row>
    <row r="581" spans="1:47" ht="12.75" customHeight="1">
      <c r="A581" s="459">
        <v>44960</v>
      </c>
      <c r="B581" s="139">
        <v>5</v>
      </c>
      <c r="C581" s="162">
        <v>1.9033</v>
      </c>
      <c r="D581" s="162">
        <v>1.9033</v>
      </c>
      <c r="E581" s="162">
        <v>1.9036</v>
      </c>
      <c r="F581" s="162">
        <v>1.9745999999999999</v>
      </c>
      <c r="G581" s="162">
        <v>2.2103000000000002</v>
      </c>
      <c r="H581" s="162">
        <v>2.3437000000000001</v>
      </c>
      <c r="I581" s="162">
        <v>2.5095999999999998</v>
      </c>
      <c r="J581" s="162">
        <v>2.6362000000000001</v>
      </c>
      <c r="K581" s="162">
        <v>2.7437999999999998</v>
      </c>
      <c r="L581" s="162">
        <v>2.8361000000000001</v>
      </c>
      <c r="M581" s="162">
        <v>2.9134000000000002</v>
      </c>
      <c r="N581" s="162">
        <v>2.9708000000000001</v>
      </c>
      <c r="O581" s="162">
        <v>3.0165000000000002</v>
      </c>
      <c r="P581" s="162">
        <v>3.0524</v>
      </c>
      <c r="Q581" s="162">
        <v>3.0790999999999999</v>
      </c>
      <c r="R581" s="162">
        <v>3.0992999999999999</v>
      </c>
      <c r="S581" s="162">
        <v>2.9710000000000001</v>
      </c>
      <c r="T581" s="162">
        <v>2.7713000000000001</v>
      </c>
      <c r="U581" s="162">
        <v>2.6419999999999999</v>
      </c>
      <c r="V581" s="162">
        <v>2.5712000000000002</v>
      </c>
      <c r="W581" s="162">
        <v>2.5268999999999999</v>
      </c>
      <c r="X581" s="162">
        <v>2.5017999999999998</v>
      </c>
      <c r="Y581" s="162">
        <v>2.4954000000000001</v>
      </c>
      <c r="Z581" s="162">
        <v>2.5005000000000002</v>
      </c>
      <c r="AA581" s="162">
        <v>2.5163000000000002</v>
      </c>
      <c r="AB581" s="162">
        <v>2.5323000000000002</v>
      </c>
      <c r="AC581" s="162">
        <v>2.5472000000000001</v>
      </c>
      <c r="AD581" s="162">
        <v>2.5577999999999999</v>
      </c>
      <c r="AE581" s="162">
        <v>2.5611999999999999</v>
      </c>
      <c r="AF581" s="162">
        <v>2.5581</v>
      </c>
      <c r="AG581" s="162">
        <v>2.5377000000000001</v>
      </c>
      <c r="AH581" s="162">
        <v>2.5171999999999999</v>
      </c>
      <c r="AI581" s="162">
        <v>2.4967999999999999</v>
      </c>
      <c r="AJ581" s="162">
        <v>2.4763999999999999</v>
      </c>
      <c r="AK581" s="162">
        <v>2.456</v>
      </c>
      <c r="AL581" s="162">
        <v>2.4329999999999998</v>
      </c>
      <c r="AM581" s="162">
        <v>2.4049999999999998</v>
      </c>
      <c r="AN581" s="162">
        <v>2.3782999999999999</v>
      </c>
      <c r="AO581" s="162">
        <v>2.3517999999999999</v>
      </c>
      <c r="AP581" s="162">
        <v>2.3218999999999999</v>
      </c>
      <c r="AQ581" s="162">
        <v>2.3012000000000001</v>
      </c>
      <c r="AR581" s="162">
        <v>2.2757000000000001</v>
      </c>
      <c r="AS581" s="162">
        <v>2.2511999999999999</v>
      </c>
      <c r="AT581" s="162">
        <v>2.2275999999999998</v>
      </c>
      <c r="AU581" s="162">
        <v>2.2014999999999998</v>
      </c>
    </row>
    <row r="582" spans="1:47" ht="12.75" customHeight="1">
      <c r="A582" s="459">
        <v>44967</v>
      </c>
      <c r="B582" s="139">
        <v>6</v>
      </c>
      <c r="C582" s="162">
        <v>1.9003000000000001</v>
      </c>
      <c r="D582" s="162">
        <v>1.9003000000000001</v>
      </c>
      <c r="E582" s="162">
        <v>2.1031</v>
      </c>
      <c r="F582" s="162">
        <v>2.2538999999999998</v>
      </c>
      <c r="G582" s="162">
        <v>2.3294999999999999</v>
      </c>
      <c r="H582" s="162">
        <v>2.4777999999999998</v>
      </c>
      <c r="I582" s="162">
        <v>2.6053000000000002</v>
      </c>
      <c r="J582" s="162">
        <v>2.7343999999999999</v>
      </c>
      <c r="K582" s="162">
        <v>2.8363999999999998</v>
      </c>
      <c r="L582" s="162">
        <v>2.9237000000000002</v>
      </c>
      <c r="M582" s="162">
        <v>2.9977</v>
      </c>
      <c r="N582" s="162">
        <v>3.0508999999999999</v>
      </c>
      <c r="O582" s="162">
        <v>3.0924</v>
      </c>
      <c r="P582" s="162">
        <v>3.1238000000000001</v>
      </c>
      <c r="Q582" s="162">
        <v>3.1486000000000001</v>
      </c>
      <c r="R582" s="162">
        <v>3.1669999999999998</v>
      </c>
      <c r="S582" s="162">
        <v>3.0167000000000002</v>
      </c>
      <c r="T582" s="162">
        <v>2.8071000000000002</v>
      </c>
      <c r="U582" s="162">
        <v>2.6798999999999999</v>
      </c>
      <c r="V582" s="162">
        <v>2.6080999999999999</v>
      </c>
      <c r="W582" s="162">
        <v>2.5602</v>
      </c>
      <c r="X582" s="162">
        <v>2.5348000000000002</v>
      </c>
      <c r="Y582" s="162">
        <v>2.5249999999999999</v>
      </c>
      <c r="Z582" s="162">
        <v>2.5305</v>
      </c>
      <c r="AA582" s="162">
        <v>2.5447000000000002</v>
      </c>
      <c r="AB582" s="162">
        <v>2.5602</v>
      </c>
      <c r="AC582" s="162">
        <v>2.5712000000000002</v>
      </c>
      <c r="AD582" s="162">
        <v>2.5819999999999999</v>
      </c>
      <c r="AE582" s="162">
        <v>2.5848</v>
      </c>
      <c r="AF582" s="162">
        <v>2.5817999999999999</v>
      </c>
      <c r="AG582" s="162">
        <v>2.5623999999999998</v>
      </c>
      <c r="AH582" s="162">
        <v>2.5430999999999999</v>
      </c>
      <c r="AI582" s="162">
        <v>2.5236999999999998</v>
      </c>
      <c r="AJ582" s="162">
        <v>2.5044</v>
      </c>
      <c r="AK582" s="162">
        <v>2.4849999999999999</v>
      </c>
      <c r="AL582" s="162">
        <v>2.456</v>
      </c>
      <c r="AM582" s="162">
        <v>2.4291999999999998</v>
      </c>
      <c r="AN582" s="162">
        <v>2.403</v>
      </c>
      <c r="AO582" s="162">
        <v>2.3765999999999998</v>
      </c>
      <c r="AP582" s="162">
        <v>2.3536000000000001</v>
      </c>
      <c r="AQ582" s="162">
        <v>2.3250999999999999</v>
      </c>
      <c r="AR582" s="162">
        <v>2.2995000000000001</v>
      </c>
      <c r="AS582" s="162">
        <v>2.2757000000000001</v>
      </c>
      <c r="AT582" s="162">
        <v>2.2528999999999999</v>
      </c>
      <c r="AU582" s="162">
        <v>2.2332000000000001</v>
      </c>
    </row>
    <row r="583" spans="1:47" ht="12.75" customHeight="1">
      <c r="A583" s="459">
        <v>44974</v>
      </c>
      <c r="B583" s="139">
        <v>7</v>
      </c>
      <c r="C583" s="162">
        <v>2.1513</v>
      </c>
      <c r="D583" s="162">
        <v>2.1513</v>
      </c>
      <c r="E583" s="162">
        <v>2.4009999999999998</v>
      </c>
      <c r="F583" s="162">
        <v>2.4011</v>
      </c>
      <c r="G583" s="162">
        <v>2.4026000000000001</v>
      </c>
      <c r="H583" s="162">
        <v>2.573</v>
      </c>
      <c r="I583" s="162">
        <v>2.6850999999999998</v>
      </c>
      <c r="J583" s="162">
        <v>2.8180999999999998</v>
      </c>
      <c r="K583" s="162">
        <v>2.9236</v>
      </c>
      <c r="L583" s="162">
        <v>3.01</v>
      </c>
      <c r="M583" s="162">
        <v>3.0823</v>
      </c>
      <c r="N583" s="162">
        <v>3.1347999999999998</v>
      </c>
      <c r="O583" s="162">
        <v>3.1764000000000001</v>
      </c>
      <c r="P583" s="162">
        <v>3.2075</v>
      </c>
      <c r="Q583" s="162">
        <v>3.2307999999999999</v>
      </c>
      <c r="R583" s="162">
        <v>3.2498999999999998</v>
      </c>
      <c r="S583" s="162">
        <v>3.0945999999999998</v>
      </c>
      <c r="T583" s="162">
        <v>2.8923000000000001</v>
      </c>
      <c r="U583" s="162">
        <v>2.7709999999999999</v>
      </c>
      <c r="V583" s="162">
        <v>2.7042999999999999</v>
      </c>
      <c r="W583" s="162">
        <v>2.6621999999999999</v>
      </c>
      <c r="X583" s="162">
        <v>2.6383000000000001</v>
      </c>
      <c r="Y583" s="162">
        <v>2.6328</v>
      </c>
      <c r="Z583" s="162">
        <v>2.6383999999999999</v>
      </c>
      <c r="AA583" s="162">
        <v>2.6495000000000002</v>
      </c>
      <c r="AB583" s="162">
        <v>2.6674000000000002</v>
      </c>
      <c r="AC583" s="162">
        <v>2.6755</v>
      </c>
      <c r="AD583" s="162">
        <v>2.6823999999999999</v>
      </c>
      <c r="AE583" s="162">
        <v>2.6854</v>
      </c>
      <c r="AF583" s="162">
        <v>2.68</v>
      </c>
      <c r="AG583" s="162">
        <v>2.6600999999999999</v>
      </c>
      <c r="AH583" s="162">
        <v>2.6402000000000001</v>
      </c>
      <c r="AI583" s="162">
        <v>2.6204000000000001</v>
      </c>
      <c r="AJ583" s="162">
        <v>2.6004999999999998</v>
      </c>
      <c r="AK583" s="162">
        <v>2.5806</v>
      </c>
      <c r="AL583" s="162">
        <v>2.5453999999999999</v>
      </c>
      <c r="AM583" s="162">
        <v>2.5213000000000001</v>
      </c>
      <c r="AN583" s="162">
        <v>2.4906000000000001</v>
      </c>
      <c r="AO583" s="162">
        <v>2.4620000000000002</v>
      </c>
      <c r="AP583" s="162">
        <v>2.4430000000000001</v>
      </c>
      <c r="AQ583" s="162">
        <v>2.4174000000000002</v>
      </c>
      <c r="AR583" s="162">
        <v>2.3921999999999999</v>
      </c>
      <c r="AS583" s="162">
        <v>2.3675999999999999</v>
      </c>
      <c r="AT583" s="162">
        <v>2.3443000000000001</v>
      </c>
      <c r="AU583" s="162">
        <v>2.3199999999999998</v>
      </c>
    </row>
    <row r="584" spans="1:47" ht="12.75" customHeight="1">
      <c r="A584" s="459">
        <v>44981</v>
      </c>
      <c r="B584" s="139">
        <v>8</v>
      </c>
      <c r="C584" s="162">
        <v>2.4013</v>
      </c>
      <c r="D584" s="162">
        <v>2.4013</v>
      </c>
      <c r="E584" s="162">
        <v>2.4005000000000001</v>
      </c>
      <c r="F584" s="162">
        <v>2.4009</v>
      </c>
      <c r="G584" s="162">
        <v>2.4020999999999999</v>
      </c>
      <c r="H584" s="162">
        <v>2.629</v>
      </c>
      <c r="I584" s="162">
        <v>2.7517999999999998</v>
      </c>
      <c r="J584" s="162">
        <v>2.8803999999999998</v>
      </c>
      <c r="K584" s="162">
        <v>2.9962</v>
      </c>
      <c r="L584" s="162">
        <v>3.0893999999999999</v>
      </c>
      <c r="M584" s="162">
        <v>3.1663999999999999</v>
      </c>
      <c r="N584" s="162">
        <v>3.2256999999999998</v>
      </c>
      <c r="O584" s="162">
        <v>3.2738999999999998</v>
      </c>
      <c r="P584" s="162">
        <v>3.3130999999999999</v>
      </c>
      <c r="Q584" s="162">
        <v>3.3437000000000001</v>
      </c>
      <c r="R584" s="162">
        <v>3.3668</v>
      </c>
      <c r="S584" s="162">
        <v>3.2686999999999999</v>
      </c>
      <c r="T584" s="162">
        <v>3.0773999999999999</v>
      </c>
      <c r="U584" s="162">
        <v>2.9405999999999999</v>
      </c>
      <c r="V584" s="162">
        <v>2.8542999999999998</v>
      </c>
      <c r="W584" s="162">
        <v>2.8022999999999998</v>
      </c>
      <c r="X584" s="162">
        <v>2.7711000000000001</v>
      </c>
      <c r="Y584" s="162">
        <v>2.7589999999999999</v>
      </c>
      <c r="Z584" s="162">
        <v>2.7606000000000002</v>
      </c>
      <c r="AA584" s="162">
        <v>2.7690000000000001</v>
      </c>
      <c r="AB584" s="162">
        <v>2.7803</v>
      </c>
      <c r="AC584" s="162">
        <v>2.7915999999999999</v>
      </c>
      <c r="AD584" s="162">
        <v>2.8031999999999999</v>
      </c>
      <c r="AE584" s="162">
        <v>2.8056000000000001</v>
      </c>
      <c r="AF584" s="162">
        <v>2.7936000000000001</v>
      </c>
      <c r="AG584" s="162">
        <v>2.7732000000000001</v>
      </c>
      <c r="AH584" s="162">
        <v>2.7528000000000001</v>
      </c>
      <c r="AI584" s="162">
        <v>2.7324000000000002</v>
      </c>
      <c r="AJ584" s="162">
        <v>2.7120000000000002</v>
      </c>
      <c r="AK584" s="162">
        <v>2.6915</v>
      </c>
      <c r="AL584" s="162">
        <v>2.6665999999999999</v>
      </c>
      <c r="AM584" s="162">
        <v>2.6387999999999998</v>
      </c>
      <c r="AN584" s="162">
        <v>2.6112000000000002</v>
      </c>
      <c r="AO584" s="162">
        <v>2.5832000000000002</v>
      </c>
      <c r="AP584" s="162">
        <v>2.5539999999999998</v>
      </c>
      <c r="AQ584" s="162">
        <v>2.528</v>
      </c>
      <c r="AR584" s="162">
        <v>2.5022000000000002</v>
      </c>
      <c r="AS584" s="162">
        <v>2.4780000000000002</v>
      </c>
      <c r="AT584" s="162">
        <v>2.4537</v>
      </c>
      <c r="AU584" s="162">
        <v>2.4298000000000002</v>
      </c>
    </row>
    <row r="585" spans="1:47" ht="12.75" customHeight="1">
      <c r="A585" s="459">
        <v>44988</v>
      </c>
      <c r="B585" s="139">
        <v>9</v>
      </c>
      <c r="C585" s="162">
        <v>2.399</v>
      </c>
      <c r="D585" s="162">
        <v>2.399</v>
      </c>
      <c r="E585" s="162">
        <v>2.3990999999999998</v>
      </c>
      <c r="F585" s="162">
        <v>2.4011999999999998</v>
      </c>
      <c r="G585" s="162">
        <v>2.4582000000000002</v>
      </c>
      <c r="H585" s="162">
        <v>2.6880000000000002</v>
      </c>
      <c r="I585" s="162">
        <v>2.8239000000000001</v>
      </c>
      <c r="J585" s="162">
        <v>2.9477000000000002</v>
      </c>
      <c r="K585" s="162">
        <v>3.0615999999999999</v>
      </c>
      <c r="L585" s="162">
        <v>3.1556999999999999</v>
      </c>
      <c r="M585" s="162">
        <v>3.2307999999999999</v>
      </c>
      <c r="N585" s="162">
        <v>3.2902999999999998</v>
      </c>
      <c r="O585" s="162">
        <v>3.3389000000000002</v>
      </c>
      <c r="P585" s="162">
        <v>3.3801999999999999</v>
      </c>
      <c r="Q585" s="162">
        <v>3.4121000000000001</v>
      </c>
      <c r="R585" s="162">
        <v>3.4384000000000001</v>
      </c>
      <c r="S585" s="162">
        <v>3.3496999999999999</v>
      </c>
      <c r="T585" s="162">
        <v>3.1646999999999998</v>
      </c>
      <c r="U585" s="162">
        <v>3.0314999999999999</v>
      </c>
      <c r="V585" s="162">
        <v>2.9487000000000001</v>
      </c>
      <c r="W585" s="162">
        <v>2.8929</v>
      </c>
      <c r="X585" s="162">
        <v>2.8534000000000002</v>
      </c>
      <c r="Y585" s="162">
        <v>2.8382999999999998</v>
      </c>
      <c r="Z585" s="162">
        <v>2.8363</v>
      </c>
      <c r="AA585" s="162">
        <v>2.8433999999999999</v>
      </c>
      <c r="AB585" s="162">
        <v>2.8525999999999998</v>
      </c>
      <c r="AC585" s="162">
        <v>2.8614999999999999</v>
      </c>
      <c r="AD585" s="162">
        <v>2.8683999999999998</v>
      </c>
      <c r="AE585" s="162">
        <v>2.8702999999999999</v>
      </c>
      <c r="AF585" s="162">
        <v>2.8645</v>
      </c>
      <c r="AG585" s="162">
        <v>2.8435000000000001</v>
      </c>
      <c r="AH585" s="162">
        <v>2.8224999999999998</v>
      </c>
      <c r="AI585" s="162">
        <v>2.8014000000000001</v>
      </c>
      <c r="AJ585" s="162">
        <v>2.7804000000000002</v>
      </c>
      <c r="AK585" s="162">
        <v>2.7593999999999999</v>
      </c>
      <c r="AL585" s="162">
        <v>2.7321</v>
      </c>
      <c r="AM585" s="162">
        <v>2.7048000000000001</v>
      </c>
      <c r="AN585" s="162">
        <v>2.6764000000000001</v>
      </c>
      <c r="AO585" s="162">
        <v>2.6486000000000001</v>
      </c>
      <c r="AP585" s="162">
        <v>2.6208</v>
      </c>
      <c r="AQ585" s="162">
        <v>2.5956000000000001</v>
      </c>
      <c r="AR585" s="162">
        <v>2.5689000000000002</v>
      </c>
      <c r="AS585" s="162">
        <v>2.5440999999999998</v>
      </c>
      <c r="AT585" s="162">
        <v>2.5209999999999999</v>
      </c>
      <c r="AU585" s="162">
        <v>2.4963000000000002</v>
      </c>
    </row>
    <row r="586" spans="1:47" ht="12.75" customHeight="1">
      <c r="A586" s="459">
        <v>44995</v>
      </c>
      <c r="B586" s="139">
        <v>10</v>
      </c>
      <c r="C586" s="162">
        <v>2.3957999999999999</v>
      </c>
      <c r="D586" s="162">
        <v>2.3957999999999999</v>
      </c>
      <c r="E586" s="162">
        <v>2.3969</v>
      </c>
      <c r="F586" s="162">
        <v>2.3976000000000002</v>
      </c>
      <c r="G586" s="162">
        <v>2.6124999999999998</v>
      </c>
      <c r="H586" s="162">
        <v>2.7477</v>
      </c>
      <c r="I586" s="162">
        <v>2.9096000000000002</v>
      </c>
      <c r="J586" s="162">
        <v>3.0411000000000001</v>
      </c>
      <c r="K586" s="162">
        <v>3.1577999999999999</v>
      </c>
      <c r="L586" s="162">
        <v>3.2641</v>
      </c>
      <c r="M586" s="162">
        <v>3.3437999999999999</v>
      </c>
      <c r="N586" s="162">
        <v>3.4114</v>
      </c>
      <c r="O586" s="162">
        <v>3.4695999999999998</v>
      </c>
      <c r="P586" s="162">
        <v>3.5179</v>
      </c>
      <c r="Q586" s="162">
        <v>3.5592999999999999</v>
      </c>
      <c r="R586" s="162">
        <v>3.5952999999999999</v>
      </c>
      <c r="S586" s="162">
        <v>3.5943999999999998</v>
      </c>
      <c r="T586" s="162">
        <v>3.4094000000000002</v>
      </c>
      <c r="U586" s="162">
        <v>3.2641</v>
      </c>
      <c r="V586" s="162">
        <v>3.1676000000000002</v>
      </c>
      <c r="W586" s="162">
        <v>3.1065999999999998</v>
      </c>
      <c r="X586" s="162">
        <v>3.0655000000000001</v>
      </c>
      <c r="Y586" s="162">
        <v>3.0438999999999998</v>
      </c>
      <c r="Z586" s="162">
        <v>3.0381</v>
      </c>
      <c r="AA586" s="162">
        <v>3.0394000000000001</v>
      </c>
      <c r="AB586" s="162">
        <v>3.0448</v>
      </c>
      <c r="AC586" s="162">
        <v>3.0507</v>
      </c>
      <c r="AD586" s="162">
        <v>3.0535999999999999</v>
      </c>
      <c r="AE586" s="162">
        <v>3.0537999999999998</v>
      </c>
      <c r="AF586" s="162">
        <v>3.0482</v>
      </c>
      <c r="AG586" s="162">
        <v>3.0253999999999999</v>
      </c>
      <c r="AH586" s="162">
        <v>3.0026000000000002</v>
      </c>
      <c r="AI586" s="162">
        <v>2.9798</v>
      </c>
      <c r="AJ586" s="162">
        <v>2.9569000000000001</v>
      </c>
      <c r="AK586" s="162">
        <v>2.9340999999999999</v>
      </c>
      <c r="AL586" s="162">
        <v>2.9047999999999998</v>
      </c>
      <c r="AM586" s="162">
        <v>2.8761999999999999</v>
      </c>
      <c r="AN586" s="162">
        <v>2.8473999999999999</v>
      </c>
      <c r="AO586" s="162">
        <v>2.8188</v>
      </c>
      <c r="AP586" s="162">
        <v>2.7924000000000002</v>
      </c>
      <c r="AQ586" s="162">
        <v>2.7635999999999998</v>
      </c>
      <c r="AR586" s="162">
        <v>2.7366000000000001</v>
      </c>
      <c r="AS586" s="162">
        <v>2.7113</v>
      </c>
      <c r="AT586" s="162">
        <v>2.6867000000000001</v>
      </c>
      <c r="AU586" s="162">
        <v>2.6661000000000001</v>
      </c>
    </row>
    <row r="587" spans="1:47" ht="12.75" customHeight="1">
      <c r="A587" s="459">
        <v>45002</v>
      </c>
      <c r="B587" s="139">
        <v>11</v>
      </c>
      <c r="C587" s="162">
        <v>2.3993000000000002</v>
      </c>
      <c r="D587" s="162">
        <v>2.3993000000000002</v>
      </c>
      <c r="E587" s="162">
        <v>2.3971</v>
      </c>
      <c r="F587" s="162">
        <v>2.4964</v>
      </c>
      <c r="G587" s="162">
        <v>2.7202999999999999</v>
      </c>
      <c r="H587" s="162">
        <v>2.8174999999999999</v>
      </c>
      <c r="I587" s="162">
        <v>2.9870999999999999</v>
      </c>
      <c r="J587" s="162">
        <v>3.1318000000000001</v>
      </c>
      <c r="K587" s="162">
        <v>3.2568999999999999</v>
      </c>
      <c r="L587" s="162">
        <v>3.3692000000000002</v>
      </c>
      <c r="M587" s="162">
        <v>3.4559000000000002</v>
      </c>
      <c r="N587" s="162">
        <v>3.5295999999999998</v>
      </c>
      <c r="O587" s="162">
        <v>3.5911</v>
      </c>
      <c r="P587" s="162">
        <v>3.64</v>
      </c>
      <c r="Q587" s="162">
        <v>3.6825999999999999</v>
      </c>
      <c r="R587" s="162">
        <v>3.7088999999999999</v>
      </c>
      <c r="S587" s="162">
        <v>3.6387999999999998</v>
      </c>
      <c r="T587" s="162">
        <v>3.415</v>
      </c>
      <c r="U587" s="162">
        <v>3.2463000000000002</v>
      </c>
      <c r="V587" s="162">
        <v>3.1354000000000002</v>
      </c>
      <c r="W587" s="162">
        <v>3.0625</v>
      </c>
      <c r="X587" s="162">
        <v>3.0123000000000002</v>
      </c>
      <c r="Y587" s="162">
        <v>2.9849999999999999</v>
      </c>
      <c r="Z587" s="162">
        <v>2.9702000000000002</v>
      </c>
      <c r="AA587" s="162">
        <v>2.9678</v>
      </c>
      <c r="AB587" s="162">
        <v>2.9702000000000002</v>
      </c>
      <c r="AC587" s="162">
        <v>2.972</v>
      </c>
      <c r="AD587" s="162">
        <v>2.9739</v>
      </c>
      <c r="AE587" s="162">
        <v>2.9712000000000001</v>
      </c>
      <c r="AF587" s="162">
        <v>2.9615</v>
      </c>
      <c r="AG587" s="162">
        <v>2.9373999999999998</v>
      </c>
      <c r="AH587" s="162">
        <v>2.9133</v>
      </c>
      <c r="AI587" s="162">
        <v>2.8892000000000002</v>
      </c>
      <c r="AJ587" s="162">
        <v>2.8651</v>
      </c>
      <c r="AK587" s="162">
        <v>2.8411</v>
      </c>
      <c r="AL587" s="162">
        <v>2.8115000000000001</v>
      </c>
      <c r="AM587" s="162">
        <v>2.7816000000000001</v>
      </c>
      <c r="AN587" s="162">
        <v>2.7530000000000001</v>
      </c>
      <c r="AO587" s="162">
        <v>2.7244000000000002</v>
      </c>
      <c r="AP587" s="162">
        <v>2.6979000000000002</v>
      </c>
      <c r="AQ587" s="162">
        <v>2.6696</v>
      </c>
      <c r="AR587" s="162">
        <v>2.6425999999999998</v>
      </c>
      <c r="AS587" s="162">
        <v>2.617</v>
      </c>
      <c r="AT587" s="162">
        <v>2.593</v>
      </c>
      <c r="AU587" s="162">
        <v>2.5708000000000002</v>
      </c>
    </row>
    <row r="588" spans="1:47" ht="12.75" customHeight="1">
      <c r="A588" s="459">
        <v>45009</v>
      </c>
      <c r="B588" s="139">
        <v>12</v>
      </c>
      <c r="C588" s="162">
        <v>2.4003000000000001</v>
      </c>
      <c r="D588" s="162">
        <v>2.4003000000000001</v>
      </c>
      <c r="E588" s="162">
        <v>2.5758999999999999</v>
      </c>
      <c r="F588" s="162">
        <v>2.6932999999999998</v>
      </c>
      <c r="G588" s="162">
        <v>2.7616000000000001</v>
      </c>
      <c r="H588" s="162">
        <v>2.8132999999999999</v>
      </c>
      <c r="I588" s="162">
        <v>2.8826000000000001</v>
      </c>
      <c r="J588" s="162">
        <v>2.9451999999999998</v>
      </c>
      <c r="K588" s="162">
        <v>2.9983</v>
      </c>
      <c r="L588" s="162">
        <v>3.0432000000000001</v>
      </c>
      <c r="M588" s="162">
        <v>3.0819000000000001</v>
      </c>
      <c r="N588" s="162">
        <v>3.1135999999999999</v>
      </c>
      <c r="O588" s="162">
        <v>3.1406999999999998</v>
      </c>
      <c r="P588" s="162">
        <v>3.1604999999999999</v>
      </c>
      <c r="Q588" s="162">
        <v>3.1764999999999999</v>
      </c>
      <c r="R588" s="162">
        <v>3.1886999999999999</v>
      </c>
      <c r="S588" s="162">
        <v>3.1537000000000002</v>
      </c>
      <c r="T588" s="162">
        <v>3.0398999999999998</v>
      </c>
      <c r="U588" s="162">
        <v>2.9247999999999998</v>
      </c>
      <c r="V588" s="162">
        <v>2.855</v>
      </c>
      <c r="W588" s="162">
        <v>2.8031000000000001</v>
      </c>
      <c r="X588" s="162">
        <v>2.7688000000000001</v>
      </c>
      <c r="Y588" s="162">
        <v>2.7545000000000002</v>
      </c>
      <c r="Z588" s="162">
        <v>2.7511999999999999</v>
      </c>
      <c r="AA588" s="162">
        <v>2.7547000000000001</v>
      </c>
      <c r="AB588" s="162">
        <v>2.7684000000000002</v>
      </c>
      <c r="AC588" s="162">
        <v>2.7757999999999998</v>
      </c>
      <c r="AD588" s="162">
        <v>2.7755999999999998</v>
      </c>
      <c r="AE588" s="162">
        <v>2.7793000000000001</v>
      </c>
      <c r="AF588" s="162">
        <v>2.7833000000000001</v>
      </c>
      <c r="AG588" s="162">
        <v>2.7576999999999998</v>
      </c>
      <c r="AH588" s="162">
        <v>2.7320000000000002</v>
      </c>
      <c r="AI588" s="162">
        <v>2.7063999999999999</v>
      </c>
      <c r="AJ588" s="162">
        <v>2.6806999999999999</v>
      </c>
      <c r="AK588" s="162">
        <v>2.6551</v>
      </c>
      <c r="AL588" s="162">
        <v>2.6147999999999998</v>
      </c>
      <c r="AM588" s="162">
        <v>2.5828000000000002</v>
      </c>
      <c r="AN588" s="162">
        <v>2.5522</v>
      </c>
      <c r="AO588" s="162">
        <v>2.5236000000000001</v>
      </c>
      <c r="AP588" s="162">
        <v>2.5019999999999998</v>
      </c>
      <c r="AQ588" s="162">
        <v>2.4725999999999999</v>
      </c>
      <c r="AR588" s="162">
        <v>2.4449999999999998</v>
      </c>
      <c r="AS588" s="162">
        <v>2.4178999999999999</v>
      </c>
      <c r="AT588" s="162">
        <v>2.3919999999999999</v>
      </c>
      <c r="AU588" s="162">
        <v>2.3664000000000001</v>
      </c>
    </row>
    <row r="589" spans="1:47" ht="12.75" customHeight="1">
      <c r="A589" s="459">
        <v>45016</v>
      </c>
      <c r="B589" s="139">
        <v>13</v>
      </c>
      <c r="C589" s="162">
        <v>2.6484999999999999</v>
      </c>
      <c r="D589" s="162">
        <v>2.6484999999999999</v>
      </c>
      <c r="E589" s="162">
        <v>2.8774000000000002</v>
      </c>
      <c r="F589" s="162">
        <v>2.8795999999999999</v>
      </c>
      <c r="G589" s="162">
        <v>2.8837000000000002</v>
      </c>
      <c r="H589" s="162">
        <v>2.9346999999999999</v>
      </c>
      <c r="I589" s="162">
        <v>2.9921000000000002</v>
      </c>
      <c r="J589" s="162">
        <v>3.0486</v>
      </c>
      <c r="K589" s="162">
        <v>3.0939000000000001</v>
      </c>
      <c r="L589" s="162">
        <v>3.1294</v>
      </c>
      <c r="M589" s="162">
        <v>3.1558999999999999</v>
      </c>
      <c r="N589" s="162">
        <v>3.1735000000000002</v>
      </c>
      <c r="O589" s="162">
        <v>3.1871999999999998</v>
      </c>
      <c r="P589" s="162">
        <v>3.1930000000000001</v>
      </c>
      <c r="Q589" s="162">
        <v>3.1945000000000001</v>
      </c>
      <c r="R589" s="162">
        <v>3.1823999999999999</v>
      </c>
      <c r="S589" s="162">
        <v>2.9969000000000001</v>
      </c>
      <c r="T589" s="162">
        <v>2.8485</v>
      </c>
      <c r="U589" s="162">
        <v>2.7574999999999998</v>
      </c>
      <c r="V589" s="162">
        <v>2.7052</v>
      </c>
      <c r="W589" s="162">
        <v>2.6747000000000001</v>
      </c>
      <c r="X589" s="162">
        <v>2.6558999999999999</v>
      </c>
      <c r="Y589" s="162">
        <v>2.6528</v>
      </c>
      <c r="Z589" s="162">
        <v>2.6577999999999999</v>
      </c>
      <c r="AA589" s="162">
        <v>2.6697000000000002</v>
      </c>
      <c r="AB589" s="162">
        <v>2.6829999999999998</v>
      </c>
      <c r="AC589" s="162">
        <v>2.7004000000000001</v>
      </c>
      <c r="AD589" s="162">
        <v>2.7193000000000001</v>
      </c>
      <c r="AE589" s="162">
        <v>2.7263000000000002</v>
      </c>
      <c r="AF589" s="162">
        <v>2.7162999999999999</v>
      </c>
      <c r="AG589" s="162">
        <v>2.6928000000000001</v>
      </c>
      <c r="AH589" s="162">
        <v>2.6692</v>
      </c>
      <c r="AI589" s="162">
        <v>2.6457000000000002</v>
      </c>
      <c r="AJ589" s="162">
        <v>2.6221999999999999</v>
      </c>
      <c r="AK589" s="162">
        <v>2.5985999999999998</v>
      </c>
      <c r="AL589" s="162">
        <v>2.5743</v>
      </c>
      <c r="AM589" s="162">
        <v>2.5413000000000001</v>
      </c>
      <c r="AN589" s="162">
        <v>2.5103</v>
      </c>
      <c r="AO589" s="162">
        <v>2.4817999999999998</v>
      </c>
      <c r="AP589" s="162">
        <v>2.4428000000000001</v>
      </c>
      <c r="AQ589" s="162">
        <v>2.4110999999999998</v>
      </c>
      <c r="AR589" s="162">
        <v>2.3818000000000001</v>
      </c>
      <c r="AS589" s="162">
        <v>2.3553000000000002</v>
      </c>
      <c r="AT589" s="162">
        <v>2.3279000000000001</v>
      </c>
      <c r="AU589" s="162">
        <v>2.3067000000000002</v>
      </c>
    </row>
    <row r="590" spans="1:47" ht="12.75" customHeight="1">
      <c r="A590" s="459">
        <v>45023</v>
      </c>
      <c r="B590" s="139">
        <v>14</v>
      </c>
      <c r="C590" s="162">
        <v>2.8955000000000002</v>
      </c>
      <c r="D590" s="162">
        <v>2.8955000000000002</v>
      </c>
      <c r="E590" s="162">
        <v>2.8809999999999998</v>
      </c>
      <c r="F590" s="162">
        <v>2.8820999999999999</v>
      </c>
      <c r="G590" s="162">
        <v>2.8841000000000001</v>
      </c>
      <c r="H590" s="162">
        <v>2.9636999999999998</v>
      </c>
      <c r="I590" s="162">
        <v>3.0314000000000001</v>
      </c>
      <c r="J590" s="162">
        <v>3.0972</v>
      </c>
      <c r="K590" s="162">
        <v>3.1585000000000001</v>
      </c>
      <c r="L590" s="162">
        <v>3.2044999999999999</v>
      </c>
      <c r="M590" s="162">
        <v>3.2452999999999999</v>
      </c>
      <c r="N590" s="162">
        <v>3.2755000000000001</v>
      </c>
      <c r="O590" s="162">
        <v>3.2974000000000001</v>
      </c>
      <c r="P590" s="162">
        <v>3.3140000000000001</v>
      </c>
      <c r="Q590" s="162">
        <v>3.3199000000000001</v>
      </c>
      <c r="R590" s="162">
        <v>3.3218000000000001</v>
      </c>
      <c r="S590" s="162">
        <v>3.1360999999999999</v>
      </c>
      <c r="T590" s="162">
        <v>2.9704000000000002</v>
      </c>
      <c r="U590" s="162">
        <v>2.8614999999999999</v>
      </c>
      <c r="V590" s="162">
        <v>2.8043999999999998</v>
      </c>
      <c r="W590" s="162">
        <v>2.7696000000000001</v>
      </c>
      <c r="X590" s="162">
        <v>2.7549999999999999</v>
      </c>
      <c r="Y590" s="162">
        <v>2.7536</v>
      </c>
      <c r="Z590" s="162">
        <v>2.76</v>
      </c>
      <c r="AA590" s="162">
        <v>2.7736000000000001</v>
      </c>
      <c r="AB590" s="162">
        <v>2.7917999999999998</v>
      </c>
      <c r="AC590" s="162">
        <v>2.8081</v>
      </c>
      <c r="AD590" s="162">
        <v>2.8182</v>
      </c>
      <c r="AE590" s="162">
        <v>2.8121999999999998</v>
      </c>
      <c r="AF590" s="162">
        <v>2.8334999999999999</v>
      </c>
      <c r="AG590" s="162">
        <v>2.8138999999999998</v>
      </c>
      <c r="AH590" s="162">
        <v>2.7942</v>
      </c>
      <c r="AI590" s="162">
        <v>2.7745000000000002</v>
      </c>
      <c r="AJ590" s="162">
        <v>2.7547999999999999</v>
      </c>
      <c r="AK590" s="162">
        <v>2.7351000000000001</v>
      </c>
      <c r="AL590" s="162">
        <v>2.7029999999999998</v>
      </c>
      <c r="AM590" s="162">
        <v>2.6732</v>
      </c>
      <c r="AN590" s="162">
        <v>2.645</v>
      </c>
      <c r="AO590" s="162">
        <v>2.6187</v>
      </c>
      <c r="AP590" s="162">
        <v>2.5928</v>
      </c>
      <c r="AQ590" s="162">
        <v>2.5619000000000001</v>
      </c>
      <c r="AR590" s="162">
        <v>2.5350999999999999</v>
      </c>
      <c r="AS590" s="162">
        <v>2.5097999999999998</v>
      </c>
      <c r="AT590" s="162">
        <v>2.4849000000000001</v>
      </c>
      <c r="AU590" s="162">
        <v>2.4666000000000001</v>
      </c>
    </row>
    <row r="591" spans="1:47" ht="12.75" customHeight="1">
      <c r="A591" s="459">
        <v>45030</v>
      </c>
      <c r="B591" s="139">
        <v>15</v>
      </c>
      <c r="C591" s="162">
        <v>2.8993000000000002</v>
      </c>
      <c r="D591" s="162">
        <v>2.8993000000000002</v>
      </c>
      <c r="E591" s="162">
        <v>2.8862999999999999</v>
      </c>
      <c r="F591" s="162">
        <v>2.8860999999999999</v>
      </c>
      <c r="G591" s="162">
        <v>2.8944999999999999</v>
      </c>
      <c r="H591" s="162">
        <v>3</v>
      </c>
      <c r="I591" s="162">
        <v>3.0728</v>
      </c>
      <c r="J591" s="162">
        <v>3.1389999999999998</v>
      </c>
      <c r="K591" s="162">
        <v>3.1919</v>
      </c>
      <c r="L591" s="162">
        <v>3.2324999999999999</v>
      </c>
      <c r="M591" s="162">
        <v>3.2663000000000002</v>
      </c>
      <c r="N591" s="162">
        <v>3.2886000000000002</v>
      </c>
      <c r="O591" s="162">
        <v>3.3050000000000002</v>
      </c>
      <c r="P591" s="162">
        <v>3.3172000000000001</v>
      </c>
      <c r="Q591" s="162">
        <v>3.319</v>
      </c>
      <c r="R591" s="162">
        <v>3.3142</v>
      </c>
      <c r="S591" s="162">
        <v>3.0649999999999999</v>
      </c>
      <c r="T591" s="162">
        <v>2.8645</v>
      </c>
      <c r="U591" s="162">
        <v>2.7555000000000001</v>
      </c>
      <c r="V591" s="162">
        <v>2.6966999999999999</v>
      </c>
      <c r="W591" s="162">
        <v>2.6667999999999998</v>
      </c>
      <c r="X591" s="162">
        <v>2.6476999999999999</v>
      </c>
      <c r="Y591" s="162">
        <v>2.6431</v>
      </c>
      <c r="Z591" s="162">
        <v>2.6499000000000001</v>
      </c>
      <c r="AA591" s="162">
        <v>2.6623999999999999</v>
      </c>
      <c r="AB591" s="162">
        <v>2.6840999999999999</v>
      </c>
      <c r="AC591" s="162">
        <v>2.6987000000000001</v>
      </c>
      <c r="AD591" s="162">
        <v>2.7145999999999999</v>
      </c>
      <c r="AE591" s="162">
        <v>2.7185999999999999</v>
      </c>
      <c r="AF591" s="162">
        <v>2.7233999999999998</v>
      </c>
      <c r="AG591" s="162">
        <v>2.706</v>
      </c>
      <c r="AH591" s="162">
        <v>2.6886000000000001</v>
      </c>
      <c r="AI591" s="162">
        <v>2.6711</v>
      </c>
      <c r="AJ591" s="162">
        <v>2.6537000000000002</v>
      </c>
      <c r="AK591" s="162">
        <v>2.6362999999999999</v>
      </c>
      <c r="AL591" s="162">
        <v>2.6084000000000001</v>
      </c>
      <c r="AM591" s="162">
        <v>2.5821999999999998</v>
      </c>
      <c r="AN591" s="162">
        <v>2.5564</v>
      </c>
      <c r="AO591" s="162">
        <v>2.5301</v>
      </c>
      <c r="AP591" s="162">
        <v>2.5049000000000001</v>
      </c>
      <c r="AQ591" s="162">
        <v>2.4860000000000002</v>
      </c>
      <c r="AR591" s="162">
        <v>2.4621</v>
      </c>
      <c r="AS591" s="162">
        <v>2.4392999999999998</v>
      </c>
      <c r="AT591" s="162">
        <v>2.4171</v>
      </c>
      <c r="AU591" s="162">
        <v>2.3902999999999999</v>
      </c>
    </row>
    <row r="592" spans="1:47" ht="12.75" customHeight="1">
      <c r="A592" s="459">
        <v>45037</v>
      </c>
      <c r="B592" s="139">
        <v>16</v>
      </c>
      <c r="C592" s="162">
        <v>2.8980000000000001</v>
      </c>
      <c r="D592" s="162">
        <v>2.8980000000000001</v>
      </c>
      <c r="E592" s="162">
        <v>2.8948999999999998</v>
      </c>
      <c r="F592" s="162">
        <v>2.8933</v>
      </c>
      <c r="G592" s="162">
        <v>2.9567000000000001</v>
      </c>
      <c r="H592" s="162">
        <v>3.0623999999999998</v>
      </c>
      <c r="I592" s="162">
        <v>3.1698</v>
      </c>
      <c r="J592" s="162">
        <v>3.2320000000000002</v>
      </c>
      <c r="K592" s="162">
        <v>3.2955999999999999</v>
      </c>
      <c r="L592" s="162">
        <v>3.3717999999999999</v>
      </c>
      <c r="M592" s="162">
        <v>3.3885999999999998</v>
      </c>
      <c r="N592" s="162">
        <v>3.4197000000000002</v>
      </c>
      <c r="O592" s="162">
        <v>3.4702000000000002</v>
      </c>
      <c r="P592" s="162">
        <v>3.4535999999999998</v>
      </c>
      <c r="Q592" s="162">
        <v>3.4581</v>
      </c>
      <c r="R592" s="162">
        <v>3.4870999999999999</v>
      </c>
      <c r="S592" s="162">
        <v>3.2322000000000002</v>
      </c>
      <c r="T592" s="162">
        <v>3.0272000000000001</v>
      </c>
      <c r="U592" s="162">
        <v>2.9066000000000001</v>
      </c>
      <c r="V592" s="162">
        <v>2.8405999999999998</v>
      </c>
      <c r="W592" s="162">
        <v>2.8022999999999998</v>
      </c>
      <c r="X592" s="162">
        <v>2.7801</v>
      </c>
      <c r="Y592" s="162">
        <v>2.7768000000000002</v>
      </c>
      <c r="Z592" s="162">
        <v>2.7808000000000002</v>
      </c>
      <c r="AA592" s="162">
        <v>2.7934000000000001</v>
      </c>
      <c r="AB592" s="162">
        <v>2.7801999999999998</v>
      </c>
      <c r="AC592" s="162">
        <v>2.8216000000000001</v>
      </c>
      <c r="AD592" s="162">
        <v>2.8085</v>
      </c>
      <c r="AE592" s="162">
        <v>2.8168000000000002</v>
      </c>
      <c r="AF592" s="162">
        <v>2.8429000000000002</v>
      </c>
      <c r="AG592" s="162">
        <v>2.8258999999999999</v>
      </c>
      <c r="AH592" s="162">
        <v>2.8088000000000002</v>
      </c>
      <c r="AI592" s="162">
        <v>2.7917000000000001</v>
      </c>
      <c r="AJ592" s="162">
        <v>2.7747000000000002</v>
      </c>
      <c r="AK592" s="162">
        <v>2.7576000000000001</v>
      </c>
      <c r="AL592" s="162">
        <v>2.7313000000000001</v>
      </c>
      <c r="AM592" s="162">
        <v>2.7065000000000001</v>
      </c>
      <c r="AN592" s="162">
        <v>2.6819999999999999</v>
      </c>
      <c r="AO592" s="162">
        <v>2.6585000000000001</v>
      </c>
      <c r="AP592" s="162">
        <v>2.6349999999999998</v>
      </c>
      <c r="AQ592" s="162">
        <v>2.6114999999999999</v>
      </c>
      <c r="AR592" s="162">
        <v>2.5886</v>
      </c>
      <c r="AS592" s="162">
        <v>2.5669</v>
      </c>
      <c r="AT592" s="162">
        <v>2.5455000000000001</v>
      </c>
      <c r="AU592" s="162">
        <v>2.5251999999999999</v>
      </c>
    </row>
    <row r="593" spans="1:47" ht="12.75" customHeight="1">
      <c r="A593" s="459">
        <v>45044</v>
      </c>
      <c r="B593" s="139">
        <v>17</v>
      </c>
      <c r="C593" s="162">
        <v>2.9009999999999998</v>
      </c>
      <c r="D593" s="162">
        <v>2.9009999999999998</v>
      </c>
      <c r="E593" s="162">
        <v>2.8955000000000002</v>
      </c>
      <c r="F593" s="162">
        <v>2.8955000000000002</v>
      </c>
      <c r="G593" s="162">
        <v>3.0270000000000001</v>
      </c>
      <c r="H593" s="162">
        <v>3.1347999999999998</v>
      </c>
      <c r="I593" s="162">
        <v>3.2439</v>
      </c>
      <c r="J593" s="162">
        <v>3.3342000000000001</v>
      </c>
      <c r="K593" s="162">
        <v>3.4009999999999998</v>
      </c>
      <c r="L593" s="162">
        <v>3.4611999999999998</v>
      </c>
      <c r="M593" s="162">
        <v>3.5087999999999999</v>
      </c>
      <c r="N593" s="162">
        <v>3.5448</v>
      </c>
      <c r="O593" s="162">
        <v>3.5705</v>
      </c>
      <c r="P593" s="162">
        <v>3.5893999999999999</v>
      </c>
      <c r="Q593" s="162">
        <v>3.5994999999999999</v>
      </c>
      <c r="R593" s="162">
        <v>3.5992999999999999</v>
      </c>
      <c r="S593" s="162">
        <v>3.3778999999999999</v>
      </c>
      <c r="T593" s="162">
        <v>3.1758000000000002</v>
      </c>
      <c r="U593" s="162">
        <v>3.0503999999999998</v>
      </c>
      <c r="V593" s="162">
        <v>2.9803000000000002</v>
      </c>
      <c r="W593" s="162">
        <v>2.9342999999999999</v>
      </c>
      <c r="X593" s="162">
        <v>2.9081000000000001</v>
      </c>
      <c r="Y593" s="162">
        <v>2.8976000000000002</v>
      </c>
      <c r="Z593" s="162">
        <v>2.8969999999999998</v>
      </c>
      <c r="AA593" s="162">
        <v>2.9066000000000001</v>
      </c>
      <c r="AB593" s="162">
        <v>2.919</v>
      </c>
      <c r="AC593" s="162">
        <v>2.9323000000000001</v>
      </c>
      <c r="AD593" s="162">
        <v>2.9437000000000002</v>
      </c>
      <c r="AE593" s="162">
        <v>2.9493999999999998</v>
      </c>
      <c r="AF593" s="162">
        <v>2.9455</v>
      </c>
      <c r="AG593" s="162">
        <v>2.927</v>
      </c>
      <c r="AH593" s="162">
        <v>2.9085999999999999</v>
      </c>
      <c r="AI593" s="162">
        <v>2.8900999999999999</v>
      </c>
      <c r="AJ593" s="162">
        <v>2.8715999999999999</v>
      </c>
      <c r="AK593" s="162">
        <v>2.8531</v>
      </c>
      <c r="AL593" s="162">
        <v>2.8256999999999999</v>
      </c>
      <c r="AM593" s="162">
        <v>2.7995000000000001</v>
      </c>
      <c r="AN593" s="162">
        <v>2.7738999999999998</v>
      </c>
      <c r="AO593" s="162">
        <v>2.7484999999999999</v>
      </c>
      <c r="AP593" s="162">
        <v>2.7237</v>
      </c>
      <c r="AQ593" s="162">
        <v>2.6999</v>
      </c>
      <c r="AR593" s="162">
        <v>2.6760000000000002</v>
      </c>
      <c r="AS593" s="162">
        <v>2.6535000000000002</v>
      </c>
      <c r="AT593" s="162">
        <v>2.6307999999999998</v>
      </c>
      <c r="AU593" s="162">
        <v>2.6078999999999999</v>
      </c>
    </row>
    <row r="594" spans="1:47" ht="12.75" customHeight="1">
      <c r="A594" s="459">
        <v>45051</v>
      </c>
      <c r="B594" s="139">
        <v>18</v>
      </c>
      <c r="C594" s="162">
        <v>2.9015</v>
      </c>
      <c r="D594" s="162">
        <v>2.9015</v>
      </c>
      <c r="E594" s="162">
        <v>2.8955000000000002</v>
      </c>
      <c r="F594" s="162">
        <v>2.9657</v>
      </c>
      <c r="G594" s="162">
        <v>3.1040000000000001</v>
      </c>
      <c r="H594" s="162">
        <v>3.1903999999999999</v>
      </c>
      <c r="I594" s="162">
        <v>3.2784</v>
      </c>
      <c r="J594" s="162">
        <v>3.3614999999999999</v>
      </c>
      <c r="K594" s="162">
        <v>3.4192</v>
      </c>
      <c r="L594" s="162">
        <v>3.4771999999999998</v>
      </c>
      <c r="M594" s="162">
        <v>3.5139</v>
      </c>
      <c r="N594" s="162">
        <v>3.5444</v>
      </c>
      <c r="O594" s="162">
        <v>3.5718000000000001</v>
      </c>
      <c r="P594" s="162">
        <v>3.5767000000000002</v>
      </c>
      <c r="Q594" s="162">
        <v>3.5823999999999998</v>
      </c>
      <c r="R594" s="162">
        <v>3.585</v>
      </c>
      <c r="S594" s="162">
        <v>3.3237999999999999</v>
      </c>
      <c r="T594" s="162">
        <v>3.1086999999999998</v>
      </c>
      <c r="U594" s="162">
        <v>2.9805000000000001</v>
      </c>
      <c r="V594" s="162">
        <v>2.9161000000000001</v>
      </c>
      <c r="W594" s="162">
        <v>2.8696999999999999</v>
      </c>
      <c r="X594" s="162">
        <v>2.8597999999999999</v>
      </c>
      <c r="Y594" s="162">
        <v>2.8530000000000002</v>
      </c>
      <c r="Z594" s="162">
        <v>2.8565</v>
      </c>
      <c r="AA594" s="162">
        <v>2.8660999999999999</v>
      </c>
      <c r="AB594" s="162">
        <v>2.8759999999999999</v>
      </c>
      <c r="AC594" s="162">
        <v>2.9001000000000001</v>
      </c>
      <c r="AD594" s="162">
        <v>2.9043000000000001</v>
      </c>
      <c r="AE594" s="162">
        <v>2.9180000000000001</v>
      </c>
      <c r="AF594" s="162">
        <v>2.9218000000000002</v>
      </c>
      <c r="AG594" s="162">
        <v>2.9043000000000001</v>
      </c>
      <c r="AH594" s="162">
        <v>2.8868</v>
      </c>
      <c r="AI594" s="162">
        <v>2.8693</v>
      </c>
      <c r="AJ594" s="162">
        <v>2.8517999999999999</v>
      </c>
      <c r="AK594" s="162">
        <v>2.8342999999999998</v>
      </c>
      <c r="AL594" s="162">
        <v>2.8113000000000001</v>
      </c>
      <c r="AM594" s="162">
        <v>2.786</v>
      </c>
      <c r="AN594" s="162">
        <v>2.7602000000000002</v>
      </c>
      <c r="AO594" s="162">
        <v>2.7334000000000001</v>
      </c>
      <c r="AP594" s="162">
        <v>2.7059000000000002</v>
      </c>
      <c r="AQ594" s="162">
        <v>2.6724000000000001</v>
      </c>
      <c r="AR594" s="162">
        <v>2.6480000000000001</v>
      </c>
      <c r="AS594" s="162">
        <v>2.6246999999999998</v>
      </c>
      <c r="AT594" s="162">
        <v>2.6025</v>
      </c>
      <c r="AU594" s="162">
        <v>2.5910000000000002</v>
      </c>
    </row>
    <row r="595" spans="1:47" ht="12.75" customHeight="1">
      <c r="A595" s="459">
        <v>45058</v>
      </c>
      <c r="B595" s="139">
        <v>19</v>
      </c>
      <c r="C595" s="162">
        <v>2.8963000000000001</v>
      </c>
      <c r="D595" s="162">
        <v>2.8963000000000001</v>
      </c>
      <c r="E595" s="162">
        <v>3.0207999999999999</v>
      </c>
      <c r="F595" s="162">
        <v>3.0901000000000001</v>
      </c>
      <c r="G595" s="162">
        <v>3.13</v>
      </c>
      <c r="H595" s="162">
        <v>3.2025000000000001</v>
      </c>
      <c r="I595" s="162">
        <v>3.2713999999999999</v>
      </c>
      <c r="J595" s="162">
        <v>3.3374999999999999</v>
      </c>
      <c r="K595" s="162">
        <v>3.3851</v>
      </c>
      <c r="L595" s="162">
        <v>3.4226000000000001</v>
      </c>
      <c r="M595" s="162">
        <v>3.4582000000000002</v>
      </c>
      <c r="N595" s="162">
        <v>3.4763000000000002</v>
      </c>
      <c r="O595" s="162">
        <v>3.4788000000000001</v>
      </c>
      <c r="P595" s="162">
        <v>3.4918</v>
      </c>
      <c r="Q595" s="162">
        <v>3.4769999999999999</v>
      </c>
      <c r="R595" s="162">
        <v>3.4607999999999999</v>
      </c>
      <c r="S595" s="162">
        <v>3.1114000000000002</v>
      </c>
      <c r="T595" s="162">
        <v>2.8698999999999999</v>
      </c>
      <c r="U595" s="162">
        <v>2.7504</v>
      </c>
      <c r="V595" s="162">
        <v>2.6943000000000001</v>
      </c>
      <c r="W595" s="162">
        <v>2.6898</v>
      </c>
      <c r="X595" s="162">
        <v>2.6598999999999999</v>
      </c>
      <c r="Y595" s="162">
        <v>2.665</v>
      </c>
      <c r="Z595" s="162">
        <v>2.6785000000000001</v>
      </c>
      <c r="AA595" s="162">
        <v>2.6991999999999998</v>
      </c>
      <c r="AB595" s="162">
        <v>2.7359</v>
      </c>
      <c r="AC595" s="162">
        <v>2.7427000000000001</v>
      </c>
      <c r="AD595" s="162">
        <v>2.7747000000000002</v>
      </c>
      <c r="AE595" s="162">
        <v>2.7848000000000002</v>
      </c>
      <c r="AF595" s="162">
        <v>2.7782</v>
      </c>
      <c r="AG595" s="162">
        <v>2.7652000000000001</v>
      </c>
      <c r="AH595" s="162">
        <v>2.7521</v>
      </c>
      <c r="AI595" s="162">
        <v>2.7391000000000001</v>
      </c>
      <c r="AJ595" s="162">
        <v>2.7261000000000002</v>
      </c>
      <c r="AK595" s="162">
        <v>2.7130999999999998</v>
      </c>
      <c r="AL595" s="162">
        <v>2.69</v>
      </c>
      <c r="AM595" s="162">
        <v>2.6671</v>
      </c>
      <c r="AN595" s="162">
        <v>2.6429999999999998</v>
      </c>
      <c r="AO595" s="162">
        <v>2.625</v>
      </c>
      <c r="AP595" s="162">
        <v>2.5971000000000002</v>
      </c>
      <c r="AQ595" s="162">
        <v>2.5788000000000002</v>
      </c>
      <c r="AR595" s="162">
        <v>2.5569999999999999</v>
      </c>
      <c r="AS595" s="162">
        <v>2.5367999999999999</v>
      </c>
      <c r="AT595" s="162">
        <v>2.5163000000000002</v>
      </c>
      <c r="AU595" s="162">
        <v>2.4902000000000002</v>
      </c>
    </row>
    <row r="596" spans="1:47" ht="12.75" customHeight="1">
      <c r="A596" s="459">
        <v>45065</v>
      </c>
      <c r="B596" s="139">
        <v>20</v>
      </c>
      <c r="C596" s="162">
        <v>3.0190000000000001</v>
      </c>
      <c r="D596" s="162">
        <v>3.0190000000000001</v>
      </c>
      <c r="E596" s="162">
        <v>3.1389</v>
      </c>
      <c r="F596" s="162">
        <v>3.1398000000000001</v>
      </c>
      <c r="G596" s="162">
        <v>3.1421999999999999</v>
      </c>
      <c r="H596" s="162">
        <v>3.2277999999999998</v>
      </c>
      <c r="I596" s="162">
        <v>3.3001</v>
      </c>
      <c r="J596" s="162">
        <v>3.3660000000000001</v>
      </c>
      <c r="K596" s="162">
        <v>3.4155000000000002</v>
      </c>
      <c r="L596" s="162">
        <v>3.4550999999999998</v>
      </c>
      <c r="M596" s="162">
        <v>3.4811000000000001</v>
      </c>
      <c r="N596" s="162">
        <v>3.4967000000000001</v>
      </c>
      <c r="O596" s="162">
        <v>3.5070000000000001</v>
      </c>
      <c r="P596" s="162">
        <v>3.5061</v>
      </c>
      <c r="Q596" s="162">
        <v>3.4965999999999999</v>
      </c>
      <c r="R596" s="162">
        <v>3.4826000000000001</v>
      </c>
      <c r="S596" s="162">
        <v>3.1128</v>
      </c>
      <c r="T596" s="162">
        <v>2.8730000000000002</v>
      </c>
      <c r="U596" s="162">
        <v>2.7530999999999999</v>
      </c>
      <c r="V596" s="162">
        <v>2.7029999999999998</v>
      </c>
      <c r="W596" s="162">
        <v>2.6783999999999999</v>
      </c>
      <c r="X596" s="162">
        <v>2.6757</v>
      </c>
      <c r="Y596" s="162">
        <v>2.6848000000000001</v>
      </c>
      <c r="Z596" s="162">
        <v>2.7019000000000002</v>
      </c>
      <c r="AA596" s="162">
        <v>2.726</v>
      </c>
      <c r="AB596" s="162">
        <v>2.7505999999999999</v>
      </c>
      <c r="AC596" s="162">
        <v>2.7717999999999998</v>
      </c>
      <c r="AD596" s="162">
        <v>2.7944</v>
      </c>
      <c r="AE596" s="162">
        <v>2.8096000000000001</v>
      </c>
      <c r="AF596" s="162">
        <v>2.8149000000000002</v>
      </c>
      <c r="AG596" s="162">
        <v>2.8035000000000001</v>
      </c>
      <c r="AH596" s="162">
        <v>2.7921</v>
      </c>
      <c r="AI596" s="162">
        <v>2.7808000000000002</v>
      </c>
      <c r="AJ596" s="162">
        <v>2.7694000000000001</v>
      </c>
      <c r="AK596" s="162">
        <v>2.758</v>
      </c>
      <c r="AL596" s="162">
        <v>2.7389999999999999</v>
      </c>
      <c r="AM596" s="162">
        <v>2.7178</v>
      </c>
      <c r="AN596" s="162">
        <v>2.6953999999999998</v>
      </c>
      <c r="AO596" s="162">
        <v>2.6728000000000001</v>
      </c>
      <c r="AP596" s="162">
        <v>2.6478999999999999</v>
      </c>
      <c r="AQ596" s="162">
        <v>2.6309</v>
      </c>
      <c r="AR596" s="162">
        <v>2.61</v>
      </c>
      <c r="AS596" s="162">
        <v>2.5903</v>
      </c>
      <c r="AT596" s="162">
        <v>2.5716999999999999</v>
      </c>
      <c r="AU596" s="162">
        <v>2.5497000000000001</v>
      </c>
    </row>
    <row r="597" spans="1:47" ht="12.75" customHeight="1">
      <c r="A597" s="459">
        <v>45072</v>
      </c>
      <c r="B597" s="139">
        <v>21</v>
      </c>
      <c r="C597" s="162">
        <v>3.1459999999999999</v>
      </c>
      <c r="D597" s="162">
        <v>3.1459999999999999</v>
      </c>
      <c r="E597" s="162">
        <v>3.1413000000000002</v>
      </c>
      <c r="F597" s="162">
        <v>3.1423000000000001</v>
      </c>
      <c r="G597" s="162">
        <v>3.1444000000000001</v>
      </c>
      <c r="H597" s="162">
        <v>3.2488000000000001</v>
      </c>
      <c r="I597" s="162">
        <v>3.3294999999999999</v>
      </c>
      <c r="J597" s="162">
        <v>3.3914</v>
      </c>
      <c r="K597" s="162">
        <v>3.4459</v>
      </c>
      <c r="L597" s="162">
        <v>3.4860000000000002</v>
      </c>
      <c r="M597" s="162">
        <v>3.5137</v>
      </c>
      <c r="N597" s="162">
        <v>3.5291000000000001</v>
      </c>
      <c r="O597" s="162">
        <v>3.5381</v>
      </c>
      <c r="P597" s="162">
        <v>3.5390000000000001</v>
      </c>
      <c r="Q597" s="162">
        <v>3.5270000000000001</v>
      </c>
      <c r="R597" s="162">
        <v>3.5135000000000001</v>
      </c>
      <c r="S597" s="162">
        <v>3.1511</v>
      </c>
      <c r="T597" s="162">
        <v>2.9051999999999998</v>
      </c>
      <c r="U597" s="162">
        <v>2.7898000000000001</v>
      </c>
      <c r="V597" s="162">
        <v>2.7387000000000001</v>
      </c>
      <c r="W597" s="162">
        <v>2.714</v>
      </c>
      <c r="X597" s="162">
        <v>2.7050999999999998</v>
      </c>
      <c r="Y597" s="162">
        <v>2.7122000000000002</v>
      </c>
      <c r="Z597" s="162">
        <v>2.7286999999999999</v>
      </c>
      <c r="AA597" s="162">
        <v>2.7534000000000001</v>
      </c>
      <c r="AB597" s="162">
        <v>2.7785000000000002</v>
      </c>
      <c r="AC597" s="162">
        <v>2.7993999999999999</v>
      </c>
      <c r="AD597" s="162">
        <v>2.8210999999999999</v>
      </c>
      <c r="AE597" s="162">
        <v>2.8334999999999999</v>
      </c>
      <c r="AF597" s="162">
        <v>2.8431000000000002</v>
      </c>
      <c r="AG597" s="162">
        <v>2.8332000000000002</v>
      </c>
      <c r="AH597" s="162">
        <v>2.8233999999999999</v>
      </c>
      <c r="AI597" s="162">
        <v>2.8136000000000001</v>
      </c>
      <c r="AJ597" s="162">
        <v>2.8037999999999998</v>
      </c>
      <c r="AK597" s="162">
        <v>2.7938999999999998</v>
      </c>
      <c r="AL597" s="162">
        <v>2.7745000000000002</v>
      </c>
      <c r="AM597" s="162">
        <v>2.7549999999999999</v>
      </c>
      <c r="AN597" s="162">
        <v>2.7345000000000002</v>
      </c>
      <c r="AO597" s="162">
        <v>2.7141999999999999</v>
      </c>
      <c r="AP597" s="162">
        <v>2.6947000000000001</v>
      </c>
      <c r="AQ597" s="162">
        <v>2.673</v>
      </c>
      <c r="AR597" s="162">
        <v>2.6539999999999999</v>
      </c>
      <c r="AS597" s="162">
        <v>2.6358999999999999</v>
      </c>
      <c r="AT597" s="162">
        <v>2.6192000000000002</v>
      </c>
      <c r="AU597" s="162">
        <v>2.6055999999999999</v>
      </c>
    </row>
    <row r="598" spans="1:47" ht="12.75" customHeight="1">
      <c r="A598" s="459">
        <v>45079</v>
      </c>
      <c r="B598" s="139">
        <v>22</v>
      </c>
      <c r="C598" s="162">
        <v>3.1507999999999998</v>
      </c>
      <c r="D598" s="162">
        <v>3.1507999999999998</v>
      </c>
      <c r="E598" s="162">
        <v>3.1492</v>
      </c>
      <c r="F598" s="162">
        <v>3.1501000000000001</v>
      </c>
      <c r="G598" s="162">
        <v>3.2012</v>
      </c>
      <c r="H598" s="162">
        <v>3.2976999999999999</v>
      </c>
      <c r="I598" s="162">
        <v>3.3908999999999998</v>
      </c>
      <c r="J598" s="162">
        <v>3.4546999999999999</v>
      </c>
      <c r="K598" s="162">
        <v>3.5127999999999999</v>
      </c>
      <c r="L598" s="162">
        <v>3.5575000000000001</v>
      </c>
      <c r="M598" s="162">
        <v>3.5893000000000002</v>
      </c>
      <c r="N598" s="162">
        <v>3.6135000000000002</v>
      </c>
      <c r="O598" s="162">
        <v>3.6291000000000002</v>
      </c>
      <c r="P598" s="162">
        <v>3.6377999999999999</v>
      </c>
      <c r="Q598" s="162">
        <v>3.6383000000000001</v>
      </c>
      <c r="R598" s="162">
        <v>3.6324000000000001</v>
      </c>
      <c r="S598" s="162">
        <v>3.3690000000000002</v>
      </c>
      <c r="T598" s="162">
        <v>3.1516000000000002</v>
      </c>
      <c r="U598" s="162">
        <v>3.0188000000000001</v>
      </c>
      <c r="V598" s="162">
        <v>2.9497</v>
      </c>
      <c r="W598" s="162">
        <v>2.9123000000000001</v>
      </c>
      <c r="X598" s="162">
        <v>2.8976000000000002</v>
      </c>
      <c r="Y598" s="162">
        <v>2.8954</v>
      </c>
      <c r="Z598" s="162">
        <v>2.9024000000000001</v>
      </c>
      <c r="AA598" s="162">
        <v>2.9198</v>
      </c>
      <c r="AB598" s="162">
        <v>2.9377</v>
      </c>
      <c r="AC598" s="162">
        <v>2.9533</v>
      </c>
      <c r="AD598" s="162">
        <v>2.9716999999999998</v>
      </c>
      <c r="AE598" s="162">
        <v>2.9765999999999999</v>
      </c>
      <c r="AF598" s="162">
        <v>2.9820000000000002</v>
      </c>
      <c r="AG598" s="162">
        <v>2.9687000000000001</v>
      </c>
      <c r="AH598" s="162">
        <v>2.9554</v>
      </c>
      <c r="AI598" s="162">
        <v>2.9420999999999999</v>
      </c>
      <c r="AJ598" s="162">
        <v>2.9287999999999998</v>
      </c>
      <c r="AK598" s="162">
        <v>2.9155000000000002</v>
      </c>
      <c r="AL598" s="162">
        <v>2.8921999999999999</v>
      </c>
      <c r="AM598" s="162">
        <v>2.8696999999999999</v>
      </c>
      <c r="AN598" s="162">
        <v>2.8466</v>
      </c>
      <c r="AO598" s="162">
        <v>2.8231999999999999</v>
      </c>
      <c r="AP598" s="162">
        <v>2.8001999999999998</v>
      </c>
      <c r="AQ598" s="162">
        <v>2.7772000000000001</v>
      </c>
      <c r="AR598" s="162">
        <v>2.7566999999999999</v>
      </c>
      <c r="AS598" s="162">
        <v>2.7349999999999999</v>
      </c>
      <c r="AT598" s="162">
        <v>2.7155999999999998</v>
      </c>
      <c r="AU598" s="162">
        <v>2.6974999999999998</v>
      </c>
    </row>
    <row r="599" spans="1:47" ht="12.75" customHeight="1">
      <c r="A599" s="459">
        <v>45086</v>
      </c>
      <c r="B599" s="139">
        <v>23</v>
      </c>
      <c r="C599" s="162">
        <v>3.1465000000000001</v>
      </c>
      <c r="D599" s="162">
        <v>3.1465000000000001</v>
      </c>
      <c r="E599" s="162">
        <v>3.1493000000000002</v>
      </c>
      <c r="F599" s="162">
        <v>3.1501999999999999</v>
      </c>
      <c r="G599" s="162">
        <v>3.2469000000000001</v>
      </c>
      <c r="H599" s="162">
        <v>3.3277999999999999</v>
      </c>
      <c r="I599" s="162">
        <v>3.4142999999999999</v>
      </c>
      <c r="J599" s="162">
        <v>3.4691999999999998</v>
      </c>
      <c r="K599" s="162">
        <v>3.5167000000000002</v>
      </c>
      <c r="L599" s="162">
        <v>3.5493999999999999</v>
      </c>
      <c r="M599" s="162">
        <v>3.5731000000000002</v>
      </c>
      <c r="N599" s="162">
        <v>3.5907</v>
      </c>
      <c r="O599" s="162">
        <v>3.5988000000000002</v>
      </c>
      <c r="P599" s="162">
        <v>3.5983000000000001</v>
      </c>
      <c r="Q599" s="162">
        <v>3.5912999999999999</v>
      </c>
      <c r="R599" s="162">
        <v>3.5800999999999998</v>
      </c>
      <c r="S599" s="162">
        <v>3.2610000000000001</v>
      </c>
      <c r="T599" s="162">
        <v>3.0207999999999999</v>
      </c>
      <c r="U599" s="162">
        <v>2.87</v>
      </c>
      <c r="V599" s="162">
        <v>2.7854000000000001</v>
      </c>
      <c r="W599" s="162">
        <v>2.7475000000000001</v>
      </c>
      <c r="X599" s="162">
        <v>2.7279</v>
      </c>
      <c r="Y599" s="162">
        <v>2.7256999999999998</v>
      </c>
      <c r="Z599" s="162">
        <v>2.7326999999999999</v>
      </c>
      <c r="AA599" s="162">
        <v>2.7496999999999998</v>
      </c>
      <c r="AB599" s="162">
        <v>2.7660999999999998</v>
      </c>
      <c r="AC599" s="162">
        <v>2.7873999999999999</v>
      </c>
      <c r="AD599" s="162">
        <v>2.8045</v>
      </c>
      <c r="AE599" s="162">
        <v>2.8111999999999999</v>
      </c>
      <c r="AF599" s="162">
        <v>2.8210999999999999</v>
      </c>
      <c r="AG599" s="162">
        <v>2.8090000000000002</v>
      </c>
      <c r="AH599" s="162">
        <v>2.7968999999999999</v>
      </c>
      <c r="AI599" s="162">
        <v>2.7848000000000002</v>
      </c>
      <c r="AJ599" s="162">
        <v>2.7726999999999999</v>
      </c>
      <c r="AK599" s="162">
        <v>2.7606000000000002</v>
      </c>
      <c r="AL599" s="162">
        <v>2.7414000000000001</v>
      </c>
      <c r="AM599" s="162">
        <v>2.72</v>
      </c>
      <c r="AN599" s="162">
        <v>2.6983000000000001</v>
      </c>
      <c r="AO599" s="162">
        <v>2.6753999999999998</v>
      </c>
      <c r="AP599" s="162">
        <v>2.6520999999999999</v>
      </c>
      <c r="AQ599" s="162">
        <v>2.6271</v>
      </c>
      <c r="AR599" s="162">
        <v>2.6057999999999999</v>
      </c>
      <c r="AS599" s="162">
        <v>2.5853999999999999</v>
      </c>
      <c r="AT599" s="162">
        <v>2.5666000000000002</v>
      </c>
      <c r="AU599" s="162">
        <v>2.5533000000000001</v>
      </c>
    </row>
    <row r="600" spans="1:47" ht="12.75" customHeight="1">
      <c r="A600" s="459">
        <v>45093</v>
      </c>
      <c r="B600" s="139">
        <v>24</v>
      </c>
      <c r="C600" s="162">
        <v>3.1457999999999999</v>
      </c>
      <c r="D600" s="162">
        <v>3.1457999999999999</v>
      </c>
      <c r="E600" s="162">
        <v>3.1492</v>
      </c>
      <c r="F600" s="162">
        <v>3.1966000000000001</v>
      </c>
      <c r="G600" s="162">
        <v>3.3016000000000001</v>
      </c>
      <c r="H600" s="162">
        <v>3.3765999999999998</v>
      </c>
      <c r="I600" s="162">
        <v>3.4521999999999999</v>
      </c>
      <c r="J600" s="162">
        <v>3.5108000000000001</v>
      </c>
      <c r="K600" s="162">
        <v>3.5568</v>
      </c>
      <c r="L600" s="162">
        <v>3.5903</v>
      </c>
      <c r="M600" s="162">
        <v>3.6147999999999998</v>
      </c>
      <c r="N600" s="162">
        <v>3.6328999999999998</v>
      </c>
      <c r="O600" s="162">
        <v>3.6419000000000001</v>
      </c>
      <c r="P600" s="162">
        <v>3.6417000000000002</v>
      </c>
      <c r="Q600" s="162">
        <v>3.6360000000000001</v>
      </c>
      <c r="R600" s="162">
        <v>3.6261000000000001</v>
      </c>
      <c r="S600" s="162">
        <v>3.3235000000000001</v>
      </c>
      <c r="T600" s="162">
        <v>3.0853999999999999</v>
      </c>
      <c r="U600" s="162">
        <v>2.9289999999999998</v>
      </c>
      <c r="V600" s="162">
        <v>2.8468</v>
      </c>
      <c r="W600" s="162">
        <v>2.8018999999999998</v>
      </c>
      <c r="X600" s="162">
        <v>2.7818999999999998</v>
      </c>
      <c r="Y600" s="162">
        <v>2.7780999999999998</v>
      </c>
      <c r="Z600" s="162">
        <v>2.7854999999999999</v>
      </c>
      <c r="AA600" s="162">
        <v>2.8012999999999999</v>
      </c>
      <c r="AB600" s="162">
        <v>2.8214999999999999</v>
      </c>
      <c r="AC600" s="162">
        <v>2.8391999999999999</v>
      </c>
      <c r="AD600" s="162">
        <v>2.8563999999999998</v>
      </c>
      <c r="AE600" s="162">
        <v>2.8651</v>
      </c>
      <c r="AF600" s="162">
        <v>2.8727999999999998</v>
      </c>
      <c r="AG600" s="162">
        <v>2.8613</v>
      </c>
      <c r="AH600" s="162">
        <v>2.8498000000000001</v>
      </c>
      <c r="AI600" s="162">
        <v>2.8382999999999998</v>
      </c>
      <c r="AJ600" s="162">
        <v>2.8267000000000002</v>
      </c>
      <c r="AK600" s="162">
        <v>2.8151999999999999</v>
      </c>
      <c r="AL600" s="162">
        <v>2.794</v>
      </c>
      <c r="AM600" s="162">
        <v>2.7725</v>
      </c>
      <c r="AN600" s="162">
        <v>2.7501000000000002</v>
      </c>
      <c r="AO600" s="162">
        <v>2.7277</v>
      </c>
      <c r="AP600" s="162">
        <v>2.706</v>
      </c>
      <c r="AQ600" s="162">
        <v>2.6810999999999998</v>
      </c>
      <c r="AR600" s="162">
        <v>2.6594000000000002</v>
      </c>
      <c r="AS600" s="162">
        <v>2.6387999999999998</v>
      </c>
      <c r="AT600" s="162">
        <v>2.6202000000000001</v>
      </c>
      <c r="AU600" s="162">
        <v>2.6063000000000001</v>
      </c>
    </row>
    <row r="601" spans="1:47" ht="12.75" customHeight="1">
      <c r="A601" s="459">
        <v>45100</v>
      </c>
      <c r="B601" s="139">
        <v>25</v>
      </c>
      <c r="C601" s="162">
        <v>3.1478000000000002</v>
      </c>
      <c r="D601" s="162">
        <v>3.1478000000000002</v>
      </c>
      <c r="E601" s="162">
        <v>3.2465000000000002</v>
      </c>
      <c r="F601" s="162">
        <v>3.3178999999999998</v>
      </c>
      <c r="G601" s="162">
        <v>3.3589000000000002</v>
      </c>
      <c r="H601" s="162">
        <v>3.4317000000000002</v>
      </c>
      <c r="I601" s="162">
        <v>3.4935</v>
      </c>
      <c r="J601" s="162">
        <v>3.5575999999999999</v>
      </c>
      <c r="K601" s="162">
        <v>3.6044</v>
      </c>
      <c r="L601" s="162">
        <v>3.6375999999999999</v>
      </c>
      <c r="M601" s="162">
        <v>3.6640000000000001</v>
      </c>
      <c r="N601" s="162">
        <v>3.6819000000000002</v>
      </c>
      <c r="O601" s="162">
        <v>3.6915</v>
      </c>
      <c r="P601" s="162">
        <v>3.6960000000000002</v>
      </c>
      <c r="Q601" s="162">
        <v>3.6920000000000002</v>
      </c>
      <c r="R601" s="162">
        <v>3.6859000000000002</v>
      </c>
      <c r="S601" s="162">
        <v>3.4289999999999998</v>
      </c>
      <c r="T601" s="162">
        <v>3.1960999999999999</v>
      </c>
      <c r="U601" s="162">
        <v>3.0327000000000002</v>
      </c>
      <c r="V601" s="162">
        <v>2.9325999999999999</v>
      </c>
      <c r="W601" s="162">
        <v>2.8755000000000002</v>
      </c>
      <c r="X601" s="162">
        <v>2.8420000000000001</v>
      </c>
      <c r="Y601" s="162">
        <v>2.8296999999999999</v>
      </c>
      <c r="Z601" s="162">
        <v>2.8271000000000002</v>
      </c>
      <c r="AA601" s="162">
        <v>2.8376999999999999</v>
      </c>
      <c r="AB601" s="162">
        <v>2.8517999999999999</v>
      </c>
      <c r="AC601" s="162">
        <v>2.8654999999999999</v>
      </c>
      <c r="AD601" s="162">
        <v>2.8801000000000001</v>
      </c>
      <c r="AE601" s="162">
        <v>2.8898999999999999</v>
      </c>
      <c r="AF601" s="162">
        <v>2.8915000000000002</v>
      </c>
      <c r="AG601" s="162">
        <v>2.8792</v>
      </c>
      <c r="AH601" s="162">
        <v>2.8668999999999998</v>
      </c>
      <c r="AI601" s="162">
        <v>2.8546</v>
      </c>
      <c r="AJ601" s="162">
        <v>2.8422000000000001</v>
      </c>
      <c r="AK601" s="162">
        <v>2.8298999999999999</v>
      </c>
      <c r="AL601" s="162">
        <v>2.8073999999999999</v>
      </c>
      <c r="AM601" s="162">
        <v>2.7846000000000002</v>
      </c>
      <c r="AN601" s="162">
        <v>2.7618</v>
      </c>
      <c r="AO601" s="162">
        <v>2.7382</v>
      </c>
      <c r="AP601" s="162">
        <v>2.7151999999999998</v>
      </c>
      <c r="AQ601" s="162">
        <v>2.7002999999999999</v>
      </c>
      <c r="AR601" s="162">
        <v>2.6774</v>
      </c>
      <c r="AS601" s="162">
        <v>2.6577000000000002</v>
      </c>
      <c r="AT601" s="162">
        <v>2.6377999999999999</v>
      </c>
      <c r="AU601" s="162">
        <v>2.6128999999999998</v>
      </c>
    </row>
    <row r="602" spans="1:47" ht="12.75" customHeight="1">
      <c r="A602" s="459">
        <v>45107</v>
      </c>
      <c r="B602" s="139">
        <v>26</v>
      </c>
      <c r="C602" s="162">
        <v>3.27</v>
      </c>
      <c r="D602" s="162">
        <v>3.27</v>
      </c>
      <c r="E602" s="162">
        <v>3.3912</v>
      </c>
      <c r="F602" s="162">
        <v>3.3919999999999999</v>
      </c>
      <c r="G602" s="162">
        <v>3.3950999999999998</v>
      </c>
      <c r="H602" s="162">
        <v>3.4824000000000002</v>
      </c>
      <c r="I602" s="162">
        <v>3.5449000000000002</v>
      </c>
      <c r="J602" s="162">
        <v>3.6177000000000001</v>
      </c>
      <c r="K602" s="162">
        <v>3.6764000000000001</v>
      </c>
      <c r="L602" s="162">
        <v>3.7214</v>
      </c>
      <c r="M602" s="162">
        <v>3.7568000000000001</v>
      </c>
      <c r="N602" s="162">
        <v>3.7820999999999998</v>
      </c>
      <c r="O602" s="162">
        <v>3.7995000000000001</v>
      </c>
      <c r="P602" s="162">
        <v>3.8077000000000001</v>
      </c>
      <c r="Q602" s="162">
        <v>3.8089</v>
      </c>
      <c r="R602" s="162">
        <v>3.8073000000000001</v>
      </c>
      <c r="S602" s="162">
        <v>3.5491000000000001</v>
      </c>
      <c r="T602" s="162">
        <v>3.2949999999999999</v>
      </c>
      <c r="U602" s="162">
        <v>3.1107999999999998</v>
      </c>
      <c r="V602" s="162">
        <v>2.9893000000000001</v>
      </c>
      <c r="W602" s="162">
        <v>2.9144000000000001</v>
      </c>
      <c r="X602" s="162">
        <v>2.8679999999999999</v>
      </c>
      <c r="Y602" s="162">
        <v>2.8420000000000001</v>
      </c>
      <c r="Z602" s="162">
        <v>2.8298000000000001</v>
      </c>
      <c r="AA602" s="162">
        <v>2.8289</v>
      </c>
      <c r="AB602" s="162">
        <v>2.8338000000000001</v>
      </c>
      <c r="AC602" s="162">
        <v>2.8416999999999999</v>
      </c>
      <c r="AD602" s="162">
        <v>2.8462999999999998</v>
      </c>
      <c r="AE602" s="162">
        <v>2.8517000000000001</v>
      </c>
      <c r="AF602" s="162">
        <v>2.8504</v>
      </c>
      <c r="AG602" s="162">
        <v>2.8348</v>
      </c>
      <c r="AH602" s="162">
        <v>2.8193000000000001</v>
      </c>
      <c r="AI602" s="162">
        <v>2.8037000000000001</v>
      </c>
      <c r="AJ602" s="162">
        <v>2.7881999999999998</v>
      </c>
      <c r="AK602" s="162">
        <v>2.7726000000000002</v>
      </c>
      <c r="AL602" s="162">
        <v>2.7480000000000002</v>
      </c>
      <c r="AM602" s="162">
        <v>2.7248999999999999</v>
      </c>
      <c r="AN602" s="162">
        <v>2.7004000000000001</v>
      </c>
      <c r="AO602" s="162">
        <v>2.6760000000000002</v>
      </c>
      <c r="AP602" s="162">
        <v>2.6528999999999998</v>
      </c>
      <c r="AQ602" s="162">
        <v>2.6259000000000001</v>
      </c>
      <c r="AR602" s="162">
        <v>2.6036000000000001</v>
      </c>
      <c r="AS602" s="162">
        <v>2.5825999999999998</v>
      </c>
      <c r="AT602" s="162">
        <v>2.5626000000000002</v>
      </c>
      <c r="AU602" s="162">
        <v>2.5480999999999998</v>
      </c>
    </row>
    <row r="603" spans="1:47" ht="12.75" customHeight="1">
      <c r="A603" s="459">
        <v>45114</v>
      </c>
      <c r="B603" s="139">
        <v>27</v>
      </c>
      <c r="C603" s="162">
        <v>3.3993000000000002</v>
      </c>
      <c r="D603" s="162">
        <v>3.3993000000000002</v>
      </c>
      <c r="E603" s="162">
        <v>3.3936999999999999</v>
      </c>
      <c r="F603" s="162">
        <v>3.3952</v>
      </c>
      <c r="G603" s="162">
        <v>3.4022999999999999</v>
      </c>
      <c r="H603" s="162">
        <v>3.51</v>
      </c>
      <c r="I603" s="162">
        <v>3.5739000000000001</v>
      </c>
      <c r="J603" s="162">
        <v>3.6402000000000001</v>
      </c>
      <c r="K603" s="162">
        <v>3.6907999999999999</v>
      </c>
      <c r="L603" s="162">
        <v>3.7292999999999998</v>
      </c>
      <c r="M603" s="162">
        <v>3.7639999999999998</v>
      </c>
      <c r="N603" s="162">
        <v>3.7875999999999999</v>
      </c>
      <c r="O603" s="162">
        <v>3.806</v>
      </c>
      <c r="P603" s="162">
        <v>3.8161</v>
      </c>
      <c r="Q603" s="162">
        <v>3.8206000000000002</v>
      </c>
      <c r="R603" s="162">
        <v>3.8224999999999998</v>
      </c>
      <c r="S603" s="162">
        <v>3.5716000000000001</v>
      </c>
      <c r="T603" s="162">
        <v>3.2995000000000001</v>
      </c>
      <c r="U603" s="162">
        <v>3.1012</v>
      </c>
      <c r="V603" s="162">
        <v>2.9689999999999999</v>
      </c>
      <c r="W603" s="162">
        <v>2.8847</v>
      </c>
      <c r="X603" s="162">
        <v>2.8330000000000002</v>
      </c>
      <c r="Y603" s="162">
        <v>2.8026</v>
      </c>
      <c r="Z603" s="162">
        <v>2.7852999999999999</v>
      </c>
      <c r="AA603" s="162">
        <v>2.7814000000000001</v>
      </c>
      <c r="AB603" s="162">
        <v>2.7835000000000001</v>
      </c>
      <c r="AC603" s="162">
        <v>2.7866</v>
      </c>
      <c r="AD603" s="162">
        <v>2.7900999999999998</v>
      </c>
      <c r="AE603" s="162">
        <v>2.7913999999999999</v>
      </c>
      <c r="AF603" s="162">
        <v>2.7884000000000002</v>
      </c>
      <c r="AG603" s="162">
        <v>2.7719999999999998</v>
      </c>
      <c r="AH603" s="162">
        <v>2.7555999999999998</v>
      </c>
      <c r="AI603" s="162">
        <v>2.7391999999999999</v>
      </c>
      <c r="AJ603" s="162">
        <v>2.7227999999999999</v>
      </c>
      <c r="AK603" s="162">
        <v>2.7063999999999999</v>
      </c>
      <c r="AL603" s="162">
        <v>2.6821999999999999</v>
      </c>
      <c r="AM603" s="162">
        <v>2.6581999999999999</v>
      </c>
      <c r="AN603" s="162">
        <v>2.6341999999999999</v>
      </c>
      <c r="AO603" s="162">
        <v>2.6097999999999999</v>
      </c>
      <c r="AP603" s="162">
        <v>2.5865999999999998</v>
      </c>
      <c r="AQ603" s="162">
        <v>2.5636000000000001</v>
      </c>
      <c r="AR603" s="162">
        <v>2.5417999999999998</v>
      </c>
      <c r="AS603" s="162">
        <v>2.5209000000000001</v>
      </c>
      <c r="AT603" s="162">
        <v>2.5009999999999999</v>
      </c>
      <c r="AU603" s="162">
        <v>2.4817</v>
      </c>
    </row>
    <row r="604" spans="1:47" ht="12.75" customHeight="1">
      <c r="A604" s="459">
        <v>45121</v>
      </c>
      <c r="B604" s="139">
        <v>28</v>
      </c>
      <c r="C604" s="162">
        <v>3.4007999999999998</v>
      </c>
      <c r="D604" s="162">
        <v>3.4007999999999998</v>
      </c>
      <c r="E604" s="162">
        <v>3.3940000000000001</v>
      </c>
      <c r="F604" s="162">
        <v>3.3952</v>
      </c>
      <c r="G604" s="162">
        <v>3.4287000000000001</v>
      </c>
      <c r="H604" s="162">
        <v>3.5291999999999999</v>
      </c>
      <c r="I604" s="162">
        <v>3.5972</v>
      </c>
      <c r="J604" s="162">
        <v>3.6593</v>
      </c>
      <c r="K604" s="162">
        <v>3.7067999999999999</v>
      </c>
      <c r="L604" s="162">
        <v>3.7481</v>
      </c>
      <c r="M604" s="162">
        <v>3.7814000000000001</v>
      </c>
      <c r="N604" s="162">
        <v>3.8058000000000001</v>
      </c>
      <c r="O604" s="162">
        <v>3.8273000000000001</v>
      </c>
      <c r="P604" s="162">
        <v>3.8397000000000001</v>
      </c>
      <c r="Q604" s="162">
        <v>3.8483999999999998</v>
      </c>
      <c r="R604" s="162">
        <v>3.8525999999999998</v>
      </c>
      <c r="S604" s="162">
        <v>3.6406000000000001</v>
      </c>
      <c r="T604" s="162">
        <v>3.3858000000000001</v>
      </c>
      <c r="U604" s="162">
        <v>3.1898</v>
      </c>
      <c r="V604" s="162">
        <v>3.0581999999999998</v>
      </c>
      <c r="W604" s="162">
        <v>2.9721000000000002</v>
      </c>
      <c r="X604" s="162">
        <v>2.9154</v>
      </c>
      <c r="Y604" s="162">
        <v>2.8815</v>
      </c>
      <c r="Z604" s="162">
        <v>2.8614000000000002</v>
      </c>
      <c r="AA604" s="162">
        <v>2.8517999999999999</v>
      </c>
      <c r="AB604" s="162">
        <v>2.8544999999999998</v>
      </c>
      <c r="AC604" s="162">
        <v>2.8561000000000001</v>
      </c>
      <c r="AD604" s="162">
        <v>2.8553999999999999</v>
      </c>
      <c r="AE604" s="162">
        <v>2.8540000000000001</v>
      </c>
      <c r="AF604" s="162">
        <v>2.8498000000000001</v>
      </c>
      <c r="AG604" s="162">
        <v>2.8311999999999999</v>
      </c>
      <c r="AH604" s="162">
        <v>2.8126000000000002</v>
      </c>
      <c r="AI604" s="162">
        <v>2.794</v>
      </c>
      <c r="AJ604" s="162">
        <v>2.7755000000000001</v>
      </c>
      <c r="AK604" s="162">
        <v>2.7568999999999999</v>
      </c>
      <c r="AL604" s="162">
        <v>2.7294999999999998</v>
      </c>
      <c r="AM604" s="162">
        <v>2.7033</v>
      </c>
      <c r="AN604" s="162">
        <v>2.6783000000000001</v>
      </c>
      <c r="AO604" s="162">
        <v>2.6533000000000002</v>
      </c>
      <c r="AP604" s="162">
        <v>2.6299000000000001</v>
      </c>
      <c r="AQ604" s="162">
        <v>2.6082999999999998</v>
      </c>
      <c r="AR604" s="162">
        <v>2.5853000000000002</v>
      </c>
      <c r="AS604" s="162">
        <v>2.5638000000000001</v>
      </c>
      <c r="AT604" s="162">
        <v>2.5428000000000002</v>
      </c>
      <c r="AU604" s="162">
        <v>2.5221</v>
      </c>
    </row>
    <row r="605" spans="1:47" ht="12.75" customHeight="1">
      <c r="A605" s="459">
        <v>45128</v>
      </c>
      <c r="B605" s="139">
        <v>29</v>
      </c>
      <c r="C605" s="162">
        <v>3.4045000000000001</v>
      </c>
      <c r="D605" s="162">
        <v>3.4045000000000001</v>
      </c>
      <c r="E605" s="162">
        <v>3.4005000000000001</v>
      </c>
      <c r="F605" s="162">
        <v>3.4022999999999999</v>
      </c>
      <c r="G605" s="162">
        <v>3.4866000000000001</v>
      </c>
      <c r="H605" s="162">
        <v>3.5649999999999999</v>
      </c>
      <c r="I605" s="162">
        <v>3.6385999999999998</v>
      </c>
      <c r="J605" s="162">
        <v>3.6989999999999998</v>
      </c>
      <c r="K605" s="162">
        <v>3.7444000000000002</v>
      </c>
      <c r="L605" s="162">
        <v>3.7852999999999999</v>
      </c>
      <c r="M605" s="162">
        <v>3.8188</v>
      </c>
      <c r="N605" s="162">
        <v>3.8431999999999999</v>
      </c>
      <c r="O605" s="162">
        <v>3.863</v>
      </c>
      <c r="P605" s="162">
        <v>3.8742999999999999</v>
      </c>
      <c r="Q605" s="162">
        <v>3.8841000000000001</v>
      </c>
      <c r="R605" s="162">
        <v>3.8875000000000002</v>
      </c>
      <c r="S605" s="162">
        <v>3.6793</v>
      </c>
      <c r="T605" s="162">
        <v>3.4474999999999998</v>
      </c>
      <c r="U605" s="162">
        <v>3.2814000000000001</v>
      </c>
      <c r="V605" s="162">
        <v>3.1737000000000002</v>
      </c>
      <c r="W605" s="162">
        <v>3.1080000000000001</v>
      </c>
      <c r="X605" s="162">
        <v>3.0665</v>
      </c>
      <c r="Y605" s="162">
        <v>3.0409000000000002</v>
      </c>
      <c r="Z605" s="162">
        <v>3.0278</v>
      </c>
      <c r="AA605" s="162">
        <v>3.028</v>
      </c>
      <c r="AB605" s="162">
        <v>3.0360999999999998</v>
      </c>
      <c r="AC605" s="162">
        <v>3.0415999999999999</v>
      </c>
      <c r="AD605" s="162">
        <v>3.0428999999999999</v>
      </c>
      <c r="AE605" s="162">
        <v>3.0465</v>
      </c>
      <c r="AF605" s="162">
        <v>3.0419999999999998</v>
      </c>
      <c r="AG605" s="162">
        <v>3.0222000000000002</v>
      </c>
      <c r="AH605" s="162">
        <v>3.0024000000000002</v>
      </c>
      <c r="AI605" s="162">
        <v>2.9826999999999999</v>
      </c>
      <c r="AJ605" s="162">
        <v>2.9628999999999999</v>
      </c>
      <c r="AK605" s="162">
        <v>2.9430999999999998</v>
      </c>
      <c r="AL605" s="162">
        <v>2.9146000000000001</v>
      </c>
      <c r="AM605" s="162">
        <v>2.8879999999999999</v>
      </c>
      <c r="AN605" s="162">
        <v>2.8607999999999998</v>
      </c>
      <c r="AO605" s="162">
        <v>2.8342999999999998</v>
      </c>
      <c r="AP605" s="162">
        <v>2.8083</v>
      </c>
      <c r="AQ605" s="162">
        <v>2.7837999999999998</v>
      </c>
      <c r="AR605" s="162">
        <v>2.7597999999999998</v>
      </c>
      <c r="AS605" s="162">
        <v>2.7370000000000001</v>
      </c>
      <c r="AT605" s="162">
        <v>2.7149999999999999</v>
      </c>
      <c r="AU605" s="162">
        <v>2.6949999999999998</v>
      </c>
    </row>
    <row r="606" spans="1:47" ht="12.75" customHeight="1">
      <c r="A606" s="459">
        <v>45135</v>
      </c>
      <c r="B606" s="139">
        <v>30</v>
      </c>
      <c r="C606" s="162">
        <v>3.4003999999999999</v>
      </c>
      <c r="D606" s="162">
        <v>3.4003999999999999</v>
      </c>
      <c r="E606" s="162">
        <v>3.4026999999999998</v>
      </c>
      <c r="F606" s="162">
        <v>3.4161000000000001</v>
      </c>
      <c r="G606" s="162">
        <v>3.5417000000000001</v>
      </c>
      <c r="H606" s="162">
        <v>3.5962000000000001</v>
      </c>
      <c r="I606" s="162">
        <v>3.6718000000000002</v>
      </c>
      <c r="J606" s="162">
        <v>3.7242999999999999</v>
      </c>
      <c r="K606" s="162">
        <v>3.7606999999999999</v>
      </c>
      <c r="L606" s="162">
        <v>3.7947000000000002</v>
      </c>
      <c r="M606" s="162">
        <v>3.8180999999999998</v>
      </c>
      <c r="N606" s="162">
        <v>3.8340000000000001</v>
      </c>
      <c r="O606" s="162">
        <v>3.8452999999999999</v>
      </c>
      <c r="P606" s="162">
        <v>3.8485999999999998</v>
      </c>
      <c r="Q606" s="162">
        <v>3.8513000000000002</v>
      </c>
      <c r="R606" s="162">
        <v>3.8494000000000002</v>
      </c>
      <c r="S606" s="162">
        <v>3.5638000000000001</v>
      </c>
      <c r="T606" s="162">
        <v>3.2959999999999998</v>
      </c>
      <c r="U606" s="162">
        <v>3.1126</v>
      </c>
      <c r="V606" s="162">
        <v>2.9952999999999999</v>
      </c>
      <c r="W606" s="162">
        <v>2.9243000000000001</v>
      </c>
      <c r="X606" s="162">
        <v>2.8803000000000001</v>
      </c>
      <c r="Y606" s="162">
        <v>2.8573</v>
      </c>
      <c r="Z606" s="162">
        <v>2.8468</v>
      </c>
      <c r="AA606" s="162">
        <v>2.8502000000000001</v>
      </c>
      <c r="AB606" s="162">
        <v>2.8578000000000001</v>
      </c>
      <c r="AC606" s="162">
        <v>2.8675000000000002</v>
      </c>
      <c r="AD606" s="162">
        <v>2.8763999999999998</v>
      </c>
      <c r="AE606" s="162">
        <v>2.8795000000000002</v>
      </c>
      <c r="AF606" s="162">
        <v>2.8791000000000002</v>
      </c>
      <c r="AG606" s="162">
        <v>2.8633999999999999</v>
      </c>
      <c r="AH606" s="162">
        <v>2.8477999999999999</v>
      </c>
      <c r="AI606" s="162">
        <v>2.8321000000000001</v>
      </c>
      <c r="AJ606" s="162">
        <v>2.8165</v>
      </c>
      <c r="AK606" s="162">
        <v>2.8008000000000002</v>
      </c>
      <c r="AL606" s="162">
        <v>2.7745000000000002</v>
      </c>
      <c r="AM606" s="162">
        <v>2.7509999999999999</v>
      </c>
      <c r="AN606" s="162">
        <v>2.7261000000000002</v>
      </c>
      <c r="AO606" s="162">
        <v>2.7018</v>
      </c>
      <c r="AP606" s="162">
        <v>2.6777000000000002</v>
      </c>
      <c r="AQ606" s="162">
        <v>2.6505000000000001</v>
      </c>
      <c r="AR606" s="162">
        <v>2.6284000000000001</v>
      </c>
      <c r="AS606" s="162">
        <v>2.6065</v>
      </c>
      <c r="AT606" s="162">
        <v>2.5861000000000001</v>
      </c>
      <c r="AU606" s="162">
        <v>2.5712000000000002</v>
      </c>
    </row>
    <row r="607" spans="1:47" ht="12.75" customHeight="1">
      <c r="A607" s="459">
        <v>45142</v>
      </c>
      <c r="B607" s="139">
        <v>31</v>
      </c>
      <c r="C607" s="162">
        <v>3.4043000000000001</v>
      </c>
      <c r="D607" s="162">
        <v>3.4043000000000001</v>
      </c>
      <c r="E607" s="162">
        <v>3.4287000000000001</v>
      </c>
      <c r="F607" s="162">
        <v>3.5326</v>
      </c>
      <c r="G607" s="162">
        <v>3.5983000000000001</v>
      </c>
      <c r="H607" s="162">
        <v>3.6427</v>
      </c>
      <c r="I607" s="162">
        <v>3.7000999999999999</v>
      </c>
      <c r="J607" s="162">
        <v>3.7433999999999998</v>
      </c>
      <c r="K607" s="162">
        <v>3.7734000000000001</v>
      </c>
      <c r="L607" s="162">
        <v>3.7993000000000001</v>
      </c>
      <c r="M607" s="162">
        <v>3.8170000000000002</v>
      </c>
      <c r="N607" s="162">
        <v>3.8288000000000002</v>
      </c>
      <c r="O607" s="162">
        <v>3.8338999999999999</v>
      </c>
      <c r="P607" s="162">
        <v>3.8340000000000001</v>
      </c>
      <c r="Q607" s="162">
        <v>3.8311000000000002</v>
      </c>
      <c r="R607" s="162">
        <v>3.8233999999999999</v>
      </c>
      <c r="S607" s="162">
        <v>3.5270000000000001</v>
      </c>
      <c r="T607" s="162">
        <v>3.2692000000000001</v>
      </c>
      <c r="U607" s="162">
        <v>3.0931999999999999</v>
      </c>
      <c r="V607" s="162">
        <v>2.9874000000000001</v>
      </c>
      <c r="W607" s="162">
        <v>2.9220000000000002</v>
      </c>
      <c r="X607" s="162">
        <v>2.8837999999999999</v>
      </c>
      <c r="Y607" s="162">
        <v>2.8603000000000001</v>
      </c>
      <c r="Z607" s="162">
        <v>2.8519999999999999</v>
      </c>
      <c r="AA607" s="162">
        <v>2.8563999999999998</v>
      </c>
      <c r="AB607" s="162">
        <v>2.8675000000000002</v>
      </c>
      <c r="AC607" s="162">
        <v>2.8797000000000001</v>
      </c>
      <c r="AD607" s="162">
        <v>2.8910999999999998</v>
      </c>
      <c r="AE607" s="162">
        <v>2.8965000000000001</v>
      </c>
      <c r="AF607" s="162">
        <v>2.8955000000000002</v>
      </c>
      <c r="AG607" s="162">
        <v>2.8795000000000002</v>
      </c>
      <c r="AH607" s="162">
        <v>2.8635000000000002</v>
      </c>
      <c r="AI607" s="162">
        <v>2.8475999999999999</v>
      </c>
      <c r="AJ607" s="162">
        <v>2.8315999999999999</v>
      </c>
      <c r="AK607" s="162">
        <v>2.8155999999999999</v>
      </c>
      <c r="AL607" s="162">
        <v>2.7928000000000002</v>
      </c>
      <c r="AM607" s="162">
        <v>2.7688000000000001</v>
      </c>
      <c r="AN607" s="162">
        <v>2.7443</v>
      </c>
      <c r="AO607" s="162">
        <v>2.7189999999999999</v>
      </c>
      <c r="AP607" s="162">
        <v>2.6924999999999999</v>
      </c>
      <c r="AQ607" s="162">
        <v>2.6705000000000001</v>
      </c>
      <c r="AR607" s="162">
        <v>2.6461000000000001</v>
      </c>
      <c r="AS607" s="162">
        <v>2.6242999999999999</v>
      </c>
      <c r="AT607" s="162">
        <v>2.6034999999999999</v>
      </c>
      <c r="AU607" s="162">
        <v>2.5830000000000002</v>
      </c>
    </row>
    <row r="608" spans="1:47" ht="12.75" customHeight="1">
      <c r="A608" s="459">
        <v>45149</v>
      </c>
      <c r="B608" s="139">
        <v>32</v>
      </c>
      <c r="C608" s="162">
        <v>3.4007999999999998</v>
      </c>
      <c r="D608" s="162">
        <v>3.4007999999999998</v>
      </c>
      <c r="E608" s="162">
        <v>3.6383000000000001</v>
      </c>
      <c r="F608" s="162">
        <v>3.6440000000000001</v>
      </c>
      <c r="G608" s="162">
        <v>3.6494</v>
      </c>
      <c r="H608" s="162">
        <v>3.6741000000000001</v>
      </c>
      <c r="I608" s="162">
        <v>3.7052</v>
      </c>
      <c r="J608" s="162">
        <v>3.7366000000000001</v>
      </c>
      <c r="K608" s="162">
        <v>3.7587000000000002</v>
      </c>
      <c r="L608" s="162">
        <v>3.7776000000000001</v>
      </c>
      <c r="M608" s="162">
        <v>3.7911000000000001</v>
      </c>
      <c r="N608" s="162">
        <v>3.7985000000000002</v>
      </c>
      <c r="O608" s="162">
        <v>3.7972999999999999</v>
      </c>
      <c r="P608" s="162">
        <v>3.7953999999999999</v>
      </c>
      <c r="Q608" s="162">
        <v>3.7867999999999999</v>
      </c>
      <c r="R608" s="162">
        <v>3.7738</v>
      </c>
      <c r="S608" s="162">
        <v>3.4615</v>
      </c>
      <c r="T608" s="162">
        <v>3.2195</v>
      </c>
      <c r="U608" s="162">
        <v>3.0636000000000001</v>
      </c>
      <c r="V608" s="162">
        <v>2.9740000000000002</v>
      </c>
      <c r="W608" s="162">
        <v>2.9245999999999999</v>
      </c>
      <c r="X608" s="162">
        <v>2.8975</v>
      </c>
      <c r="Y608" s="162">
        <v>2.8858999999999999</v>
      </c>
      <c r="Z608" s="162">
        <v>2.8854000000000002</v>
      </c>
      <c r="AA608" s="162">
        <v>2.8971</v>
      </c>
      <c r="AB608" s="162">
        <v>2.9121000000000001</v>
      </c>
      <c r="AC608" s="162">
        <v>2.9283999999999999</v>
      </c>
      <c r="AD608" s="162">
        <v>2.9438</v>
      </c>
      <c r="AE608" s="162">
        <v>2.9565000000000001</v>
      </c>
      <c r="AF608" s="162">
        <v>2.9556</v>
      </c>
      <c r="AG608" s="162">
        <v>2.9420000000000002</v>
      </c>
      <c r="AH608" s="162">
        <v>2.9283999999999999</v>
      </c>
      <c r="AI608" s="162">
        <v>2.9148999999999998</v>
      </c>
      <c r="AJ608" s="162">
        <v>2.9013</v>
      </c>
      <c r="AK608" s="162">
        <v>2.8877999999999999</v>
      </c>
      <c r="AL608" s="162">
        <v>2.8694999999999999</v>
      </c>
      <c r="AM608" s="162">
        <v>2.8473000000000002</v>
      </c>
      <c r="AN608" s="162">
        <v>2.8239000000000001</v>
      </c>
      <c r="AO608" s="162">
        <v>2.8005</v>
      </c>
      <c r="AP608" s="162">
        <v>2.7753999999999999</v>
      </c>
      <c r="AQ608" s="162">
        <v>2.7519999999999998</v>
      </c>
      <c r="AR608" s="162">
        <v>2.7303000000000002</v>
      </c>
      <c r="AS608" s="162">
        <v>2.7098</v>
      </c>
      <c r="AT608" s="162">
        <v>2.6903999999999999</v>
      </c>
      <c r="AU608" s="162">
        <v>2.6739999999999999</v>
      </c>
    </row>
    <row r="609" spans="1:47" ht="12.75" customHeight="1">
      <c r="A609" s="459">
        <v>45156</v>
      </c>
      <c r="B609" s="139">
        <v>33</v>
      </c>
      <c r="C609" s="162">
        <v>3.6528</v>
      </c>
      <c r="D609" s="162">
        <v>3.6528</v>
      </c>
      <c r="E609" s="162">
        <v>3.6513</v>
      </c>
      <c r="F609" s="162">
        <v>3.6526000000000001</v>
      </c>
      <c r="G609" s="162">
        <v>3.6560999999999999</v>
      </c>
      <c r="H609" s="162">
        <v>3.6915</v>
      </c>
      <c r="I609" s="162">
        <v>3.7233000000000001</v>
      </c>
      <c r="J609" s="162">
        <v>3.7515000000000001</v>
      </c>
      <c r="K609" s="162">
        <v>3.7726999999999999</v>
      </c>
      <c r="L609" s="162">
        <v>3.7896999999999998</v>
      </c>
      <c r="M609" s="162">
        <v>3.8005</v>
      </c>
      <c r="N609" s="162">
        <v>3.8035999999999999</v>
      </c>
      <c r="O609" s="162">
        <v>3.7991000000000001</v>
      </c>
      <c r="P609" s="162">
        <v>3.7948</v>
      </c>
      <c r="Q609" s="162">
        <v>3.7823000000000002</v>
      </c>
      <c r="R609" s="162">
        <v>3.7650999999999999</v>
      </c>
      <c r="S609" s="162">
        <v>3.4318</v>
      </c>
      <c r="T609" s="162">
        <v>3.1968999999999999</v>
      </c>
      <c r="U609" s="162">
        <v>3.052</v>
      </c>
      <c r="V609" s="162">
        <v>2.9716</v>
      </c>
      <c r="W609" s="162">
        <v>2.9304999999999999</v>
      </c>
      <c r="X609" s="162">
        <v>2.9058000000000002</v>
      </c>
      <c r="Y609" s="162">
        <v>2.8975</v>
      </c>
      <c r="Z609" s="162">
        <v>2.8999000000000001</v>
      </c>
      <c r="AA609" s="162">
        <v>2.9150999999999998</v>
      </c>
      <c r="AB609" s="162">
        <v>2.9300999999999999</v>
      </c>
      <c r="AC609" s="162">
        <v>2.9464999999999999</v>
      </c>
      <c r="AD609" s="162">
        <v>2.9607999999999999</v>
      </c>
      <c r="AE609" s="162">
        <v>2.9725999999999999</v>
      </c>
      <c r="AF609" s="162">
        <v>2.9752000000000001</v>
      </c>
      <c r="AG609" s="162">
        <v>2.9622000000000002</v>
      </c>
      <c r="AH609" s="162">
        <v>2.9493</v>
      </c>
      <c r="AI609" s="162">
        <v>2.9363000000000001</v>
      </c>
      <c r="AJ609" s="162">
        <v>2.9232999999999998</v>
      </c>
      <c r="AK609" s="162">
        <v>2.9104000000000001</v>
      </c>
      <c r="AL609" s="162">
        <v>2.8877999999999999</v>
      </c>
      <c r="AM609" s="162">
        <v>2.8645</v>
      </c>
      <c r="AN609" s="162">
        <v>2.8414999999999999</v>
      </c>
      <c r="AO609" s="162">
        <v>2.8174999999999999</v>
      </c>
      <c r="AP609" s="162">
        <v>2.7930999999999999</v>
      </c>
      <c r="AQ609" s="162">
        <v>2.7713000000000001</v>
      </c>
      <c r="AR609" s="162">
        <v>2.75</v>
      </c>
      <c r="AS609" s="162">
        <v>2.7294999999999998</v>
      </c>
      <c r="AT609" s="162">
        <v>2.7098</v>
      </c>
      <c r="AU609" s="162">
        <v>2.6913</v>
      </c>
    </row>
    <row r="610" spans="1:47" ht="12.75" customHeight="1">
      <c r="A610" s="459">
        <v>45163</v>
      </c>
      <c r="B610" s="139">
        <v>34</v>
      </c>
      <c r="C610" s="162">
        <v>3.6543999999999999</v>
      </c>
      <c r="D610" s="162">
        <v>3.6543999999999999</v>
      </c>
      <c r="E610" s="162">
        <v>3.6518999999999999</v>
      </c>
      <c r="F610" s="162">
        <v>3.6532</v>
      </c>
      <c r="G610" s="162">
        <v>3.6566000000000001</v>
      </c>
      <c r="H610" s="162">
        <v>3.7151000000000001</v>
      </c>
      <c r="I610" s="162">
        <v>3.7534999999999998</v>
      </c>
      <c r="J610" s="162">
        <v>3.7823000000000002</v>
      </c>
      <c r="K610" s="162">
        <v>3.8054999999999999</v>
      </c>
      <c r="L610" s="162">
        <v>3.8229000000000002</v>
      </c>
      <c r="M610" s="162">
        <v>3.8353000000000002</v>
      </c>
      <c r="N610" s="162">
        <v>3.8418000000000001</v>
      </c>
      <c r="O610" s="162">
        <v>3.8405</v>
      </c>
      <c r="P610" s="162">
        <v>3.8393000000000002</v>
      </c>
      <c r="Q610" s="162">
        <v>3.8327</v>
      </c>
      <c r="R610" s="162">
        <v>3.8201999999999998</v>
      </c>
      <c r="S610" s="162">
        <v>3.5343</v>
      </c>
      <c r="T610" s="162">
        <v>3.3108</v>
      </c>
      <c r="U610" s="162">
        <v>3.1680999999999999</v>
      </c>
      <c r="V610" s="162">
        <v>3.0901000000000001</v>
      </c>
      <c r="W610" s="162">
        <v>3.0485000000000002</v>
      </c>
      <c r="X610" s="162">
        <v>3.0232000000000001</v>
      </c>
      <c r="Y610" s="162">
        <v>3.0156999999999998</v>
      </c>
      <c r="Z610" s="162">
        <v>3.0169999999999999</v>
      </c>
      <c r="AA610" s="162">
        <v>3.0270000000000001</v>
      </c>
      <c r="AB610" s="162">
        <v>3.0445000000000002</v>
      </c>
      <c r="AC610" s="162">
        <v>3.0590999999999999</v>
      </c>
      <c r="AD610" s="162">
        <v>3.0724999999999998</v>
      </c>
      <c r="AE610" s="162">
        <v>3.085</v>
      </c>
      <c r="AF610" s="162">
        <v>3.0853000000000002</v>
      </c>
      <c r="AG610" s="162">
        <v>3.0716000000000001</v>
      </c>
      <c r="AH610" s="162">
        <v>3.0579999999999998</v>
      </c>
      <c r="AI610" s="162">
        <v>3.0444</v>
      </c>
      <c r="AJ610" s="162">
        <v>3.0308000000000002</v>
      </c>
      <c r="AK610" s="162">
        <v>3.0171999999999999</v>
      </c>
      <c r="AL610" s="162">
        <v>2.9958</v>
      </c>
      <c r="AM610" s="162">
        <v>2.9725000000000001</v>
      </c>
      <c r="AN610" s="162">
        <v>2.9487999999999999</v>
      </c>
      <c r="AO610" s="162">
        <v>2.9253</v>
      </c>
      <c r="AP610" s="162">
        <v>2.9024999999999999</v>
      </c>
      <c r="AQ610" s="162">
        <v>2.8822999999999999</v>
      </c>
      <c r="AR610" s="162">
        <v>2.8597999999999999</v>
      </c>
      <c r="AS610" s="162">
        <v>2.839</v>
      </c>
      <c r="AT610" s="162">
        <v>2.8188</v>
      </c>
      <c r="AU610" s="162">
        <v>2.7984</v>
      </c>
    </row>
    <row r="611" spans="1:47" ht="12.75" customHeight="1">
      <c r="A611" s="459">
        <v>45170</v>
      </c>
      <c r="B611" s="139">
        <v>35</v>
      </c>
      <c r="C611" s="162">
        <v>3.6545000000000001</v>
      </c>
      <c r="D611" s="162">
        <v>3.6545000000000001</v>
      </c>
      <c r="E611" s="162">
        <v>3.6539000000000001</v>
      </c>
      <c r="F611" s="162">
        <v>3.6549</v>
      </c>
      <c r="G611" s="162">
        <v>3.6745000000000001</v>
      </c>
      <c r="H611" s="162">
        <v>3.7309999999999999</v>
      </c>
      <c r="I611" s="162">
        <v>3.7681</v>
      </c>
      <c r="J611" s="162">
        <v>3.7945000000000002</v>
      </c>
      <c r="K611" s="162">
        <v>3.8128000000000002</v>
      </c>
      <c r="L611" s="162">
        <v>3.827</v>
      </c>
      <c r="M611" s="162">
        <v>3.8355000000000001</v>
      </c>
      <c r="N611" s="162">
        <v>3.8378000000000001</v>
      </c>
      <c r="O611" s="162">
        <v>3.8325</v>
      </c>
      <c r="P611" s="162">
        <v>3.8264999999999998</v>
      </c>
      <c r="Q611" s="162">
        <v>3.8170999999999999</v>
      </c>
      <c r="R611" s="162">
        <v>3.7995000000000001</v>
      </c>
      <c r="S611" s="162">
        <v>3.4876</v>
      </c>
      <c r="T611" s="162">
        <v>3.262</v>
      </c>
      <c r="U611" s="162">
        <v>3.1257000000000001</v>
      </c>
      <c r="V611" s="162">
        <v>3.052</v>
      </c>
      <c r="W611" s="162">
        <v>3.012</v>
      </c>
      <c r="X611" s="162">
        <v>2.9908000000000001</v>
      </c>
      <c r="Y611" s="162">
        <v>2.9866999999999999</v>
      </c>
      <c r="Z611" s="162">
        <v>2.9910999999999999</v>
      </c>
      <c r="AA611" s="162">
        <v>3.0064000000000002</v>
      </c>
      <c r="AB611" s="162">
        <v>3.0243000000000002</v>
      </c>
      <c r="AC611" s="162">
        <v>3.0423</v>
      </c>
      <c r="AD611" s="162">
        <v>3.0573999999999999</v>
      </c>
      <c r="AE611" s="162">
        <v>3.0684999999999998</v>
      </c>
      <c r="AF611" s="162">
        <v>3.073</v>
      </c>
      <c r="AG611" s="162">
        <v>3.06</v>
      </c>
      <c r="AH611" s="162">
        <v>3.0470000000000002</v>
      </c>
      <c r="AI611" s="162">
        <v>3.0339999999999998</v>
      </c>
      <c r="AJ611" s="162">
        <v>3.0209999999999999</v>
      </c>
      <c r="AK611" s="162">
        <v>3.008</v>
      </c>
      <c r="AL611" s="162">
        <v>2.988</v>
      </c>
      <c r="AM611" s="162">
        <v>2.9649999999999999</v>
      </c>
      <c r="AN611" s="162">
        <v>2.9418000000000002</v>
      </c>
      <c r="AO611" s="162">
        <v>2.9182999999999999</v>
      </c>
      <c r="AP611" s="162">
        <v>2.8940000000000001</v>
      </c>
      <c r="AQ611" s="162">
        <v>2.8713000000000002</v>
      </c>
      <c r="AR611" s="162">
        <v>2.8496000000000001</v>
      </c>
      <c r="AS611" s="162">
        <v>2.8288000000000002</v>
      </c>
      <c r="AT611" s="162">
        <v>2.8094999999999999</v>
      </c>
      <c r="AU611" s="162">
        <v>2.7932000000000001</v>
      </c>
    </row>
    <row r="612" spans="1:47" ht="12.75" customHeight="1">
      <c r="A612" s="459">
        <v>45177</v>
      </c>
      <c r="B612" s="139">
        <v>36</v>
      </c>
      <c r="C612" s="162">
        <v>3.6509999999999998</v>
      </c>
      <c r="D612" s="162">
        <v>3.6509999999999998</v>
      </c>
      <c r="E612" s="162">
        <v>3.6532</v>
      </c>
      <c r="F612" s="162">
        <v>3.6545999999999998</v>
      </c>
      <c r="G612" s="162">
        <v>3.6922000000000001</v>
      </c>
      <c r="H612" s="162">
        <v>3.7349999999999999</v>
      </c>
      <c r="I612" s="162">
        <v>3.7711000000000001</v>
      </c>
      <c r="J612" s="162">
        <v>3.7949000000000002</v>
      </c>
      <c r="K612" s="162">
        <v>3.8161</v>
      </c>
      <c r="L612" s="162">
        <v>3.8281999999999998</v>
      </c>
      <c r="M612" s="162">
        <v>3.8367</v>
      </c>
      <c r="N612" s="162">
        <v>3.8376000000000001</v>
      </c>
      <c r="O612" s="162">
        <v>3.8334999999999999</v>
      </c>
      <c r="P612" s="162">
        <v>3.8279000000000001</v>
      </c>
      <c r="Q612" s="162">
        <v>3.8169</v>
      </c>
      <c r="R612" s="162">
        <v>3.8001</v>
      </c>
      <c r="S612" s="162">
        <v>3.4799000000000002</v>
      </c>
      <c r="T612" s="162">
        <v>3.2357999999999998</v>
      </c>
      <c r="U612" s="162">
        <v>3.09</v>
      </c>
      <c r="V612" s="162">
        <v>3.0028999999999999</v>
      </c>
      <c r="W612" s="162">
        <v>2.9544000000000001</v>
      </c>
      <c r="X612" s="162">
        <v>2.9289000000000001</v>
      </c>
      <c r="Y612" s="162">
        <v>2.9207000000000001</v>
      </c>
      <c r="Z612" s="162">
        <v>2.9211999999999998</v>
      </c>
      <c r="AA612" s="162">
        <v>2.9355000000000002</v>
      </c>
      <c r="AB612" s="162">
        <v>2.9508000000000001</v>
      </c>
      <c r="AC612" s="162">
        <v>2.9672999999999998</v>
      </c>
      <c r="AD612" s="162">
        <v>2.9842</v>
      </c>
      <c r="AE612" s="162">
        <v>2.9961000000000002</v>
      </c>
      <c r="AF612" s="162">
        <v>2.9994999999999998</v>
      </c>
      <c r="AG612" s="162">
        <v>2.9876999999999998</v>
      </c>
      <c r="AH612" s="162">
        <v>2.9759000000000002</v>
      </c>
      <c r="AI612" s="162">
        <v>2.9641000000000002</v>
      </c>
      <c r="AJ612" s="162">
        <v>2.9523000000000001</v>
      </c>
      <c r="AK612" s="162">
        <v>2.9405999999999999</v>
      </c>
      <c r="AL612" s="162">
        <v>2.9188000000000001</v>
      </c>
      <c r="AM612" s="162">
        <v>2.8963999999999999</v>
      </c>
      <c r="AN612" s="162">
        <v>2.8734000000000002</v>
      </c>
      <c r="AO612" s="162">
        <v>2.8511000000000002</v>
      </c>
      <c r="AP612" s="162">
        <v>2.8275999999999999</v>
      </c>
      <c r="AQ612" s="162">
        <v>2.8064</v>
      </c>
      <c r="AR612" s="162">
        <v>2.7850000000000001</v>
      </c>
      <c r="AS612" s="162">
        <v>2.7648999999999999</v>
      </c>
      <c r="AT612" s="162">
        <v>2.7452000000000001</v>
      </c>
      <c r="AU612" s="162">
        <v>2.7263000000000002</v>
      </c>
    </row>
    <row r="613" spans="1:47" ht="12.75" customHeight="1">
      <c r="A613" s="459">
        <v>45184</v>
      </c>
      <c r="B613" s="139">
        <v>37</v>
      </c>
      <c r="C613" s="162">
        <v>3.6503000000000001</v>
      </c>
      <c r="D613" s="162">
        <v>3.6503000000000001</v>
      </c>
      <c r="E613" s="162">
        <v>3.6522999999999999</v>
      </c>
      <c r="F613" s="162">
        <v>3.6574</v>
      </c>
      <c r="G613" s="162">
        <v>3.6943000000000001</v>
      </c>
      <c r="H613" s="162">
        <v>3.7208000000000001</v>
      </c>
      <c r="I613" s="162">
        <v>3.7492999999999999</v>
      </c>
      <c r="J613" s="162">
        <v>3.7717000000000001</v>
      </c>
      <c r="K613" s="162">
        <v>3.7884000000000002</v>
      </c>
      <c r="L613" s="162">
        <v>3.7987000000000002</v>
      </c>
      <c r="M613" s="162">
        <v>3.8029000000000002</v>
      </c>
      <c r="N613" s="162">
        <v>3.7993000000000001</v>
      </c>
      <c r="O613" s="162">
        <v>3.7948</v>
      </c>
      <c r="P613" s="162">
        <v>3.7850999999999999</v>
      </c>
      <c r="Q613" s="162">
        <v>3.7706</v>
      </c>
      <c r="R613" s="162">
        <v>3.7524999999999999</v>
      </c>
      <c r="S613" s="162">
        <v>3.423</v>
      </c>
      <c r="T613" s="162">
        <v>3.1945000000000001</v>
      </c>
      <c r="U613" s="162">
        <v>3.0670000000000002</v>
      </c>
      <c r="V613" s="162">
        <v>2.9964</v>
      </c>
      <c r="W613" s="162">
        <v>2.9622999999999999</v>
      </c>
      <c r="X613" s="162">
        <v>2.9430999999999998</v>
      </c>
      <c r="Y613" s="162">
        <v>2.9409999999999998</v>
      </c>
      <c r="Z613" s="162">
        <v>2.9476</v>
      </c>
      <c r="AA613" s="162">
        <v>2.9662999999999999</v>
      </c>
      <c r="AB613" s="162">
        <v>2.988</v>
      </c>
      <c r="AC613" s="162">
        <v>3.0057999999999998</v>
      </c>
      <c r="AD613" s="162">
        <v>3.0247000000000002</v>
      </c>
      <c r="AE613" s="162">
        <v>3.04</v>
      </c>
      <c r="AF613" s="162">
        <v>3.0440999999999998</v>
      </c>
      <c r="AG613" s="162">
        <v>3.0333999999999999</v>
      </c>
      <c r="AH613" s="162">
        <v>3.0228000000000002</v>
      </c>
      <c r="AI613" s="162">
        <v>3.0121000000000002</v>
      </c>
      <c r="AJ613" s="162">
        <v>3.0013999999999998</v>
      </c>
      <c r="AK613" s="162">
        <v>2.9906999999999999</v>
      </c>
      <c r="AL613" s="162">
        <v>2.9708000000000001</v>
      </c>
      <c r="AM613" s="162">
        <v>2.9493</v>
      </c>
      <c r="AN613" s="162">
        <v>2.9272999999999998</v>
      </c>
      <c r="AO613" s="162">
        <v>2.9049</v>
      </c>
      <c r="AP613" s="162">
        <v>2.8841000000000001</v>
      </c>
      <c r="AQ613" s="162">
        <v>2.8662999999999998</v>
      </c>
      <c r="AR613" s="162">
        <v>2.8454999999999999</v>
      </c>
      <c r="AS613" s="162">
        <v>2.8260000000000001</v>
      </c>
      <c r="AT613" s="162">
        <v>2.8073000000000001</v>
      </c>
      <c r="AU613" s="162">
        <v>2.786</v>
      </c>
    </row>
    <row r="614" spans="1:47" ht="12.75" customHeight="1">
      <c r="A614" s="459">
        <v>45191</v>
      </c>
      <c r="B614" s="139">
        <v>38</v>
      </c>
      <c r="C614" s="162">
        <v>3.6528</v>
      </c>
      <c r="D614" s="162">
        <v>3.6528</v>
      </c>
      <c r="E614" s="162">
        <v>3.6688999999999998</v>
      </c>
      <c r="F614" s="162">
        <v>3.7218</v>
      </c>
      <c r="G614" s="162">
        <v>3.7555999999999998</v>
      </c>
      <c r="H614" s="162">
        <v>3.7911999999999999</v>
      </c>
      <c r="I614" s="162">
        <v>3.8172999999999999</v>
      </c>
      <c r="J614" s="162">
        <v>3.8397999999999999</v>
      </c>
      <c r="K614" s="162">
        <v>3.8555999999999999</v>
      </c>
      <c r="L614" s="162">
        <v>3.8652000000000002</v>
      </c>
      <c r="M614" s="162">
        <v>3.8698999999999999</v>
      </c>
      <c r="N614" s="162">
        <v>3.8652000000000002</v>
      </c>
      <c r="O614" s="162">
        <v>3.8611</v>
      </c>
      <c r="P614" s="162">
        <v>3.8509000000000002</v>
      </c>
      <c r="Q614" s="162">
        <v>3.8355000000000001</v>
      </c>
      <c r="R614" s="162">
        <v>3.8212000000000002</v>
      </c>
      <c r="S614" s="162">
        <v>3.4964</v>
      </c>
      <c r="T614" s="162">
        <v>3.2665999999999999</v>
      </c>
      <c r="U614" s="162">
        <v>3.1305999999999998</v>
      </c>
      <c r="V614" s="162">
        <v>3.0554999999999999</v>
      </c>
      <c r="W614" s="162">
        <v>3.0142000000000002</v>
      </c>
      <c r="X614" s="162">
        <v>2.9946000000000002</v>
      </c>
      <c r="Y614" s="162">
        <v>2.9889999999999999</v>
      </c>
      <c r="Z614" s="162">
        <v>2.9937</v>
      </c>
      <c r="AA614" s="162">
        <v>3.0063</v>
      </c>
      <c r="AB614" s="162">
        <v>3.0232000000000001</v>
      </c>
      <c r="AC614" s="162">
        <v>3.0415000000000001</v>
      </c>
      <c r="AD614" s="162">
        <v>3.0571999999999999</v>
      </c>
      <c r="AE614" s="162">
        <v>3.0686</v>
      </c>
      <c r="AF614" s="162">
        <v>3.0764</v>
      </c>
      <c r="AG614" s="162">
        <v>3.0653999999999999</v>
      </c>
      <c r="AH614" s="162">
        <v>3.0543999999999998</v>
      </c>
      <c r="AI614" s="162">
        <v>3.0434000000000001</v>
      </c>
      <c r="AJ614" s="162">
        <v>3.0324</v>
      </c>
      <c r="AK614" s="162">
        <v>3.0213999999999999</v>
      </c>
      <c r="AL614" s="162">
        <v>2.9994999999999998</v>
      </c>
      <c r="AM614" s="162">
        <v>2.9784999999999999</v>
      </c>
      <c r="AN614" s="162">
        <v>2.956</v>
      </c>
      <c r="AO614" s="162">
        <v>2.9338000000000002</v>
      </c>
      <c r="AP614" s="162">
        <v>2.9123999999999999</v>
      </c>
      <c r="AQ614" s="162">
        <v>2.891</v>
      </c>
      <c r="AR614" s="162">
        <v>2.87</v>
      </c>
      <c r="AS614" s="162">
        <v>2.8500999999999999</v>
      </c>
      <c r="AT614" s="162">
        <v>2.8311000000000002</v>
      </c>
      <c r="AU614" s="162">
        <v>2.8129</v>
      </c>
    </row>
    <row r="615" spans="1:47" ht="12.75" customHeight="1">
      <c r="A615" s="459">
        <v>45198</v>
      </c>
      <c r="B615" s="139">
        <v>39</v>
      </c>
      <c r="C615" s="162">
        <v>3.6505000000000001</v>
      </c>
      <c r="D615" s="162">
        <v>3.6505000000000001</v>
      </c>
      <c r="E615" s="162">
        <v>3.8898999999999999</v>
      </c>
      <c r="F615" s="162">
        <v>3.8954</v>
      </c>
      <c r="G615" s="162">
        <v>3.9018999999999999</v>
      </c>
      <c r="H615" s="162">
        <v>3.9148000000000001</v>
      </c>
      <c r="I615" s="162">
        <v>3.9253999999999998</v>
      </c>
      <c r="J615" s="162">
        <v>3.9462999999999999</v>
      </c>
      <c r="K615" s="162">
        <v>3.9607000000000001</v>
      </c>
      <c r="L615" s="162">
        <v>3.9718</v>
      </c>
      <c r="M615" s="162">
        <v>3.9744000000000002</v>
      </c>
      <c r="N615" s="162">
        <v>3.9710000000000001</v>
      </c>
      <c r="O615" s="162">
        <v>3.9666000000000001</v>
      </c>
      <c r="P615" s="162">
        <v>3.9565999999999999</v>
      </c>
      <c r="Q615" s="162">
        <v>3.9411999999999998</v>
      </c>
      <c r="R615" s="162">
        <v>3.9277000000000002</v>
      </c>
      <c r="S615" s="162">
        <v>3.5891000000000002</v>
      </c>
      <c r="T615" s="162">
        <v>3.3403999999999998</v>
      </c>
      <c r="U615" s="162">
        <v>3.1924999999999999</v>
      </c>
      <c r="V615" s="162">
        <v>3.1089000000000002</v>
      </c>
      <c r="W615" s="162">
        <v>3.0606</v>
      </c>
      <c r="X615" s="162">
        <v>3.0390000000000001</v>
      </c>
      <c r="Y615" s="162">
        <v>3.0303</v>
      </c>
      <c r="Z615" s="162">
        <v>3.0329999999999999</v>
      </c>
      <c r="AA615" s="162">
        <v>3.0495999999999999</v>
      </c>
      <c r="AB615" s="162">
        <v>3.0619999999999998</v>
      </c>
      <c r="AC615" s="162">
        <v>3.0809000000000002</v>
      </c>
      <c r="AD615" s="162">
        <v>3.0954999999999999</v>
      </c>
      <c r="AE615" s="162">
        <v>3.1078000000000001</v>
      </c>
      <c r="AF615" s="162">
        <v>3.1183000000000001</v>
      </c>
      <c r="AG615" s="162">
        <v>3.1095999999999999</v>
      </c>
      <c r="AH615" s="162">
        <v>3.101</v>
      </c>
      <c r="AI615" s="162">
        <v>3.0924</v>
      </c>
      <c r="AJ615" s="162">
        <v>3.0836999999999999</v>
      </c>
      <c r="AK615" s="162">
        <v>3.0750999999999999</v>
      </c>
      <c r="AL615" s="162">
        <v>3.0539999999999998</v>
      </c>
      <c r="AM615" s="162">
        <v>3.0348000000000002</v>
      </c>
      <c r="AN615" s="162">
        <v>3.0150000000000001</v>
      </c>
      <c r="AO615" s="162">
        <v>2.9944999999999999</v>
      </c>
      <c r="AP615" s="162">
        <v>2.9744999999999999</v>
      </c>
      <c r="AQ615" s="162">
        <v>2.9525000000000001</v>
      </c>
      <c r="AR615" s="162">
        <v>2.9335</v>
      </c>
      <c r="AS615" s="162">
        <v>2.915</v>
      </c>
      <c r="AT615" s="162">
        <v>2.8978000000000002</v>
      </c>
      <c r="AU615" s="162">
        <v>2.8826999999999998</v>
      </c>
    </row>
    <row r="616" spans="1:47" ht="12.75" customHeight="1">
      <c r="A616" s="459">
        <v>45205</v>
      </c>
      <c r="B616" s="139">
        <v>40</v>
      </c>
      <c r="C616" s="162">
        <v>3.9037999999999999</v>
      </c>
      <c r="D616" s="162">
        <v>3.9037999999999999</v>
      </c>
      <c r="E616" s="162">
        <v>3.9007999999999998</v>
      </c>
      <c r="F616" s="162">
        <v>3.9024999999999999</v>
      </c>
      <c r="G616" s="162">
        <v>3.9062000000000001</v>
      </c>
      <c r="H616" s="162">
        <v>3.9190999999999998</v>
      </c>
      <c r="I616" s="162">
        <v>3.9312</v>
      </c>
      <c r="J616" s="162">
        <v>3.9493</v>
      </c>
      <c r="K616" s="162">
        <v>3.9599000000000002</v>
      </c>
      <c r="L616" s="162">
        <v>3.9653999999999998</v>
      </c>
      <c r="M616" s="162">
        <v>3.9653999999999998</v>
      </c>
      <c r="N616" s="162">
        <v>3.9609999999999999</v>
      </c>
      <c r="O616" s="162">
        <v>3.9537</v>
      </c>
      <c r="P616" s="162">
        <v>3.9439000000000002</v>
      </c>
      <c r="Q616" s="162">
        <v>3.9281000000000001</v>
      </c>
      <c r="R616" s="162">
        <v>3.9123999999999999</v>
      </c>
      <c r="S616" s="162">
        <v>3.5682</v>
      </c>
      <c r="T616" s="162">
        <v>3.3342999999999998</v>
      </c>
      <c r="U616" s="162">
        <v>3.21</v>
      </c>
      <c r="V616" s="162">
        <v>3.1467000000000001</v>
      </c>
      <c r="W616" s="162">
        <v>3.1143999999999998</v>
      </c>
      <c r="X616" s="162">
        <v>3.1025</v>
      </c>
      <c r="Y616" s="162">
        <v>3.105</v>
      </c>
      <c r="Z616" s="162">
        <v>3.1177000000000001</v>
      </c>
      <c r="AA616" s="162">
        <v>3.1366999999999998</v>
      </c>
      <c r="AB616" s="162">
        <v>3.1562999999999999</v>
      </c>
      <c r="AC616" s="162">
        <v>3.1787000000000001</v>
      </c>
      <c r="AD616" s="162">
        <v>3.1974999999999998</v>
      </c>
      <c r="AE616" s="162">
        <v>3.2134</v>
      </c>
      <c r="AF616" s="162">
        <v>3.2265999999999999</v>
      </c>
      <c r="AG616" s="162">
        <v>3.2191000000000001</v>
      </c>
      <c r="AH616" s="162">
        <v>3.2115999999999998</v>
      </c>
      <c r="AI616" s="162">
        <v>3.2040000000000002</v>
      </c>
      <c r="AJ616" s="162">
        <v>3.1964999999999999</v>
      </c>
      <c r="AK616" s="162">
        <v>3.1890000000000001</v>
      </c>
      <c r="AL616" s="162">
        <v>3.1707999999999998</v>
      </c>
      <c r="AM616" s="162">
        <v>3.1524000000000001</v>
      </c>
      <c r="AN616" s="162">
        <v>3.1328999999999998</v>
      </c>
      <c r="AO616" s="162">
        <v>3.1126</v>
      </c>
      <c r="AP616" s="162">
        <v>3.0912999999999999</v>
      </c>
      <c r="AQ616" s="162">
        <v>3.0724999999999998</v>
      </c>
      <c r="AR616" s="162">
        <v>3.0537999999999998</v>
      </c>
      <c r="AS616" s="162">
        <v>3.0356000000000001</v>
      </c>
      <c r="AT616" s="162">
        <v>3.0183</v>
      </c>
      <c r="AU616" s="162">
        <v>3.0045000000000002</v>
      </c>
    </row>
    <row r="617" spans="1:47" ht="12.75" customHeight="1">
      <c r="A617" s="459">
        <v>45212</v>
      </c>
      <c r="B617" s="139">
        <v>41</v>
      </c>
      <c r="C617" s="162">
        <v>3.8972000000000002</v>
      </c>
      <c r="D617" s="162">
        <v>3.8972000000000002</v>
      </c>
      <c r="E617" s="162">
        <v>3.9020000000000001</v>
      </c>
      <c r="F617" s="162">
        <v>3.9033000000000002</v>
      </c>
      <c r="G617" s="162">
        <v>3.9073000000000002</v>
      </c>
      <c r="H617" s="162">
        <v>3.9167999999999998</v>
      </c>
      <c r="I617" s="162">
        <v>3.9289000000000001</v>
      </c>
      <c r="J617" s="162">
        <v>3.9428000000000001</v>
      </c>
      <c r="K617" s="162">
        <v>3.9521000000000002</v>
      </c>
      <c r="L617" s="162">
        <v>3.9552999999999998</v>
      </c>
      <c r="M617" s="162">
        <v>3.9521000000000002</v>
      </c>
      <c r="N617" s="162">
        <v>3.9476</v>
      </c>
      <c r="O617" s="162">
        <v>3.9384000000000001</v>
      </c>
      <c r="P617" s="162">
        <v>3.9258000000000002</v>
      </c>
      <c r="Q617" s="162">
        <v>3.9114</v>
      </c>
      <c r="R617" s="162">
        <v>3.8936000000000002</v>
      </c>
      <c r="S617" s="162">
        <v>3.5548000000000002</v>
      </c>
      <c r="T617" s="162">
        <v>3.3456000000000001</v>
      </c>
      <c r="U617" s="162">
        <v>3.2475999999999998</v>
      </c>
      <c r="V617" s="162">
        <v>3.2084000000000001</v>
      </c>
      <c r="W617" s="162">
        <v>3.1960999999999999</v>
      </c>
      <c r="X617" s="162">
        <v>3.2035999999999998</v>
      </c>
      <c r="Y617" s="162">
        <v>3.2198000000000002</v>
      </c>
      <c r="Z617" s="162">
        <v>3.2425000000000002</v>
      </c>
      <c r="AA617" s="162">
        <v>3.2656999999999998</v>
      </c>
      <c r="AB617" s="162">
        <v>3.2949999999999999</v>
      </c>
      <c r="AC617" s="162">
        <v>3.3235999999999999</v>
      </c>
      <c r="AD617" s="162">
        <v>3.3435999999999999</v>
      </c>
      <c r="AE617" s="162">
        <v>3.363</v>
      </c>
      <c r="AF617" s="162">
        <v>3.3769</v>
      </c>
      <c r="AG617" s="162">
        <v>3.3685999999999998</v>
      </c>
      <c r="AH617" s="162">
        <v>3.3603000000000001</v>
      </c>
      <c r="AI617" s="162">
        <v>3.3521000000000001</v>
      </c>
      <c r="AJ617" s="162">
        <v>3.3437999999999999</v>
      </c>
      <c r="AK617" s="162">
        <v>3.3355000000000001</v>
      </c>
      <c r="AL617" s="162">
        <v>3.3142999999999998</v>
      </c>
      <c r="AM617" s="162">
        <v>3.294</v>
      </c>
      <c r="AN617" s="162">
        <v>3.2728000000000002</v>
      </c>
      <c r="AO617" s="162">
        <v>3.2513000000000001</v>
      </c>
      <c r="AP617" s="162">
        <v>3.2323</v>
      </c>
      <c r="AQ617" s="162">
        <v>3.2128000000000001</v>
      </c>
      <c r="AR617" s="162">
        <v>3.1926000000000001</v>
      </c>
      <c r="AS617" s="162">
        <v>3.1724999999999999</v>
      </c>
      <c r="AT617" s="162">
        <v>3.1543000000000001</v>
      </c>
      <c r="AU617" s="162">
        <v>3.1333000000000002</v>
      </c>
    </row>
    <row r="618" spans="1:47" ht="12.75" customHeight="1">
      <c r="A618" s="459">
        <v>45219</v>
      </c>
      <c r="B618" s="139">
        <v>42</v>
      </c>
      <c r="C618" s="162">
        <v>3.8995000000000002</v>
      </c>
      <c r="D618" s="162">
        <v>3.8995000000000002</v>
      </c>
      <c r="E618" s="162">
        <v>3.9011999999999998</v>
      </c>
      <c r="F618" s="162">
        <v>3.9024999999999999</v>
      </c>
      <c r="G618" s="162">
        <v>3.9045999999999998</v>
      </c>
      <c r="H618" s="162">
        <v>3.9104999999999999</v>
      </c>
      <c r="I618" s="162">
        <v>3.9214000000000002</v>
      </c>
      <c r="J618" s="162">
        <v>3.9306000000000001</v>
      </c>
      <c r="K618" s="162">
        <v>3.9357000000000002</v>
      </c>
      <c r="L618" s="162">
        <v>3.9321999999999999</v>
      </c>
      <c r="M618" s="162">
        <v>3.9203999999999999</v>
      </c>
      <c r="N618" s="162">
        <v>3.9100999999999999</v>
      </c>
      <c r="O618" s="162">
        <v>3.8915999999999999</v>
      </c>
      <c r="P618" s="162">
        <v>3.8700999999999999</v>
      </c>
      <c r="Q618" s="162">
        <v>3.8496000000000001</v>
      </c>
      <c r="R618" s="162">
        <v>3.8243999999999998</v>
      </c>
      <c r="S618" s="162">
        <v>3.4346999999999999</v>
      </c>
      <c r="T618" s="162">
        <v>3.2202000000000002</v>
      </c>
      <c r="U618" s="162">
        <v>3.1225999999999998</v>
      </c>
      <c r="V618" s="162">
        <v>3.0849000000000002</v>
      </c>
      <c r="W618" s="162">
        <v>3.0773000000000001</v>
      </c>
      <c r="X618" s="162">
        <v>3.0872000000000002</v>
      </c>
      <c r="Y618" s="162">
        <v>3.1071</v>
      </c>
      <c r="Z618" s="162">
        <v>3.1326000000000001</v>
      </c>
      <c r="AA618" s="162">
        <v>3.1595</v>
      </c>
      <c r="AB618" s="162">
        <v>3.1943999999999999</v>
      </c>
      <c r="AC618" s="162">
        <v>3.2242999999999999</v>
      </c>
      <c r="AD618" s="162">
        <v>3.2509000000000001</v>
      </c>
      <c r="AE618" s="162">
        <v>3.2728000000000002</v>
      </c>
      <c r="AF618" s="162">
        <v>3.2854999999999999</v>
      </c>
      <c r="AG618" s="162">
        <v>3.2791000000000001</v>
      </c>
      <c r="AH618" s="162">
        <v>3.2728000000000002</v>
      </c>
      <c r="AI618" s="162">
        <v>3.2664</v>
      </c>
      <c r="AJ618" s="162">
        <v>3.2601</v>
      </c>
      <c r="AK618" s="162">
        <v>3.2538</v>
      </c>
      <c r="AL618" s="162">
        <v>3.2349000000000001</v>
      </c>
      <c r="AM618" s="162">
        <v>3.2143999999999999</v>
      </c>
      <c r="AN618" s="162">
        <v>3.1934</v>
      </c>
      <c r="AO618" s="162">
        <v>3.1715</v>
      </c>
      <c r="AP618" s="162">
        <v>3.1507999999999998</v>
      </c>
      <c r="AQ618" s="162">
        <v>3.1294</v>
      </c>
      <c r="AR618" s="162">
        <v>3.1084000000000001</v>
      </c>
      <c r="AS618" s="162">
        <v>3.0882999999999998</v>
      </c>
      <c r="AT618" s="162">
        <v>3.0693000000000001</v>
      </c>
      <c r="AU618" s="162">
        <v>3.0518999999999998</v>
      </c>
    </row>
    <row r="619" spans="1:47" ht="12.75" customHeight="1">
      <c r="A619" s="459">
        <v>45226</v>
      </c>
      <c r="B619" s="139">
        <v>43</v>
      </c>
      <c r="C619" s="162">
        <v>3.9026000000000001</v>
      </c>
      <c r="D619" s="162">
        <v>3.9026000000000001</v>
      </c>
      <c r="E619" s="162">
        <v>3.8997999999999999</v>
      </c>
      <c r="F619" s="162">
        <v>3.9003000000000001</v>
      </c>
      <c r="G619" s="162">
        <v>3.9028999999999998</v>
      </c>
      <c r="H619" s="162">
        <v>3.9087999999999998</v>
      </c>
      <c r="I619" s="162">
        <v>3.9230999999999998</v>
      </c>
      <c r="J619" s="162">
        <v>3.9339</v>
      </c>
      <c r="K619" s="162">
        <v>3.9403000000000001</v>
      </c>
      <c r="L619" s="162">
        <v>3.9392</v>
      </c>
      <c r="M619" s="162">
        <v>3.9304999999999999</v>
      </c>
      <c r="N619" s="162">
        <v>3.9230999999999998</v>
      </c>
      <c r="O619" s="162">
        <v>3.9108000000000001</v>
      </c>
      <c r="P619" s="162">
        <v>3.8927</v>
      </c>
      <c r="Q619" s="162">
        <v>3.8778999999999999</v>
      </c>
      <c r="R619" s="162">
        <v>3.8573</v>
      </c>
      <c r="S619" s="162">
        <v>3.5150000000000001</v>
      </c>
      <c r="T619" s="162">
        <v>3.3054999999999999</v>
      </c>
      <c r="U619" s="162">
        <v>3.1964999999999999</v>
      </c>
      <c r="V619" s="162">
        <v>3.1453000000000002</v>
      </c>
      <c r="W619" s="162">
        <v>3.1269</v>
      </c>
      <c r="X619" s="162">
        <v>3.1251000000000002</v>
      </c>
      <c r="Y619" s="162">
        <v>3.1360999999999999</v>
      </c>
      <c r="Z619" s="162">
        <v>3.1560000000000001</v>
      </c>
      <c r="AA619" s="162">
        <v>3.1823999999999999</v>
      </c>
      <c r="AB619" s="162">
        <v>3.2122999999999999</v>
      </c>
      <c r="AC619" s="162">
        <v>3.2341000000000002</v>
      </c>
      <c r="AD619" s="162">
        <v>3.2587999999999999</v>
      </c>
      <c r="AE619" s="162">
        <v>3.2745000000000002</v>
      </c>
      <c r="AF619" s="162">
        <v>3.2875999999999999</v>
      </c>
      <c r="AG619" s="162">
        <v>3.2795000000000001</v>
      </c>
      <c r="AH619" s="162">
        <v>3.2713999999999999</v>
      </c>
      <c r="AI619" s="162">
        <v>3.2631999999999999</v>
      </c>
      <c r="AJ619" s="162">
        <v>3.2551000000000001</v>
      </c>
      <c r="AK619" s="162">
        <v>3.2469999999999999</v>
      </c>
      <c r="AL619" s="162">
        <v>3.2303000000000002</v>
      </c>
      <c r="AM619" s="162">
        <v>3.2098</v>
      </c>
      <c r="AN619" s="162">
        <v>3.1882999999999999</v>
      </c>
      <c r="AO619" s="162">
        <v>3.1663000000000001</v>
      </c>
      <c r="AP619" s="162">
        <v>3.1429999999999998</v>
      </c>
      <c r="AQ619" s="162">
        <v>3.1208</v>
      </c>
      <c r="AR619" s="162">
        <v>3.0994999999999999</v>
      </c>
      <c r="AS619" s="162">
        <v>3.0790000000000002</v>
      </c>
      <c r="AT619" s="162">
        <v>3.06</v>
      </c>
      <c r="AU619" s="162">
        <v>3.0415999999999999</v>
      </c>
    </row>
    <row r="620" spans="1:47" ht="12.75" customHeight="1">
      <c r="A620" s="459">
        <v>45233</v>
      </c>
      <c r="B620" s="139">
        <v>44</v>
      </c>
      <c r="C620" s="162">
        <v>3.9047999999999998</v>
      </c>
      <c r="D620" s="162">
        <v>3.9047999999999998</v>
      </c>
      <c r="E620" s="162">
        <v>3.9009999999999998</v>
      </c>
      <c r="F620" s="162">
        <v>3.9018999999999999</v>
      </c>
      <c r="G620" s="162">
        <v>3.9049</v>
      </c>
      <c r="H620" s="162">
        <v>3.9146000000000001</v>
      </c>
      <c r="I620" s="162">
        <v>3.9293999999999998</v>
      </c>
      <c r="J620" s="162">
        <v>3.9397000000000002</v>
      </c>
      <c r="K620" s="162">
        <v>3.9432999999999998</v>
      </c>
      <c r="L620" s="162">
        <v>3.9373999999999998</v>
      </c>
      <c r="M620" s="162">
        <v>3.9268999999999998</v>
      </c>
      <c r="N620" s="162">
        <v>3.9146999999999998</v>
      </c>
      <c r="O620" s="162">
        <v>3.8980999999999999</v>
      </c>
      <c r="P620" s="162">
        <v>3.8763000000000001</v>
      </c>
      <c r="Q620" s="162">
        <v>3.8569</v>
      </c>
      <c r="R620" s="162">
        <v>3.8317000000000001</v>
      </c>
      <c r="S620" s="162">
        <v>3.4744000000000002</v>
      </c>
      <c r="T620" s="162">
        <v>3.2711000000000001</v>
      </c>
      <c r="U620" s="162">
        <v>3.1762999999999999</v>
      </c>
      <c r="V620" s="162">
        <v>3.141</v>
      </c>
      <c r="W620" s="162">
        <v>3.1343000000000001</v>
      </c>
      <c r="X620" s="162">
        <v>3.1436000000000002</v>
      </c>
      <c r="Y620" s="162">
        <v>3.1638999999999999</v>
      </c>
      <c r="Z620" s="162">
        <v>3.1905000000000001</v>
      </c>
      <c r="AA620" s="162">
        <v>3.2246000000000001</v>
      </c>
      <c r="AB620" s="162">
        <v>3.2545000000000002</v>
      </c>
      <c r="AC620" s="162">
        <v>3.2839999999999998</v>
      </c>
      <c r="AD620" s="162">
        <v>3.3092999999999999</v>
      </c>
      <c r="AE620" s="162">
        <v>3.3292000000000002</v>
      </c>
      <c r="AF620" s="162">
        <v>3.3437999999999999</v>
      </c>
      <c r="AG620" s="162">
        <v>3.3365999999999998</v>
      </c>
      <c r="AH620" s="162">
        <v>3.3294000000000001</v>
      </c>
      <c r="AI620" s="162">
        <v>3.3222</v>
      </c>
      <c r="AJ620" s="162">
        <v>3.3149999999999999</v>
      </c>
      <c r="AK620" s="162">
        <v>3.3077999999999999</v>
      </c>
      <c r="AL620" s="162">
        <v>3.2902999999999998</v>
      </c>
      <c r="AM620" s="162">
        <v>3.2692999999999999</v>
      </c>
      <c r="AN620" s="162">
        <v>3.2477999999999998</v>
      </c>
      <c r="AO620" s="162">
        <v>3.2263000000000002</v>
      </c>
      <c r="AP620" s="162">
        <v>3.2025999999999999</v>
      </c>
      <c r="AQ620" s="162">
        <v>3.1829999999999998</v>
      </c>
      <c r="AR620" s="162">
        <v>3.1621999999999999</v>
      </c>
      <c r="AS620" s="162">
        <v>3.1423000000000001</v>
      </c>
      <c r="AT620" s="162">
        <v>3.1232000000000002</v>
      </c>
      <c r="AU620" s="162">
        <v>3.1032999999999999</v>
      </c>
    </row>
    <row r="621" spans="1:47" ht="12.75" customHeight="1">
      <c r="A621" s="459">
        <v>45240</v>
      </c>
      <c r="B621" s="139">
        <v>45</v>
      </c>
      <c r="C621" s="162">
        <v>3.9009999999999998</v>
      </c>
      <c r="D621" s="162">
        <v>3.9009999999999998</v>
      </c>
      <c r="E621" s="162">
        <v>3.8980000000000001</v>
      </c>
      <c r="F621" s="162">
        <v>3.8994</v>
      </c>
      <c r="G621" s="162">
        <v>3.9024000000000001</v>
      </c>
      <c r="H621" s="162">
        <v>3.9098999999999999</v>
      </c>
      <c r="I621" s="162">
        <v>3.919</v>
      </c>
      <c r="J621" s="162">
        <v>3.9232</v>
      </c>
      <c r="K621" s="162">
        <v>3.9186999999999999</v>
      </c>
      <c r="L621" s="162">
        <v>3.9028</v>
      </c>
      <c r="M621" s="162">
        <v>3.8835999999999999</v>
      </c>
      <c r="N621" s="162">
        <v>3.8618999999999999</v>
      </c>
      <c r="O621" s="162">
        <v>3.8351999999999999</v>
      </c>
      <c r="P621" s="162">
        <v>3.8054000000000001</v>
      </c>
      <c r="Q621" s="162">
        <v>3.778</v>
      </c>
      <c r="R621" s="162">
        <v>3.7444999999999999</v>
      </c>
      <c r="S621" s="162">
        <v>3.3302999999999998</v>
      </c>
      <c r="T621" s="162">
        <v>3.1196000000000002</v>
      </c>
      <c r="U621" s="162">
        <v>3.0354999999999999</v>
      </c>
      <c r="V621" s="162">
        <v>3.0104000000000002</v>
      </c>
      <c r="W621" s="162">
        <v>3.0154999999999998</v>
      </c>
      <c r="X621" s="162">
        <v>3.0383</v>
      </c>
      <c r="Y621" s="162">
        <v>3.0693999999999999</v>
      </c>
      <c r="Z621" s="162">
        <v>3.1036999999999999</v>
      </c>
      <c r="AA621" s="162">
        <v>3.1433</v>
      </c>
      <c r="AB621" s="162">
        <v>3.1812999999999998</v>
      </c>
      <c r="AC621" s="162">
        <v>3.2174</v>
      </c>
      <c r="AD621" s="162">
        <v>3.2481</v>
      </c>
      <c r="AE621" s="162">
        <v>3.2686000000000002</v>
      </c>
      <c r="AF621" s="162">
        <v>3.2917000000000001</v>
      </c>
      <c r="AG621" s="162">
        <v>3.2881</v>
      </c>
      <c r="AH621" s="162">
        <v>3.2846000000000002</v>
      </c>
      <c r="AI621" s="162">
        <v>3.2810999999999999</v>
      </c>
      <c r="AJ621" s="162">
        <v>3.2774999999999999</v>
      </c>
      <c r="AK621" s="162">
        <v>3.274</v>
      </c>
      <c r="AL621" s="162">
        <v>3.2574999999999998</v>
      </c>
      <c r="AM621" s="162">
        <v>3.2391999999999999</v>
      </c>
      <c r="AN621" s="162">
        <v>3.22</v>
      </c>
      <c r="AO621" s="162">
        <v>3.1993</v>
      </c>
      <c r="AP621" s="162">
        <v>3.1802000000000001</v>
      </c>
      <c r="AQ621" s="162">
        <v>3.1472000000000002</v>
      </c>
      <c r="AR621" s="162">
        <v>3.1273</v>
      </c>
      <c r="AS621" s="162">
        <v>3.1088</v>
      </c>
      <c r="AT621" s="162">
        <v>3.0914999999999999</v>
      </c>
      <c r="AU621" s="162">
        <v>3.0886</v>
      </c>
    </row>
    <row r="622" spans="1:47" ht="12.75" customHeight="1">
      <c r="A622" s="459">
        <v>45247</v>
      </c>
      <c r="B622" s="139">
        <v>46</v>
      </c>
      <c r="C622" s="162">
        <v>3.9018000000000002</v>
      </c>
      <c r="D622" s="162">
        <v>3.9018000000000002</v>
      </c>
      <c r="E622" s="162">
        <v>3.8984999999999999</v>
      </c>
      <c r="F622" s="162">
        <v>3.8997999999999999</v>
      </c>
      <c r="G622" s="162">
        <v>3.9026999999999998</v>
      </c>
      <c r="H622" s="162">
        <v>3.9097</v>
      </c>
      <c r="I622" s="162">
        <v>3.9171</v>
      </c>
      <c r="J622" s="162">
        <v>3.9216000000000002</v>
      </c>
      <c r="K622" s="162">
        <v>3.9138000000000002</v>
      </c>
      <c r="L622" s="162">
        <v>3.8942000000000001</v>
      </c>
      <c r="M622" s="162">
        <v>3.8769</v>
      </c>
      <c r="N622" s="162">
        <v>3.8490000000000002</v>
      </c>
      <c r="O622" s="162">
        <v>3.8166000000000002</v>
      </c>
      <c r="P622" s="162">
        <v>3.7847</v>
      </c>
      <c r="Q622" s="162">
        <v>3.7511999999999999</v>
      </c>
      <c r="R622" s="162">
        <v>3.7107999999999999</v>
      </c>
      <c r="S622" s="162">
        <v>3.2524000000000002</v>
      </c>
      <c r="T622" s="162">
        <v>3.0188000000000001</v>
      </c>
      <c r="U622" s="162">
        <v>2.9127000000000001</v>
      </c>
      <c r="V622" s="162">
        <v>2.8717000000000001</v>
      </c>
      <c r="W622" s="162">
        <v>2.8628</v>
      </c>
      <c r="X622" s="162">
        <v>2.8742000000000001</v>
      </c>
      <c r="Y622" s="162">
        <v>2.895</v>
      </c>
      <c r="Z622" s="162">
        <v>2.9214000000000002</v>
      </c>
      <c r="AA622" s="162">
        <v>2.9483999999999999</v>
      </c>
      <c r="AB622" s="162">
        <v>2.9855999999999998</v>
      </c>
      <c r="AC622" s="162">
        <v>3.0179</v>
      </c>
      <c r="AD622" s="162">
        <v>3.0455999999999999</v>
      </c>
      <c r="AE622" s="162">
        <v>3.0674000000000001</v>
      </c>
      <c r="AF622" s="162">
        <v>3.0857999999999999</v>
      </c>
      <c r="AG622" s="162">
        <v>3.0819000000000001</v>
      </c>
      <c r="AH622" s="162">
        <v>3.0779999999999998</v>
      </c>
      <c r="AI622" s="162">
        <v>3.0741000000000001</v>
      </c>
      <c r="AJ622" s="162">
        <v>3.0701999999999998</v>
      </c>
      <c r="AK622" s="162">
        <v>3.0663</v>
      </c>
      <c r="AL622" s="162">
        <v>3.0493000000000001</v>
      </c>
      <c r="AM622" s="162">
        <v>3.0304000000000002</v>
      </c>
      <c r="AN622" s="162">
        <v>3.012</v>
      </c>
      <c r="AO622" s="162">
        <v>2.9912999999999998</v>
      </c>
      <c r="AP622" s="162">
        <v>2.9714</v>
      </c>
      <c r="AQ622" s="162">
        <v>2.9495</v>
      </c>
      <c r="AR622" s="162">
        <v>2.93</v>
      </c>
      <c r="AS622" s="162">
        <v>2.9108000000000001</v>
      </c>
      <c r="AT622" s="162">
        <v>2.8925000000000001</v>
      </c>
      <c r="AU622" s="162">
        <v>2.8782999999999999</v>
      </c>
    </row>
    <row r="623" spans="1:47" ht="12.75" customHeight="1">
      <c r="A623" s="459">
        <v>45254</v>
      </c>
      <c r="B623" s="139">
        <v>47</v>
      </c>
      <c r="C623" s="162">
        <v>3.9028</v>
      </c>
      <c r="D623" s="162">
        <v>3.9028</v>
      </c>
      <c r="E623" s="162">
        <v>3.9</v>
      </c>
      <c r="F623" s="162">
        <v>3.9011</v>
      </c>
      <c r="G623" s="162">
        <v>3.9036</v>
      </c>
      <c r="H623" s="162">
        <v>3.9131</v>
      </c>
      <c r="I623" s="162">
        <v>3.9198</v>
      </c>
      <c r="J623" s="162">
        <v>3.9234</v>
      </c>
      <c r="K623" s="162">
        <v>3.9159999999999999</v>
      </c>
      <c r="L623" s="162">
        <v>3.8957999999999999</v>
      </c>
      <c r="M623" s="162">
        <v>3.8784999999999998</v>
      </c>
      <c r="N623" s="162">
        <v>3.8527999999999998</v>
      </c>
      <c r="O623" s="162">
        <v>3.8201999999999998</v>
      </c>
      <c r="P623" s="162">
        <v>3.7905000000000002</v>
      </c>
      <c r="Q623" s="162">
        <v>3.7574000000000001</v>
      </c>
      <c r="R623" s="162">
        <v>3.7168999999999999</v>
      </c>
      <c r="S623" s="162">
        <v>3.2724000000000002</v>
      </c>
      <c r="T623" s="162">
        <v>3.0375999999999999</v>
      </c>
      <c r="U623" s="162">
        <v>2.9298000000000002</v>
      </c>
      <c r="V623" s="162">
        <v>2.8824000000000001</v>
      </c>
      <c r="W623" s="162">
        <v>2.8662000000000001</v>
      </c>
      <c r="X623" s="162">
        <v>2.8702000000000001</v>
      </c>
      <c r="Y623" s="162">
        <v>2.8849</v>
      </c>
      <c r="Z623" s="162">
        <v>2.9056999999999999</v>
      </c>
      <c r="AA623" s="162">
        <v>2.9339</v>
      </c>
      <c r="AB623" s="162">
        <v>2.9626999999999999</v>
      </c>
      <c r="AC623" s="162">
        <v>2.9901</v>
      </c>
      <c r="AD623" s="162">
        <v>3.0150000000000001</v>
      </c>
      <c r="AE623" s="162">
        <v>3.0343</v>
      </c>
      <c r="AF623" s="162">
        <v>3.0495000000000001</v>
      </c>
      <c r="AG623" s="162">
        <v>3.0446</v>
      </c>
      <c r="AH623" s="162">
        <v>3.0396999999999998</v>
      </c>
      <c r="AI623" s="162">
        <v>3.0347</v>
      </c>
      <c r="AJ623" s="162">
        <v>3.0297999999999998</v>
      </c>
      <c r="AK623" s="162">
        <v>3.0249000000000001</v>
      </c>
      <c r="AL623" s="162">
        <v>3.008</v>
      </c>
      <c r="AM623" s="162">
        <v>2.9897999999999998</v>
      </c>
      <c r="AN623" s="162">
        <v>2.9698000000000002</v>
      </c>
      <c r="AO623" s="162">
        <v>2.9496000000000002</v>
      </c>
      <c r="AP623" s="162">
        <v>2.9285999999999999</v>
      </c>
      <c r="AQ623" s="162">
        <v>2.907</v>
      </c>
      <c r="AR623" s="162">
        <v>2.8877999999999999</v>
      </c>
      <c r="AS623" s="162">
        <v>2.8690000000000002</v>
      </c>
      <c r="AT623" s="162">
        <v>2.8515999999999999</v>
      </c>
      <c r="AU623" s="162">
        <v>2.8353999999999999</v>
      </c>
    </row>
    <row r="624" spans="1:47" ht="12.75" customHeight="1">
      <c r="A624" s="459">
        <v>45261</v>
      </c>
      <c r="B624" s="139">
        <v>48</v>
      </c>
      <c r="C624" s="162">
        <v>3.903</v>
      </c>
      <c r="D624" s="162">
        <v>3.903</v>
      </c>
      <c r="E624" s="162">
        <v>3.8988999999999998</v>
      </c>
      <c r="F624" s="162">
        <v>3.8994</v>
      </c>
      <c r="G624" s="162">
        <v>3.9030999999999998</v>
      </c>
      <c r="H624" s="162">
        <v>3.9083999999999999</v>
      </c>
      <c r="I624" s="162">
        <v>3.9144000000000001</v>
      </c>
      <c r="J624" s="162">
        <v>3.9146000000000001</v>
      </c>
      <c r="K624" s="162">
        <v>3.9053</v>
      </c>
      <c r="L624" s="162">
        <v>3.8864000000000001</v>
      </c>
      <c r="M624" s="162">
        <v>3.8656000000000001</v>
      </c>
      <c r="N624" s="162">
        <v>3.8395999999999999</v>
      </c>
      <c r="O624" s="162">
        <v>3.8041</v>
      </c>
      <c r="P624" s="162">
        <v>3.7745000000000002</v>
      </c>
      <c r="Q624" s="162">
        <v>3.7403</v>
      </c>
      <c r="R624" s="162">
        <v>3.6956000000000002</v>
      </c>
      <c r="S624" s="162">
        <v>3.2262</v>
      </c>
      <c r="T624" s="162">
        <v>2.9788999999999999</v>
      </c>
      <c r="U624" s="162">
        <v>2.8641999999999999</v>
      </c>
      <c r="V624" s="162">
        <v>2.8136000000000001</v>
      </c>
      <c r="W624" s="162">
        <v>2.7982</v>
      </c>
      <c r="X624" s="162">
        <v>2.7982999999999998</v>
      </c>
      <c r="Y624" s="162">
        <v>2.8126000000000002</v>
      </c>
      <c r="Z624" s="162">
        <v>2.8323</v>
      </c>
      <c r="AA624" s="162">
        <v>2.8559000000000001</v>
      </c>
      <c r="AB624" s="162">
        <v>2.8849</v>
      </c>
      <c r="AC624" s="162">
        <v>2.9138000000000002</v>
      </c>
      <c r="AD624" s="162">
        <v>2.9390999999999998</v>
      </c>
      <c r="AE624" s="162">
        <v>2.9498000000000002</v>
      </c>
      <c r="AF624" s="162">
        <v>2.9681000000000002</v>
      </c>
      <c r="AG624" s="162">
        <v>2.9628999999999999</v>
      </c>
      <c r="AH624" s="162">
        <v>2.9577</v>
      </c>
      <c r="AI624" s="162">
        <v>2.9525999999999999</v>
      </c>
      <c r="AJ624" s="162">
        <v>2.9474</v>
      </c>
      <c r="AK624" s="162">
        <v>2.9422000000000001</v>
      </c>
      <c r="AL624" s="162">
        <v>2.9285000000000001</v>
      </c>
      <c r="AM624" s="162">
        <v>2.9108000000000001</v>
      </c>
      <c r="AN624" s="162">
        <v>2.8917999999999999</v>
      </c>
      <c r="AO624" s="162">
        <v>2.8723000000000001</v>
      </c>
      <c r="AP624" s="162">
        <v>2.8517999999999999</v>
      </c>
      <c r="AQ624" s="162">
        <v>2.8302999999999998</v>
      </c>
      <c r="AR624" s="162">
        <v>2.8117999999999999</v>
      </c>
      <c r="AS624" s="162">
        <v>2.7934999999999999</v>
      </c>
      <c r="AT624" s="162">
        <v>2.7768999999999999</v>
      </c>
      <c r="AU624" s="162">
        <v>2.7629000000000001</v>
      </c>
    </row>
    <row r="625" spans="1:47" ht="12.75" customHeight="1">
      <c r="A625" s="459">
        <v>45268</v>
      </c>
      <c r="B625" s="139">
        <v>49</v>
      </c>
      <c r="C625" s="162">
        <v>3.903</v>
      </c>
      <c r="D625" s="162">
        <v>3.903</v>
      </c>
      <c r="E625" s="162">
        <v>3.8990999999999998</v>
      </c>
      <c r="F625" s="162">
        <v>3.9007000000000001</v>
      </c>
      <c r="G625" s="162">
        <v>3.9033000000000002</v>
      </c>
      <c r="H625" s="162">
        <v>3.9096000000000002</v>
      </c>
      <c r="I625" s="162">
        <v>3.9150999999999998</v>
      </c>
      <c r="J625" s="162">
        <v>3.9100999999999999</v>
      </c>
      <c r="K625" s="162">
        <v>3.8932000000000002</v>
      </c>
      <c r="L625" s="162">
        <v>3.8729</v>
      </c>
      <c r="M625" s="162">
        <v>3.8466999999999998</v>
      </c>
      <c r="N625" s="162">
        <v>3.8140000000000001</v>
      </c>
      <c r="O625" s="162">
        <v>3.7774000000000001</v>
      </c>
      <c r="P625" s="162">
        <v>3.7410000000000001</v>
      </c>
      <c r="Q625" s="162">
        <v>3.7021999999999999</v>
      </c>
      <c r="R625" s="162">
        <v>3.6589999999999998</v>
      </c>
      <c r="S625" s="162">
        <v>3.1836000000000002</v>
      </c>
      <c r="T625" s="162">
        <v>2.9348000000000001</v>
      </c>
      <c r="U625" s="162">
        <v>2.8201999999999998</v>
      </c>
      <c r="V625" s="162">
        <v>2.7681</v>
      </c>
      <c r="W625" s="162">
        <v>2.7524999999999999</v>
      </c>
      <c r="X625" s="162">
        <v>2.7566000000000002</v>
      </c>
      <c r="Y625" s="162">
        <v>2.7700999999999998</v>
      </c>
      <c r="Z625" s="162">
        <v>2.7911000000000001</v>
      </c>
      <c r="AA625" s="162">
        <v>2.8180000000000001</v>
      </c>
      <c r="AB625" s="162">
        <v>2.8483000000000001</v>
      </c>
      <c r="AC625" s="162">
        <v>2.8759000000000001</v>
      </c>
      <c r="AD625" s="162">
        <v>2.9007999999999998</v>
      </c>
      <c r="AE625" s="162">
        <v>2.9152999999999998</v>
      </c>
      <c r="AF625" s="162">
        <v>2.9321999999999999</v>
      </c>
      <c r="AG625" s="162">
        <v>2.9281999999999999</v>
      </c>
      <c r="AH625" s="162">
        <v>2.9241999999999999</v>
      </c>
      <c r="AI625" s="162">
        <v>2.9201999999999999</v>
      </c>
      <c r="AJ625" s="162">
        <v>2.9161999999999999</v>
      </c>
      <c r="AK625" s="162">
        <v>2.9123000000000001</v>
      </c>
      <c r="AL625" s="162">
        <v>2.8969999999999998</v>
      </c>
      <c r="AM625" s="162">
        <v>2.88</v>
      </c>
      <c r="AN625" s="162">
        <v>2.8622999999999998</v>
      </c>
      <c r="AO625" s="162">
        <v>2.8437999999999999</v>
      </c>
      <c r="AP625" s="162">
        <v>2.8243999999999998</v>
      </c>
      <c r="AQ625" s="162">
        <v>2.8037999999999998</v>
      </c>
      <c r="AR625" s="162">
        <v>2.7863000000000002</v>
      </c>
      <c r="AS625" s="162">
        <v>2.7694999999999999</v>
      </c>
      <c r="AT625" s="162">
        <v>2.7536</v>
      </c>
      <c r="AU625" s="162">
        <v>2.7416</v>
      </c>
    </row>
    <row r="626" spans="1:47" ht="12.75" customHeight="1">
      <c r="A626" s="459">
        <v>45275</v>
      </c>
      <c r="B626" s="139">
        <v>50</v>
      </c>
      <c r="C626" s="162">
        <v>3.9009999999999998</v>
      </c>
      <c r="D626" s="162">
        <v>3.9009999999999998</v>
      </c>
      <c r="E626" s="162">
        <v>3.9001000000000001</v>
      </c>
      <c r="F626" s="162">
        <v>3.9009</v>
      </c>
      <c r="G626" s="162">
        <v>3.8999000000000001</v>
      </c>
      <c r="H626" s="162">
        <v>3.9011</v>
      </c>
      <c r="I626" s="162">
        <v>3.8972000000000002</v>
      </c>
      <c r="J626" s="162">
        <v>3.8658999999999999</v>
      </c>
      <c r="K626" s="162">
        <v>3.8184</v>
      </c>
      <c r="L626" s="162">
        <v>3.7751999999999999</v>
      </c>
      <c r="M626" s="162">
        <v>3.7130999999999998</v>
      </c>
      <c r="N626" s="162">
        <v>3.6511</v>
      </c>
      <c r="O626" s="162">
        <v>3.5888</v>
      </c>
      <c r="P626" s="162">
        <v>3.5268999999999999</v>
      </c>
      <c r="Q626" s="162">
        <v>3.4636</v>
      </c>
      <c r="R626" s="162">
        <v>3.4043000000000001</v>
      </c>
      <c r="S626" s="162">
        <v>2.8513999999999999</v>
      </c>
      <c r="T626" s="162">
        <v>2.6185</v>
      </c>
      <c r="U626" s="162">
        <v>2.5226000000000002</v>
      </c>
      <c r="V626" s="162">
        <v>2.4874000000000001</v>
      </c>
      <c r="W626" s="162">
        <v>2.4786999999999999</v>
      </c>
      <c r="X626" s="162">
        <v>2.4950999999999999</v>
      </c>
      <c r="Y626" s="162">
        <v>2.516</v>
      </c>
      <c r="Z626" s="162">
        <v>2.5407000000000002</v>
      </c>
      <c r="AA626" s="162">
        <v>2.5701000000000001</v>
      </c>
      <c r="AB626" s="162">
        <v>2.6006</v>
      </c>
      <c r="AC626" s="162">
        <v>2.6320000000000001</v>
      </c>
      <c r="AD626" s="162">
        <v>2.6549999999999998</v>
      </c>
      <c r="AE626" s="162">
        <v>2.6644000000000001</v>
      </c>
      <c r="AF626" s="162">
        <v>2.6905000000000001</v>
      </c>
      <c r="AG626" s="162">
        <v>2.6878000000000002</v>
      </c>
      <c r="AH626" s="162">
        <v>2.6850999999999998</v>
      </c>
      <c r="AI626" s="162">
        <v>2.6823999999999999</v>
      </c>
      <c r="AJ626" s="162">
        <v>2.6797</v>
      </c>
      <c r="AK626" s="162">
        <v>2.6770999999999998</v>
      </c>
      <c r="AL626" s="162">
        <v>2.6589999999999998</v>
      </c>
      <c r="AM626" s="162">
        <v>2.6442999999999999</v>
      </c>
      <c r="AN626" s="162">
        <v>2.6293000000000002</v>
      </c>
      <c r="AO626" s="162">
        <v>2.613</v>
      </c>
      <c r="AP626" s="162">
        <v>2.5990000000000002</v>
      </c>
      <c r="AQ626" s="162">
        <v>2.5760000000000001</v>
      </c>
      <c r="AR626" s="162">
        <v>2.5608</v>
      </c>
      <c r="AS626" s="162">
        <v>2.5457999999999998</v>
      </c>
      <c r="AT626" s="162">
        <v>2.5308000000000002</v>
      </c>
      <c r="AU626" s="162">
        <v>2.5255999999999998</v>
      </c>
    </row>
    <row r="627" spans="1:47" ht="12.75" customHeight="1">
      <c r="A627" s="459">
        <v>45282</v>
      </c>
      <c r="B627" s="139">
        <v>51</v>
      </c>
      <c r="C627" s="162">
        <v>3.9009999999999998</v>
      </c>
      <c r="D627" s="162">
        <v>3.9009999999999998</v>
      </c>
      <c r="E627" s="162">
        <v>3.9001000000000001</v>
      </c>
      <c r="F627" s="162">
        <v>3.9009</v>
      </c>
      <c r="G627" s="162">
        <v>3.8999000000000001</v>
      </c>
      <c r="H627" s="162">
        <v>3.9011</v>
      </c>
      <c r="I627" s="162">
        <v>3.8972000000000002</v>
      </c>
      <c r="J627" s="162">
        <v>3.8658999999999999</v>
      </c>
      <c r="K627" s="162">
        <v>3.8184</v>
      </c>
      <c r="L627" s="162">
        <v>3.7751999999999999</v>
      </c>
      <c r="M627" s="162">
        <v>3.7130999999999998</v>
      </c>
      <c r="N627" s="162">
        <v>3.6511</v>
      </c>
      <c r="O627" s="162">
        <v>3.5888</v>
      </c>
      <c r="P627" s="162">
        <v>3.5268999999999999</v>
      </c>
      <c r="Q627" s="162">
        <v>3.4636</v>
      </c>
      <c r="R627" s="162">
        <v>3.4043000000000001</v>
      </c>
      <c r="S627" s="162">
        <v>2.8513999999999999</v>
      </c>
      <c r="T627" s="162">
        <v>2.6185</v>
      </c>
      <c r="U627" s="162">
        <v>2.5226000000000002</v>
      </c>
      <c r="V627" s="162">
        <v>2.4874000000000001</v>
      </c>
      <c r="W627" s="162">
        <v>2.4786999999999999</v>
      </c>
      <c r="X627" s="162">
        <v>2.4950999999999999</v>
      </c>
      <c r="Y627" s="162">
        <v>2.516</v>
      </c>
      <c r="Z627" s="162">
        <v>2.5407000000000002</v>
      </c>
      <c r="AA627" s="162">
        <v>2.5701000000000001</v>
      </c>
      <c r="AB627" s="162">
        <v>2.6006</v>
      </c>
      <c r="AC627" s="162">
        <v>2.6320000000000001</v>
      </c>
      <c r="AD627" s="162">
        <v>2.6549999999999998</v>
      </c>
      <c r="AE627" s="162">
        <v>2.6644000000000001</v>
      </c>
      <c r="AF627" s="162">
        <v>2.6905000000000001</v>
      </c>
      <c r="AG627" s="162">
        <v>2.6878000000000002</v>
      </c>
      <c r="AH627" s="162">
        <v>2.6850999999999998</v>
      </c>
      <c r="AI627" s="162">
        <v>2.6823999999999999</v>
      </c>
      <c r="AJ627" s="162">
        <v>2.6797</v>
      </c>
      <c r="AK627" s="162">
        <v>2.6770999999999998</v>
      </c>
      <c r="AL627" s="162">
        <v>2.6589999999999998</v>
      </c>
      <c r="AM627" s="162">
        <v>2.6442999999999999</v>
      </c>
      <c r="AN627" s="162">
        <v>2.6293000000000002</v>
      </c>
      <c r="AO627" s="162">
        <v>2.613</v>
      </c>
      <c r="AP627" s="162">
        <v>2.5990000000000002</v>
      </c>
      <c r="AQ627" s="162">
        <v>2.5760000000000001</v>
      </c>
      <c r="AR627" s="162">
        <v>2.5608</v>
      </c>
      <c r="AS627" s="162">
        <v>2.5457999999999998</v>
      </c>
      <c r="AT627" s="162">
        <v>2.5308000000000002</v>
      </c>
      <c r="AU627" s="162">
        <v>2.5255999999999998</v>
      </c>
    </row>
    <row r="628" spans="1:47" ht="12.75" customHeight="1">
      <c r="A628" s="459">
        <v>45289</v>
      </c>
      <c r="B628" s="139">
        <v>52</v>
      </c>
      <c r="C628" s="162">
        <v>3.9033000000000002</v>
      </c>
      <c r="D628" s="162">
        <v>3.9033000000000002</v>
      </c>
      <c r="E628" s="162">
        <v>3.8990999999999998</v>
      </c>
      <c r="F628" s="162">
        <v>3.8957000000000002</v>
      </c>
      <c r="G628" s="162">
        <v>3.9018000000000002</v>
      </c>
      <c r="H628" s="162">
        <v>3.9041000000000001</v>
      </c>
      <c r="I628" s="162">
        <v>3.8984000000000001</v>
      </c>
      <c r="J628" s="162">
        <v>3.8698000000000001</v>
      </c>
      <c r="K628" s="162">
        <v>3.8182</v>
      </c>
      <c r="L628" s="162">
        <v>3.7681</v>
      </c>
      <c r="M628" s="162">
        <v>3.6997</v>
      </c>
      <c r="N628" s="162">
        <v>3.6160000000000001</v>
      </c>
      <c r="O628" s="162">
        <v>3.5419999999999998</v>
      </c>
      <c r="P628" s="162">
        <v>3.4678</v>
      </c>
      <c r="Q628" s="162">
        <v>3.3902999999999999</v>
      </c>
      <c r="R628" s="162">
        <v>3.3210999999999999</v>
      </c>
      <c r="S628" s="162">
        <v>2.6861000000000002</v>
      </c>
      <c r="T628" s="162">
        <v>2.4192</v>
      </c>
      <c r="U628" s="162">
        <v>2.3016000000000001</v>
      </c>
      <c r="V628" s="162">
        <v>2.2496999999999998</v>
      </c>
      <c r="W628" s="162">
        <v>2.2368000000000001</v>
      </c>
      <c r="X628" s="162">
        <v>2.2368999999999999</v>
      </c>
      <c r="Y628" s="162">
        <v>2.25</v>
      </c>
      <c r="Z628" s="162">
        <v>2.2704</v>
      </c>
      <c r="AA628" s="162">
        <v>2.2991000000000001</v>
      </c>
      <c r="AB628" s="162">
        <v>2.3289</v>
      </c>
      <c r="AC628" s="162">
        <v>2.3534000000000002</v>
      </c>
      <c r="AD628" s="162">
        <v>2.3795999999999999</v>
      </c>
      <c r="AE628" s="162">
        <v>2.3988</v>
      </c>
      <c r="AF628" s="162">
        <v>2.4117999999999999</v>
      </c>
      <c r="AG628" s="162">
        <v>2.4097</v>
      </c>
      <c r="AH628" s="162">
        <v>2.4076</v>
      </c>
      <c r="AI628" s="162">
        <v>2.4055</v>
      </c>
      <c r="AJ628" s="162">
        <v>2.4034</v>
      </c>
      <c r="AK628" s="162">
        <v>2.4013</v>
      </c>
      <c r="AL628" s="162">
        <v>2.39</v>
      </c>
      <c r="AM628" s="162">
        <v>2.3757999999999999</v>
      </c>
      <c r="AN628" s="162">
        <v>2.3613</v>
      </c>
      <c r="AO628" s="162">
        <v>2.3454999999999999</v>
      </c>
      <c r="AP628" s="162">
        <v>2.3290000000000002</v>
      </c>
      <c r="AQ628" s="162">
        <v>2.3132999999999999</v>
      </c>
      <c r="AR628" s="162">
        <v>2.2988</v>
      </c>
      <c r="AS628" s="162">
        <v>2.2839999999999998</v>
      </c>
      <c r="AT628" s="162">
        <v>2.2707999999999999</v>
      </c>
      <c r="AU628" s="162">
        <v>2.2572999999999999</v>
      </c>
    </row>
    <row r="629" spans="1:47" ht="12.75" customHeight="1">
      <c r="A629" s="459">
        <v>45296</v>
      </c>
      <c r="B629" s="139">
        <v>1</v>
      </c>
      <c r="C629" s="162">
        <v>3.8993000000000002</v>
      </c>
      <c r="D629" s="162">
        <v>3.8993000000000002</v>
      </c>
      <c r="E629" s="162">
        <v>3.8906999999999998</v>
      </c>
      <c r="F629" s="162">
        <v>3.8963999999999999</v>
      </c>
      <c r="G629" s="162">
        <v>3.9026000000000001</v>
      </c>
      <c r="H629" s="162">
        <v>3.9015</v>
      </c>
      <c r="I629" s="162">
        <v>3.88</v>
      </c>
      <c r="J629" s="162">
        <v>3.8277999999999999</v>
      </c>
      <c r="K629" s="162">
        <v>3.7734999999999999</v>
      </c>
      <c r="L629" s="162">
        <v>3.7082999999999999</v>
      </c>
      <c r="M629" s="162">
        <v>3.6291000000000002</v>
      </c>
      <c r="N629" s="162">
        <v>3.5427</v>
      </c>
      <c r="O629" s="162">
        <v>3.4609999999999999</v>
      </c>
      <c r="P629" s="162">
        <v>3.3807999999999998</v>
      </c>
      <c r="Q629" s="162">
        <v>3.3</v>
      </c>
      <c r="R629" s="162">
        <v>3.222</v>
      </c>
      <c r="S629" s="162">
        <v>2.5608</v>
      </c>
      <c r="T629" s="162">
        <v>2.2980999999999998</v>
      </c>
      <c r="U629" s="162">
        <v>2.1850000000000001</v>
      </c>
      <c r="V629" s="162">
        <v>2.1421000000000001</v>
      </c>
      <c r="W629" s="162">
        <v>2.1457000000000002</v>
      </c>
      <c r="X629" s="162">
        <v>2.1455000000000002</v>
      </c>
      <c r="Y629" s="162">
        <v>2.1629999999999998</v>
      </c>
      <c r="Z629" s="162">
        <v>2.1871999999999998</v>
      </c>
      <c r="AA629" s="162">
        <v>2.2122000000000002</v>
      </c>
      <c r="AB629" s="162">
        <v>2.2475000000000001</v>
      </c>
      <c r="AC629" s="162">
        <v>2.2812999999999999</v>
      </c>
      <c r="AD629" s="162">
        <v>2.3096999999999999</v>
      </c>
      <c r="AE629" s="162">
        <v>2.3239999999999998</v>
      </c>
      <c r="AF629" s="162">
        <v>2.3456999999999999</v>
      </c>
      <c r="AG629" s="162">
        <v>2.3466999999999998</v>
      </c>
      <c r="AH629" s="162">
        <v>2.3477999999999999</v>
      </c>
      <c r="AI629" s="162">
        <v>2.3488000000000002</v>
      </c>
      <c r="AJ629" s="162">
        <v>2.3498999999999999</v>
      </c>
      <c r="AK629" s="162">
        <v>2.351</v>
      </c>
      <c r="AL629" s="162">
        <v>2.3410000000000002</v>
      </c>
      <c r="AM629" s="162">
        <v>2.3279999999999998</v>
      </c>
      <c r="AN629" s="162">
        <v>2.3144999999999998</v>
      </c>
      <c r="AO629" s="162">
        <v>2.2995000000000001</v>
      </c>
      <c r="AP629" s="162">
        <v>2.2793999999999999</v>
      </c>
      <c r="AQ629" s="162">
        <v>2.262</v>
      </c>
      <c r="AR629" s="162">
        <v>2.2480000000000002</v>
      </c>
      <c r="AS629" s="162">
        <v>2.2345000000000002</v>
      </c>
      <c r="AT629" s="162">
        <v>2.2225000000000001</v>
      </c>
      <c r="AU629" s="162">
        <v>2.2113</v>
      </c>
    </row>
    <row r="630" spans="1:47" ht="12.75" customHeight="1">
      <c r="A630" s="459">
        <v>45303</v>
      </c>
      <c r="B630" s="139">
        <v>2</v>
      </c>
      <c r="C630" s="162">
        <v>3.8959999999999999</v>
      </c>
      <c r="D630" s="162">
        <v>3.8959999999999999</v>
      </c>
      <c r="E630" s="162">
        <v>3.9</v>
      </c>
      <c r="F630" s="162">
        <v>3.9024000000000001</v>
      </c>
      <c r="G630" s="162">
        <v>3.9026000000000001</v>
      </c>
      <c r="H630" s="162">
        <v>3.9011999999999998</v>
      </c>
      <c r="I630" s="162">
        <v>3.8715000000000002</v>
      </c>
      <c r="J630" s="162">
        <v>3.8140000000000001</v>
      </c>
      <c r="K630" s="162">
        <v>3.7624</v>
      </c>
      <c r="L630" s="162">
        <v>3.6922000000000001</v>
      </c>
      <c r="M630" s="162">
        <v>3.6107</v>
      </c>
      <c r="N630" s="162">
        <v>3.5318000000000001</v>
      </c>
      <c r="O630" s="162">
        <v>3.4550999999999998</v>
      </c>
      <c r="P630" s="162">
        <v>3.3734999999999999</v>
      </c>
      <c r="Q630" s="162">
        <v>3.2988</v>
      </c>
      <c r="R630" s="162">
        <v>3.2229999999999999</v>
      </c>
      <c r="S630" s="162">
        <v>2.5787</v>
      </c>
      <c r="T630" s="162">
        <v>2.3298000000000001</v>
      </c>
      <c r="U630" s="162">
        <v>2.2364000000000002</v>
      </c>
      <c r="V630" s="162">
        <v>2.2027999999999999</v>
      </c>
      <c r="W630" s="162">
        <v>2.2012</v>
      </c>
      <c r="X630" s="162">
        <v>2.2166999999999999</v>
      </c>
      <c r="Y630" s="162">
        <v>2.2401</v>
      </c>
      <c r="Z630" s="162">
        <v>2.2690000000000001</v>
      </c>
      <c r="AA630" s="162">
        <v>2.3039000000000001</v>
      </c>
      <c r="AB630" s="162">
        <v>2.3361000000000001</v>
      </c>
      <c r="AC630" s="162">
        <v>2.3698000000000001</v>
      </c>
      <c r="AD630" s="162">
        <v>2.3969999999999998</v>
      </c>
      <c r="AE630" s="162">
        <v>2.42</v>
      </c>
      <c r="AF630" s="162">
        <v>2.4369999999999998</v>
      </c>
      <c r="AG630" s="162">
        <v>2.4377</v>
      </c>
      <c r="AH630" s="162">
        <v>2.4384999999999999</v>
      </c>
      <c r="AI630" s="162">
        <v>2.4392</v>
      </c>
      <c r="AJ630" s="162">
        <v>2.44</v>
      </c>
      <c r="AK630" s="162">
        <v>2.4407999999999999</v>
      </c>
      <c r="AL630" s="162">
        <v>2.431</v>
      </c>
      <c r="AM630" s="162">
        <v>2.4171999999999998</v>
      </c>
      <c r="AN630" s="162">
        <v>2.4033000000000002</v>
      </c>
      <c r="AO630" s="162">
        <v>2.3893</v>
      </c>
      <c r="AP630" s="162">
        <v>2.3738000000000001</v>
      </c>
      <c r="AQ630" s="162">
        <v>2.3563000000000001</v>
      </c>
      <c r="AR630" s="162">
        <v>2.3420000000000001</v>
      </c>
      <c r="AS630" s="162">
        <v>2.3287</v>
      </c>
      <c r="AT630" s="162">
        <v>2.3161999999999998</v>
      </c>
      <c r="AU630" s="162">
        <v>2.3073000000000001</v>
      </c>
    </row>
    <row r="631" spans="1:47" ht="12.75" customHeight="1">
      <c r="A631" s="459">
        <v>45310</v>
      </c>
      <c r="B631" s="139">
        <v>3</v>
      </c>
      <c r="C631" s="162">
        <v>3.9037999999999999</v>
      </c>
      <c r="D631" s="162">
        <v>3.9037999999999999</v>
      </c>
      <c r="E631" s="162">
        <v>3.9030999999999998</v>
      </c>
      <c r="F631" s="162">
        <v>3.9045000000000001</v>
      </c>
      <c r="G631" s="162">
        <v>3.9045000000000001</v>
      </c>
      <c r="H631" s="162">
        <v>3.9081999999999999</v>
      </c>
      <c r="I631" s="162">
        <v>3.8813</v>
      </c>
      <c r="J631" s="162">
        <v>3.8275999999999999</v>
      </c>
      <c r="K631" s="162">
        <v>3.7892999999999999</v>
      </c>
      <c r="L631" s="162">
        <v>3.7225000000000001</v>
      </c>
      <c r="M631" s="162">
        <v>3.6495000000000002</v>
      </c>
      <c r="N631" s="162">
        <v>3.5853000000000002</v>
      </c>
      <c r="O631" s="162">
        <v>3.5158</v>
      </c>
      <c r="P631" s="162">
        <v>3.4424000000000001</v>
      </c>
      <c r="Q631" s="162">
        <v>3.3803999999999998</v>
      </c>
      <c r="R631" s="162">
        <v>3.3109000000000002</v>
      </c>
      <c r="S631" s="162">
        <v>2.7185000000000001</v>
      </c>
      <c r="T631" s="162">
        <v>2.4786999999999999</v>
      </c>
      <c r="U631" s="162">
        <v>2.3822000000000001</v>
      </c>
      <c r="V631" s="162">
        <v>2.3449</v>
      </c>
      <c r="W631" s="162">
        <v>2.3431999999999999</v>
      </c>
      <c r="X631" s="162">
        <v>2.3519999999999999</v>
      </c>
      <c r="Y631" s="162">
        <v>2.3727</v>
      </c>
      <c r="Z631" s="162">
        <v>2.3978999999999999</v>
      </c>
      <c r="AA631" s="162">
        <v>2.4262999999999999</v>
      </c>
      <c r="AB631" s="162">
        <v>2.464</v>
      </c>
      <c r="AC631" s="162">
        <v>2.4906000000000001</v>
      </c>
      <c r="AD631" s="162">
        <v>2.5185</v>
      </c>
      <c r="AE631" s="162">
        <v>2.5400999999999998</v>
      </c>
      <c r="AF631" s="162">
        <v>2.5495000000000001</v>
      </c>
      <c r="AG631" s="162">
        <v>2.5476999999999999</v>
      </c>
      <c r="AH631" s="162">
        <v>2.5459000000000001</v>
      </c>
      <c r="AI631" s="162">
        <v>2.544</v>
      </c>
      <c r="AJ631" s="162">
        <v>2.5421999999999998</v>
      </c>
      <c r="AK631" s="162">
        <v>2.5404</v>
      </c>
      <c r="AL631" s="162">
        <v>2.5285000000000002</v>
      </c>
      <c r="AM631" s="162">
        <v>2.5146000000000002</v>
      </c>
      <c r="AN631" s="162">
        <v>2.4986000000000002</v>
      </c>
      <c r="AO631" s="162">
        <v>2.4823</v>
      </c>
      <c r="AP631" s="162">
        <v>2.4662999999999999</v>
      </c>
      <c r="AQ631" s="162">
        <v>2.4533999999999998</v>
      </c>
      <c r="AR631" s="162">
        <v>2.4378000000000002</v>
      </c>
      <c r="AS631" s="162">
        <v>2.4224000000000001</v>
      </c>
      <c r="AT631" s="162">
        <v>2.4077999999999999</v>
      </c>
      <c r="AU631" s="162">
        <v>2.3900999999999999</v>
      </c>
    </row>
    <row r="632" spans="1:47" ht="12.75" customHeight="1">
      <c r="A632" s="459">
        <v>45317</v>
      </c>
      <c r="B632" s="139">
        <v>4</v>
      </c>
      <c r="C632" s="162">
        <v>3.9039999999999999</v>
      </c>
      <c r="D632" s="162">
        <v>3.9039999999999999</v>
      </c>
      <c r="E632" s="162">
        <v>3.9041000000000001</v>
      </c>
      <c r="F632" s="162">
        <v>3.9047000000000001</v>
      </c>
      <c r="G632" s="162">
        <v>3.9047999999999998</v>
      </c>
      <c r="H632" s="162">
        <v>3.9043000000000001</v>
      </c>
      <c r="I632" s="162">
        <v>3.8892000000000002</v>
      </c>
      <c r="J632" s="162">
        <v>3.8361000000000001</v>
      </c>
      <c r="K632" s="162">
        <v>3.7948</v>
      </c>
      <c r="L632" s="162">
        <v>3.7282999999999999</v>
      </c>
      <c r="M632" s="162">
        <v>3.6469999999999998</v>
      </c>
      <c r="N632" s="162">
        <v>3.5830000000000002</v>
      </c>
      <c r="O632" s="162">
        <v>3.5063</v>
      </c>
      <c r="P632" s="162">
        <v>3.4264000000000001</v>
      </c>
      <c r="Q632" s="162">
        <v>3.3631000000000002</v>
      </c>
      <c r="R632" s="162">
        <v>3.2907999999999999</v>
      </c>
      <c r="S632" s="162">
        <v>2.6972999999999998</v>
      </c>
      <c r="T632" s="162">
        <v>2.4742999999999999</v>
      </c>
      <c r="U632" s="162">
        <v>2.3902999999999999</v>
      </c>
      <c r="V632" s="162">
        <v>2.3652000000000002</v>
      </c>
      <c r="W632" s="162">
        <v>2.3687</v>
      </c>
      <c r="X632" s="162">
        <v>2.3784999999999998</v>
      </c>
      <c r="Y632" s="162">
        <v>2.4011999999999998</v>
      </c>
      <c r="Z632" s="162">
        <v>2.4283000000000001</v>
      </c>
      <c r="AA632" s="162">
        <v>2.4582999999999999</v>
      </c>
      <c r="AB632" s="162">
        <v>2.4996999999999998</v>
      </c>
      <c r="AC632" s="162">
        <v>2.5247999999999999</v>
      </c>
      <c r="AD632" s="162">
        <v>2.5566</v>
      </c>
      <c r="AE632" s="162">
        <v>2.5785</v>
      </c>
      <c r="AF632" s="162">
        <v>2.5897999999999999</v>
      </c>
      <c r="AG632" s="162">
        <v>2.5888</v>
      </c>
      <c r="AH632" s="162">
        <v>2.5878999999999999</v>
      </c>
      <c r="AI632" s="162">
        <v>2.5869</v>
      </c>
      <c r="AJ632" s="162">
        <v>2.5859999999999999</v>
      </c>
      <c r="AK632" s="162">
        <v>2.585</v>
      </c>
      <c r="AL632" s="162">
        <v>2.5746000000000002</v>
      </c>
      <c r="AM632" s="162">
        <v>2.56</v>
      </c>
      <c r="AN632" s="162">
        <v>2.5440999999999998</v>
      </c>
      <c r="AO632" s="162">
        <v>2.5284</v>
      </c>
      <c r="AP632" s="162">
        <v>2.5110999999999999</v>
      </c>
      <c r="AQ632" s="162">
        <v>2.4986000000000002</v>
      </c>
      <c r="AR632" s="162">
        <v>2.4832999999999998</v>
      </c>
      <c r="AS632" s="162">
        <v>2.4666999999999999</v>
      </c>
      <c r="AT632" s="162">
        <v>2.452</v>
      </c>
      <c r="AU632" s="162">
        <v>2.4342000000000001</v>
      </c>
    </row>
    <row r="633" spans="1:47" ht="12.75" customHeight="1">
      <c r="A633" s="459">
        <v>45324</v>
      </c>
      <c r="B633" s="139">
        <v>5</v>
      </c>
      <c r="C633" s="162">
        <v>3.9037999999999999</v>
      </c>
      <c r="D633" s="162">
        <v>3.9037999999999999</v>
      </c>
      <c r="E633" s="162">
        <v>3.9028</v>
      </c>
      <c r="F633" s="162">
        <v>3.9018999999999999</v>
      </c>
      <c r="G633" s="162">
        <v>3.9049</v>
      </c>
      <c r="H633" s="162">
        <v>3.9045000000000001</v>
      </c>
      <c r="I633" s="162">
        <v>3.8908999999999998</v>
      </c>
      <c r="J633" s="162">
        <v>3.8626999999999998</v>
      </c>
      <c r="K633" s="162">
        <v>3.8250999999999999</v>
      </c>
      <c r="L633" s="162">
        <v>3.7740999999999998</v>
      </c>
      <c r="M633" s="162">
        <v>3.7014</v>
      </c>
      <c r="N633" s="162">
        <v>3.6435</v>
      </c>
      <c r="O633" s="162">
        <v>3.5764</v>
      </c>
      <c r="P633" s="162">
        <v>3.5019</v>
      </c>
      <c r="Q633" s="162">
        <v>3.4405999999999999</v>
      </c>
      <c r="R633" s="162">
        <v>3.3774999999999999</v>
      </c>
      <c r="S633" s="162">
        <v>2.8052000000000001</v>
      </c>
      <c r="T633" s="162">
        <v>2.5876999999999999</v>
      </c>
      <c r="U633" s="162">
        <v>2.5</v>
      </c>
      <c r="V633" s="162">
        <v>2.4668999999999999</v>
      </c>
      <c r="W633" s="162">
        <v>2.4597000000000002</v>
      </c>
      <c r="X633" s="162">
        <v>2.4693999999999998</v>
      </c>
      <c r="Y633" s="162">
        <v>2.4857999999999998</v>
      </c>
      <c r="Z633" s="162">
        <v>2.508</v>
      </c>
      <c r="AA633" s="162">
        <v>2.5392999999999999</v>
      </c>
      <c r="AB633" s="162">
        <v>2.5667</v>
      </c>
      <c r="AC633" s="162">
        <v>2.5949</v>
      </c>
      <c r="AD633" s="162">
        <v>2.621</v>
      </c>
      <c r="AE633" s="162">
        <v>2.6417999999999999</v>
      </c>
      <c r="AF633" s="162">
        <v>2.6551999999999998</v>
      </c>
      <c r="AG633" s="162">
        <v>2.6522000000000001</v>
      </c>
      <c r="AH633" s="162">
        <v>2.6492</v>
      </c>
      <c r="AI633" s="162">
        <v>2.6461999999999999</v>
      </c>
      <c r="AJ633" s="162">
        <v>2.6432000000000002</v>
      </c>
      <c r="AK633" s="162">
        <v>2.6402000000000001</v>
      </c>
      <c r="AL633" s="162">
        <v>2.6269999999999998</v>
      </c>
      <c r="AM633" s="162">
        <v>2.6105999999999998</v>
      </c>
      <c r="AN633" s="162">
        <v>2.593</v>
      </c>
      <c r="AO633" s="162">
        <v>2.5745</v>
      </c>
      <c r="AP633" s="162">
        <v>2.5541</v>
      </c>
      <c r="AQ633" s="162">
        <v>2.5373000000000001</v>
      </c>
      <c r="AR633" s="162">
        <v>2.5190999999999999</v>
      </c>
      <c r="AS633" s="162">
        <v>2.5013000000000001</v>
      </c>
      <c r="AT633" s="162">
        <v>2.4843000000000002</v>
      </c>
      <c r="AU633" s="162">
        <v>2.4670999999999998</v>
      </c>
    </row>
    <row r="634" spans="1:47" ht="12.75" customHeight="1">
      <c r="A634" s="459">
        <v>45331</v>
      </c>
      <c r="B634" s="139">
        <v>6</v>
      </c>
      <c r="C634" s="162">
        <v>3.9058000000000002</v>
      </c>
      <c r="D634" s="162">
        <v>3.9058000000000002</v>
      </c>
      <c r="E634" s="162">
        <v>3.9015</v>
      </c>
      <c r="F634" s="162">
        <v>3.9028</v>
      </c>
      <c r="G634" s="162">
        <v>3.9060000000000001</v>
      </c>
      <c r="H634" s="162">
        <v>3.8957000000000002</v>
      </c>
      <c r="I634" s="162">
        <v>3.8612000000000002</v>
      </c>
      <c r="J634" s="162">
        <v>3.8214999999999999</v>
      </c>
      <c r="K634" s="162">
        <v>3.7654000000000001</v>
      </c>
      <c r="L634" s="162">
        <v>3.6970999999999998</v>
      </c>
      <c r="M634" s="162">
        <v>3.6194000000000002</v>
      </c>
      <c r="N634" s="162">
        <v>3.5508999999999999</v>
      </c>
      <c r="O634" s="162">
        <v>3.4759000000000002</v>
      </c>
      <c r="P634" s="162">
        <v>3.4005999999999998</v>
      </c>
      <c r="Q634" s="162">
        <v>3.3300999999999998</v>
      </c>
      <c r="R634" s="162">
        <v>3.2650000000000001</v>
      </c>
      <c r="S634" s="162">
        <v>2.6833</v>
      </c>
      <c r="T634" s="162">
        <v>2.4687000000000001</v>
      </c>
      <c r="U634" s="162">
        <v>2.3826999999999998</v>
      </c>
      <c r="V634" s="162">
        <v>2.3546</v>
      </c>
      <c r="W634" s="162">
        <v>2.3553999999999999</v>
      </c>
      <c r="X634" s="162">
        <v>2.3717000000000001</v>
      </c>
      <c r="Y634" s="162">
        <v>2.3948999999999998</v>
      </c>
      <c r="Z634" s="162">
        <v>2.4220999999999999</v>
      </c>
      <c r="AA634" s="162">
        <v>2.4546000000000001</v>
      </c>
      <c r="AB634" s="162">
        <v>2.4863</v>
      </c>
      <c r="AC634" s="162">
        <v>2.5186999999999999</v>
      </c>
      <c r="AD634" s="162">
        <v>2.5465</v>
      </c>
      <c r="AE634" s="162">
        <v>2.5642999999999998</v>
      </c>
      <c r="AF634" s="162">
        <v>2.5884999999999998</v>
      </c>
      <c r="AG634" s="162">
        <v>2.5888</v>
      </c>
      <c r="AH634" s="162">
        <v>2.5891000000000002</v>
      </c>
      <c r="AI634" s="162">
        <v>2.5893999999999999</v>
      </c>
      <c r="AJ634" s="162">
        <v>2.5895999999999999</v>
      </c>
      <c r="AK634" s="162">
        <v>2.5899000000000001</v>
      </c>
      <c r="AL634" s="162">
        <v>2.5779000000000001</v>
      </c>
      <c r="AM634" s="162">
        <v>2.5644</v>
      </c>
      <c r="AN634" s="162">
        <v>2.5497999999999998</v>
      </c>
      <c r="AO634" s="162">
        <v>2.5337999999999998</v>
      </c>
      <c r="AP634" s="162">
        <v>2.5183</v>
      </c>
      <c r="AQ634" s="162">
        <v>2.5017999999999998</v>
      </c>
      <c r="AR634" s="162">
        <v>2.4859</v>
      </c>
      <c r="AS634" s="162">
        <v>2.4704000000000002</v>
      </c>
      <c r="AT634" s="162">
        <v>2.4561000000000002</v>
      </c>
      <c r="AU634" s="162">
        <v>2.4426000000000001</v>
      </c>
    </row>
    <row r="635" spans="1:47" ht="12.75" customHeight="1">
      <c r="A635" s="459">
        <v>45338</v>
      </c>
      <c r="B635" s="139">
        <v>7</v>
      </c>
      <c r="C635" s="162">
        <v>3.9064999999999999</v>
      </c>
      <c r="D635" s="162">
        <v>3.9064999999999999</v>
      </c>
      <c r="E635" s="162">
        <v>3.9003000000000001</v>
      </c>
      <c r="F635" s="162">
        <v>3.9016000000000002</v>
      </c>
      <c r="G635" s="162">
        <v>3.9039000000000001</v>
      </c>
      <c r="H635" s="162">
        <v>3.8956</v>
      </c>
      <c r="I635" s="162">
        <v>3.8647999999999998</v>
      </c>
      <c r="J635" s="162">
        <v>3.8389000000000002</v>
      </c>
      <c r="K635" s="162">
        <v>3.7822</v>
      </c>
      <c r="L635" s="162">
        <v>3.7235</v>
      </c>
      <c r="M635" s="162">
        <v>3.6591</v>
      </c>
      <c r="N635" s="162">
        <v>3.5966999999999998</v>
      </c>
      <c r="O635" s="162">
        <v>3.5278</v>
      </c>
      <c r="P635" s="162">
        <v>3.4628000000000001</v>
      </c>
      <c r="Q635" s="162">
        <v>3.3993000000000002</v>
      </c>
      <c r="R635" s="162">
        <v>3.3357000000000001</v>
      </c>
      <c r="S635" s="162">
        <v>2.7728000000000002</v>
      </c>
      <c r="T635" s="162">
        <v>2.5512000000000001</v>
      </c>
      <c r="U635" s="162">
        <v>2.4502000000000002</v>
      </c>
      <c r="V635" s="162">
        <v>2.4108999999999998</v>
      </c>
      <c r="W635" s="162">
        <v>2.4035000000000002</v>
      </c>
      <c r="X635" s="162">
        <v>2.4123000000000001</v>
      </c>
      <c r="Y635" s="162">
        <v>2.4291</v>
      </c>
      <c r="Z635" s="162">
        <v>2.452</v>
      </c>
      <c r="AA635" s="162">
        <v>2.4857999999999998</v>
      </c>
      <c r="AB635" s="162">
        <v>2.5104000000000002</v>
      </c>
      <c r="AC635" s="162">
        <v>2.54</v>
      </c>
      <c r="AD635" s="162">
        <v>2.5655999999999999</v>
      </c>
      <c r="AE635" s="162">
        <v>2.5861000000000001</v>
      </c>
      <c r="AF635" s="162">
        <v>2.6029</v>
      </c>
      <c r="AG635" s="162">
        <v>2.6013000000000002</v>
      </c>
      <c r="AH635" s="162">
        <v>2.5996999999999999</v>
      </c>
      <c r="AI635" s="162">
        <v>2.5979999999999999</v>
      </c>
      <c r="AJ635" s="162">
        <v>2.5964</v>
      </c>
      <c r="AK635" s="162">
        <v>2.5948000000000002</v>
      </c>
      <c r="AL635" s="162">
        <v>2.5802999999999998</v>
      </c>
      <c r="AM635" s="162">
        <v>2.5663</v>
      </c>
      <c r="AN635" s="162">
        <v>2.5510999999999999</v>
      </c>
      <c r="AO635" s="162">
        <v>2.5350000000000001</v>
      </c>
      <c r="AP635" s="162">
        <v>2.5186999999999999</v>
      </c>
      <c r="AQ635" s="162">
        <v>2.4998</v>
      </c>
      <c r="AR635" s="162">
        <v>2.4843000000000002</v>
      </c>
      <c r="AS635" s="162">
        <v>2.4681000000000002</v>
      </c>
      <c r="AT635" s="162">
        <v>2.4531000000000001</v>
      </c>
      <c r="AU635" s="162">
        <v>2.4422999999999999</v>
      </c>
    </row>
    <row r="636" spans="1:47" ht="12.75" customHeight="1">
      <c r="A636" s="459">
        <v>45345</v>
      </c>
      <c r="B636" s="139">
        <v>8</v>
      </c>
      <c r="C636" s="162">
        <v>3.9094000000000002</v>
      </c>
      <c r="D636" s="162">
        <v>3.9094000000000002</v>
      </c>
      <c r="E636" s="162">
        <v>3.9062000000000001</v>
      </c>
      <c r="F636" s="162">
        <v>3.9068999999999998</v>
      </c>
      <c r="G636" s="162">
        <v>3.9081999999999999</v>
      </c>
      <c r="H636" s="162">
        <v>3.9049</v>
      </c>
      <c r="I636" s="162">
        <v>3.8723999999999998</v>
      </c>
      <c r="J636" s="162">
        <v>3.85</v>
      </c>
      <c r="K636" s="162">
        <v>3.8003</v>
      </c>
      <c r="L636" s="162">
        <v>3.7463000000000002</v>
      </c>
      <c r="M636" s="162">
        <v>3.6968000000000001</v>
      </c>
      <c r="N636" s="162">
        <v>3.6395</v>
      </c>
      <c r="O636" s="162">
        <v>3.5754999999999999</v>
      </c>
      <c r="P636" s="162">
        <v>3.5215000000000001</v>
      </c>
      <c r="Q636" s="162">
        <v>3.4620000000000002</v>
      </c>
      <c r="R636" s="162">
        <v>3.403</v>
      </c>
      <c r="S636" s="162">
        <v>2.8765999999999998</v>
      </c>
      <c r="T636" s="162">
        <v>2.6549999999999998</v>
      </c>
      <c r="U636" s="162">
        <v>2.5531000000000001</v>
      </c>
      <c r="V636" s="162">
        <v>2.5065</v>
      </c>
      <c r="W636" s="162">
        <v>2.4908000000000001</v>
      </c>
      <c r="X636" s="162">
        <v>2.4931999999999999</v>
      </c>
      <c r="Y636" s="162">
        <v>2.5042</v>
      </c>
      <c r="Z636" s="162">
        <v>2.5221</v>
      </c>
      <c r="AA636" s="162">
        <v>2.5522999999999998</v>
      </c>
      <c r="AB636" s="162">
        <v>2.5708000000000002</v>
      </c>
      <c r="AC636" s="162">
        <v>2.5964999999999998</v>
      </c>
      <c r="AD636" s="162">
        <v>2.6198999999999999</v>
      </c>
      <c r="AE636" s="162">
        <v>2.6387999999999998</v>
      </c>
      <c r="AF636" s="162">
        <v>2.6515</v>
      </c>
      <c r="AG636" s="162">
        <v>2.6478999999999999</v>
      </c>
      <c r="AH636" s="162">
        <v>2.6442999999999999</v>
      </c>
      <c r="AI636" s="162">
        <v>2.6406999999999998</v>
      </c>
      <c r="AJ636" s="162">
        <v>2.6371000000000002</v>
      </c>
      <c r="AK636" s="162">
        <v>2.6335000000000002</v>
      </c>
      <c r="AL636" s="162">
        <v>2.62</v>
      </c>
      <c r="AM636" s="162">
        <v>2.6048</v>
      </c>
      <c r="AN636" s="162">
        <v>2.589</v>
      </c>
      <c r="AO636" s="162">
        <v>2.5714999999999999</v>
      </c>
      <c r="AP636" s="162">
        <v>2.5539999999999998</v>
      </c>
      <c r="AQ636" s="162">
        <v>2.5373000000000001</v>
      </c>
      <c r="AR636" s="162">
        <v>2.5205000000000002</v>
      </c>
      <c r="AS636" s="162">
        <v>2.5043000000000002</v>
      </c>
      <c r="AT636" s="162">
        <v>2.488</v>
      </c>
      <c r="AU636" s="162">
        <v>2.4722</v>
      </c>
    </row>
    <row r="637" spans="1:47" ht="12.75" customHeight="1">
      <c r="A637" s="459">
        <v>45352</v>
      </c>
      <c r="B637" s="139">
        <v>9</v>
      </c>
      <c r="C637" s="162">
        <v>3.9102000000000001</v>
      </c>
      <c r="D637" s="162">
        <v>3.9102000000000001</v>
      </c>
      <c r="E637" s="162">
        <v>3.9085999999999999</v>
      </c>
      <c r="F637" s="162">
        <v>3.9091999999999998</v>
      </c>
      <c r="G637" s="162">
        <v>3.9094000000000002</v>
      </c>
      <c r="H637" s="162">
        <v>3.903</v>
      </c>
      <c r="I637" s="162">
        <v>3.8799000000000001</v>
      </c>
      <c r="J637" s="162">
        <v>3.8531</v>
      </c>
      <c r="K637" s="162">
        <v>3.8130999999999999</v>
      </c>
      <c r="L637" s="162">
        <v>3.7585999999999999</v>
      </c>
      <c r="M637" s="162">
        <v>3.7143000000000002</v>
      </c>
      <c r="N637" s="162">
        <v>3.6623000000000001</v>
      </c>
      <c r="O637" s="162">
        <v>3.6015999999999999</v>
      </c>
      <c r="P637" s="162">
        <v>3.5526</v>
      </c>
      <c r="Q637" s="162">
        <v>3.4977999999999998</v>
      </c>
      <c r="R637" s="162">
        <v>3.4411999999999998</v>
      </c>
      <c r="S637" s="162">
        <v>2.9403000000000001</v>
      </c>
      <c r="T637" s="162">
        <v>2.7162000000000002</v>
      </c>
      <c r="U637" s="162">
        <v>2.6049000000000002</v>
      </c>
      <c r="V637" s="162">
        <v>2.5543999999999998</v>
      </c>
      <c r="W637" s="162">
        <v>2.5318000000000001</v>
      </c>
      <c r="X637" s="162">
        <v>2.5312999999999999</v>
      </c>
      <c r="Y637" s="162">
        <v>2.5396999999999998</v>
      </c>
      <c r="Z637" s="162">
        <v>2.5550999999999999</v>
      </c>
      <c r="AA637" s="162">
        <v>2.5787</v>
      </c>
      <c r="AB637" s="162">
        <v>2.6009000000000002</v>
      </c>
      <c r="AC637" s="162">
        <v>2.6242000000000001</v>
      </c>
      <c r="AD637" s="162">
        <v>2.6463000000000001</v>
      </c>
      <c r="AE637" s="162">
        <v>2.6638000000000002</v>
      </c>
      <c r="AF637" s="162">
        <v>2.677</v>
      </c>
      <c r="AG637" s="162">
        <v>2.6726000000000001</v>
      </c>
      <c r="AH637" s="162">
        <v>2.6682000000000001</v>
      </c>
      <c r="AI637" s="162">
        <v>2.6638000000000002</v>
      </c>
      <c r="AJ637" s="162">
        <v>2.6594000000000002</v>
      </c>
      <c r="AK637" s="162">
        <v>2.6549999999999998</v>
      </c>
      <c r="AL637" s="162">
        <v>2.6438000000000001</v>
      </c>
      <c r="AM637" s="162">
        <v>2.6280000000000001</v>
      </c>
      <c r="AN637" s="162">
        <v>2.6109</v>
      </c>
      <c r="AO637" s="162">
        <v>2.5937999999999999</v>
      </c>
      <c r="AP637" s="162">
        <v>2.5739999999999998</v>
      </c>
      <c r="AQ637" s="162">
        <v>2.5569999999999999</v>
      </c>
      <c r="AR637" s="162">
        <v>2.5405000000000002</v>
      </c>
      <c r="AS637" s="162">
        <v>2.5245000000000002</v>
      </c>
      <c r="AT637" s="162">
        <v>2.5087999999999999</v>
      </c>
      <c r="AU637" s="162">
        <v>2.4937</v>
      </c>
    </row>
    <row r="638" spans="1:47" ht="12.75" customHeight="1">
      <c r="A638" s="459">
        <v>45359</v>
      </c>
      <c r="B638" s="139">
        <v>10</v>
      </c>
      <c r="C638" s="162">
        <v>3.9062999999999999</v>
      </c>
      <c r="D638" s="162">
        <v>3.9062999999999999</v>
      </c>
      <c r="E638" s="162">
        <v>3.9073000000000002</v>
      </c>
      <c r="F638" s="162">
        <v>3.9085000000000001</v>
      </c>
      <c r="G638" s="162">
        <v>3.9068000000000001</v>
      </c>
      <c r="H638" s="162">
        <v>3.8971</v>
      </c>
      <c r="I638" s="162">
        <v>3.8851</v>
      </c>
      <c r="J638" s="162">
        <v>3.8570000000000002</v>
      </c>
      <c r="K638" s="162">
        <v>3.8180000000000001</v>
      </c>
      <c r="L638" s="162">
        <v>3.7736000000000001</v>
      </c>
      <c r="M638" s="162">
        <v>3.7328000000000001</v>
      </c>
      <c r="N638" s="162">
        <v>3.6842000000000001</v>
      </c>
      <c r="O638" s="162">
        <v>3.6322999999999999</v>
      </c>
      <c r="P638" s="162">
        <v>3.5840999999999998</v>
      </c>
      <c r="Q638" s="162">
        <v>3.5354000000000001</v>
      </c>
      <c r="R638" s="162">
        <v>3.4864000000000002</v>
      </c>
      <c r="S638" s="162">
        <v>3.0070000000000001</v>
      </c>
      <c r="T638" s="162">
        <v>2.7744</v>
      </c>
      <c r="U638" s="162">
        <v>2.6514000000000002</v>
      </c>
      <c r="V638" s="162">
        <v>2.5897000000000001</v>
      </c>
      <c r="W638" s="162">
        <v>2.5619999999999998</v>
      </c>
      <c r="X638" s="162">
        <v>2.5528</v>
      </c>
      <c r="Y638" s="162">
        <v>2.5560999999999998</v>
      </c>
      <c r="Z638" s="162">
        <v>2.5670999999999999</v>
      </c>
      <c r="AA638" s="162">
        <v>2.5909</v>
      </c>
      <c r="AB638" s="162">
        <v>2.6071</v>
      </c>
      <c r="AC638" s="162">
        <v>2.6269999999999998</v>
      </c>
      <c r="AD638" s="162">
        <v>2.6461000000000001</v>
      </c>
      <c r="AE638" s="162">
        <v>2.6631999999999998</v>
      </c>
      <c r="AF638" s="162">
        <v>2.6711</v>
      </c>
      <c r="AG638" s="162">
        <v>2.6659999999999999</v>
      </c>
      <c r="AH638" s="162">
        <v>2.6608999999999998</v>
      </c>
      <c r="AI638" s="162">
        <v>2.6558000000000002</v>
      </c>
      <c r="AJ638" s="162">
        <v>2.6507000000000001</v>
      </c>
      <c r="AK638" s="162">
        <v>2.6456</v>
      </c>
      <c r="AL638" s="162">
        <v>2.6324000000000001</v>
      </c>
      <c r="AM638" s="162">
        <v>2.6153</v>
      </c>
      <c r="AN638" s="162">
        <v>2.597</v>
      </c>
      <c r="AO638" s="162">
        <v>2.5790000000000002</v>
      </c>
      <c r="AP638" s="162">
        <v>2.5586000000000002</v>
      </c>
      <c r="AQ638" s="162">
        <v>2.5409000000000002</v>
      </c>
      <c r="AR638" s="162">
        <v>2.5234000000000001</v>
      </c>
      <c r="AS638" s="162">
        <v>2.5064000000000002</v>
      </c>
      <c r="AT638" s="162">
        <v>2.4901</v>
      </c>
      <c r="AU638" s="162">
        <v>2.4737</v>
      </c>
    </row>
    <row r="639" spans="1:47" ht="12.75" customHeight="1">
      <c r="A639" s="459">
        <v>45366</v>
      </c>
      <c r="B639" s="139">
        <v>11</v>
      </c>
      <c r="C639" s="162">
        <v>3.9020000000000001</v>
      </c>
      <c r="D639" s="162">
        <v>3.9020000000000001</v>
      </c>
      <c r="E639" s="162">
        <v>3.9049999999999998</v>
      </c>
      <c r="F639" s="162">
        <v>3.9039999999999999</v>
      </c>
      <c r="G639" s="162">
        <v>3.9039999999999999</v>
      </c>
      <c r="H639" s="162">
        <v>3.8971</v>
      </c>
      <c r="I639" s="162">
        <v>3.8938999999999999</v>
      </c>
      <c r="J639" s="162">
        <v>3.8584000000000001</v>
      </c>
      <c r="K639" s="162">
        <v>3.8184999999999998</v>
      </c>
      <c r="L639" s="162">
        <v>3.7784</v>
      </c>
      <c r="M639" s="162">
        <v>3.7330000000000001</v>
      </c>
      <c r="N639" s="162">
        <v>3.6800999999999999</v>
      </c>
      <c r="O639" s="162">
        <v>3.63</v>
      </c>
      <c r="P639" s="162">
        <v>3.5792000000000002</v>
      </c>
      <c r="Q639" s="162">
        <v>3.5287999999999999</v>
      </c>
      <c r="R639" s="162">
        <v>3.4834999999999998</v>
      </c>
      <c r="S639" s="162">
        <v>2.9901</v>
      </c>
      <c r="T639" s="162">
        <v>2.7456999999999998</v>
      </c>
      <c r="U639" s="162">
        <v>2.6151</v>
      </c>
      <c r="V639" s="162">
        <v>2.5444</v>
      </c>
      <c r="W639" s="162">
        <v>2.5105</v>
      </c>
      <c r="X639" s="162">
        <v>2.4942000000000002</v>
      </c>
      <c r="Y639" s="162">
        <v>2.4925000000000002</v>
      </c>
      <c r="Z639" s="162">
        <v>2.4998</v>
      </c>
      <c r="AA639" s="162">
        <v>2.5146000000000002</v>
      </c>
      <c r="AB639" s="162">
        <v>2.5333000000000001</v>
      </c>
      <c r="AC639" s="162">
        <v>2.5499000000000001</v>
      </c>
      <c r="AD639" s="162">
        <v>2.5695999999999999</v>
      </c>
      <c r="AE639" s="162">
        <v>2.5817999999999999</v>
      </c>
      <c r="AF639" s="162">
        <v>2.5911</v>
      </c>
      <c r="AG639" s="162">
        <v>2.5851000000000002</v>
      </c>
      <c r="AH639" s="162">
        <v>2.5790999999999999</v>
      </c>
      <c r="AI639" s="162">
        <v>2.573</v>
      </c>
      <c r="AJ639" s="162">
        <v>2.5670000000000002</v>
      </c>
      <c r="AK639" s="162">
        <v>2.5609999999999999</v>
      </c>
      <c r="AL639" s="162">
        <v>2.5453000000000001</v>
      </c>
      <c r="AM639" s="162">
        <v>2.528</v>
      </c>
      <c r="AN639" s="162">
        <v>2.5097999999999998</v>
      </c>
      <c r="AO639" s="162">
        <v>2.4912999999999998</v>
      </c>
      <c r="AP639" s="162">
        <v>2.4735999999999998</v>
      </c>
      <c r="AQ639" s="162">
        <v>2.4512999999999998</v>
      </c>
      <c r="AR639" s="162">
        <v>2.4329999999999998</v>
      </c>
      <c r="AS639" s="162">
        <v>2.4163000000000001</v>
      </c>
      <c r="AT639" s="162">
        <v>2.4</v>
      </c>
      <c r="AU639" s="162">
        <v>2.3872</v>
      </c>
    </row>
    <row r="640" spans="1:47" ht="12.75" customHeight="1">
      <c r="A640" s="459">
        <v>45373</v>
      </c>
      <c r="B640" s="139">
        <v>12</v>
      </c>
      <c r="C640" s="162">
        <v>3.9060000000000001</v>
      </c>
      <c r="D640" s="162">
        <v>3.9060000000000001</v>
      </c>
      <c r="E640" s="162">
        <v>3.9037000000000002</v>
      </c>
      <c r="F640" s="162">
        <v>3.9045000000000001</v>
      </c>
      <c r="G640" s="162">
        <v>3.9056000000000002</v>
      </c>
      <c r="H640" s="162">
        <v>3.8990999999999998</v>
      </c>
      <c r="I640" s="162">
        <v>3.8955000000000002</v>
      </c>
      <c r="J640" s="162">
        <v>3.8483999999999998</v>
      </c>
      <c r="K640" s="162">
        <v>3.7991999999999999</v>
      </c>
      <c r="L640" s="162">
        <v>3.7589000000000001</v>
      </c>
      <c r="M640" s="162">
        <v>3.7035999999999998</v>
      </c>
      <c r="N640" s="162">
        <v>3.6455000000000002</v>
      </c>
      <c r="O640" s="162">
        <v>3.5968</v>
      </c>
      <c r="P640" s="162">
        <v>3.5387</v>
      </c>
      <c r="Q640" s="162">
        <v>3.4838</v>
      </c>
      <c r="R640" s="162">
        <v>3.4392999999999998</v>
      </c>
      <c r="S640" s="162">
        <v>2.9188000000000001</v>
      </c>
      <c r="T640" s="162">
        <v>2.6589</v>
      </c>
      <c r="U640" s="162">
        <v>2.5308999999999999</v>
      </c>
      <c r="V640" s="162">
        <v>2.4624000000000001</v>
      </c>
      <c r="W640" s="162">
        <v>2.4285000000000001</v>
      </c>
      <c r="X640" s="162">
        <v>2.4150999999999998</v>
      </c>
      <c r="Y640" s="162">
        <v>2.4156</v>
      </c>
      <c r="Z640" s="162">
        <v>2.4249999999999998</v>
      </c>
      <c r="AA640" s="162">
        <v>2.4384000000000001</v>
      </c>
      <c r="AB640" s="162">
        <v>2.4582999999999999</v>
      </c>
      <c r="AC640" s="162">
        <v>2.48</v>
      </c>
      <c r="AD640" s="162">
        <v>2.4992000000000001</v>
      </c>
      <c r="AE640" s="162">
        <v>2.5127999999999999</v>
      </c>
      <c r="AF640" s="162">
        <v>2.5255999999999998</v>
      </c>
      <c r="AG640" s="162">
        <v>2.5213999999999999</v>
      </c>
      <c r="AH640" s="162">
        <v>2.5171999999999999</v>
      </c>
      <c r="AI640" s="162">
        <v>2.5129999999999999</v>
      </c>
      <c r="AJ640" s="162">
        <v>2.5087999999999999</v>
      </c>
      <c r="AK640" s="162">
        <v>2.5045999999999999</v>
      </c>
      <c r="AL640" s="162">
        <v>2.4923000000000002</v>
      </c>
      <c r="AM640" s="162">
        <v>2.4769999999999999</v>
      </c>
      <c r="AN640" s="162">
        <v>2.4599000000000002</v>
      </c>
      <c r="AO640" s="162">
        <v>2.4432999999999998</v>
      </c>
      <c r="AP640" s="162">
        <v>2.4243999999999999</v>
      </c>
      <c r="AQ640" s="162">
        <v>2.4085999999999999</v>
      </c>
      <c r="AR640" s="162">
        <v>2.3927999999999998</v>
      </c>
      <c r="AS640" s="162">
        <v>2.3769999999999998</v>
      </c>
      <c r="AT640" s="162">
        <v>2.3622000000000001</v>
      </c>
      <c r="AU640" s="162">
        <v>2.347</v>
      </c>
    </row>
    <row r="641" spans="1:47" ht="12.75" customHeight="1">
      <c r="A641" s="459">
        <v>45380</v>
      </c>
      <c r="B641" s="139">
        <v>13</v>
      </c>
      <c r="C641" s="162">
        <v>3.9085000000000001</v>
      </c>
      <c r="D641" s="162">
        <v>3.9085000000000001</v>
      </c>
      <c r="E641" s="162">
        <v>3.9060999999999999</v>
      </c>
      <c r="F641" s="162">
        <v>3.9013</v>
      </c>
      <c r="G641" s="162">
        <v>3.9066000000000001</v>
      </c>
      <c r="H641" s="162">
        <v>3.907</v>
      </c>
      <c r="I641" s="162">
        <v>3.8932000000000002</v>
      </c>
      <c r="J641" s="162">
        <v>3.8559999999999999</v>
      </c>
      <c r="K641" s="162">
        <v>3.8092999999999999</v>
      </c>
      <c r="L641" s="162">
        <v>3.7734000000000001</v>
      </c>
      <c r="M641" s="162">
        <v>3.7250000000000001</v>
      </c>
      <c r="N641" s="162">
        <v>3.6716000000000002</v>
      </c>
      <c r="O641" s="162">
        <v>3.6274999999999999</v>
      </c>
      <c r="P641" s="162">
        <v>3.5766</v>
      </c>
      <c r="Q641" s="162">
        <v>3.528</v>
      </c>
      <c r="R641" s="162">
        <v>3.4889999999999999</v>
      </c>
      <c r="S641" s="162">
        <v>3.0257000000000001</v>
      </c>
      <c r="T641" s="162">
        <v>2.7900999999999998</v>
      </c>
      <c r="U641" s="162">
        <v>2.6598999999999999</v>
      </c>
      <c r="V641" s="162">
        <v>2.5882000000000001</v>
      </c>
      <c r="W641" s="162">
        <v>2.5497000000000001</v>
      </c>
      <c r="X641" s="162">
        <v>2.5383</v>
      </c>
      <c r="Y641" s="162">
        <v>2.5367000000000002</v>
      </c>
      <c r="Z641" s="162">
        <v>2.5449999999999999</v>
      </c>
      <c r="AA641" s="162">
        <v>2.5613000000000001</v>
      </c>
      <c r="AB641" s="162">
        <v>2.5752999999999999</v>
      </c>
      <c r="AC641" s="162">
        <v>2.5956000000000001</v>
      </c>
      <c r="AD641" s="162">
        <v>2.6122000000000001</v>
      </c>
      <c r="AE641" s="162">
        <v>2.6242999999999999</v>
      </c>
      <c r="AF641" s="162">
        <v>2.6389999999999998</v>
      </c>
      <c r="AG641" s="162">
        <v>2.6337999999999999</v>
      </c>
      <c r="AH641" s="162">
        <v>2.6286999999999998</v>
      </c>
      <c r="AI641" s="162">
        <v>2.6234999999999999</v>
      </c>
      <c r="AJ641" s="162">
        <v>2.6183999999999998</v>
      </c>
      <c r="AK641" s="162">
        <v>2.6133000000000002</v>
      </c>
      <c r="AL641" s="162">
        <v>2.5988000000000002</v>
      </c>
      <c r="AM641" s="162">
        <v>2.5832999999999999</v>
      </c>
      <c r="AN641" s="162">
        <v>2.5661</v>
      </c>
      <c r="AO641" s="162">
        <v>2.5488</v>
      </c>
      <c r="AP641" s="162">
        <v>2.5312000000000001</v>
      </c>
      <c r="AQ641" s="162">
        <v>2.5093000000000001</v>
      </c>
      <c r="AR641" s="162">
        <v>2.4923000000000002</v>
      </c>
      <c r="AS641" s="162">
        <v>2.4754999999999998</v>
      </c>
      <c r="AT641" s="162">
        <v>2.4594999999999998</v>
      </c>
      <c r="AU641" s="162">
        <v>2.4489000000000001</v>
      </c>
    </row>
    <row r="642" spans="1:47" ht="12.75" customHeight="1">
      <c r="A642" s="459">
        <v>45387</v>
      </c>
      <c r="B642" s="139">
        <v>14</v>
      </c>
      <c r="C642" s="162">
        <v>3.9077999999999999</v>
      </c>
      <c r="D642" s="162">
        <v>3.9077999999999999</v>
      </c>
      <c r="E642" s="162">
        <v>3.9003000000000001</v>
      </c>
      <c r="F642" s="162">
        <v>3.9047000000000001</v>
      </c>
      <c r="G642" s="162">
        <v>3.9005000000000001</v>
      </c>
      <c r="H642" s="162">
        <v>3.8986999999999998</v>
      </c>
      <c r="I642" s="162">
        <v>3.8643000000000001</v>
      </c>
      <c r="J642" s="162">
        <v>3.8174000000000001</v>
      </c>
      <c r="K642" s="162">
        <v>3.7663000000000002</v>
      </c>
      <c r="L642" s="162">
        <v>3.7208000000000001</v>
      </c>
      <c r="M642" s="162">
        <v>3.6659999999999999</v>
      </c>
      <c r="N642" s="162">
        <v>3.6128999999999998</v>
      </c>
      <c r="O642" s="162">
        <v>3.5638000000000001</v>
      </c>
      <c r="P642" s="162">
        <v>3.5123000000000002</v>
      </c>
      <c r="Q642" s="162">
        <v>3.4630999999999998</v>
      </c>
      <c r="R642" s="162">
        <v>3.4188999999999998</v>
      </c>
      <c r="S642" s="162">
        <v>2.9430000000000001</v>
      </c>
      <c r="T642" s="162">
        <v>2.6989000000000001</v>
      </c>
      <c r="U642" s="162">
        <v>2.5674000000000001</v>
      </c>
      <c r="V642" s="162">
        <v>2.4958</v>
      </c>
      <c r="W642" s="162">
        <v>2.4579</v>
      </c>
      <c r="X642" s="162">
        <v>2.4460999999999999</v>
      </c>
      <c r="Y642" s="162">
        <v>2.4436</v>
      </c>
      <c r="Z642" s="162">
        <v>2.4538000000000002</v>
      </c>
      <c r="AA642" s="162">
        <v>2.4668999999999999</v>
      </c>
      <c r="AB642" s="162">
        <v>2.4870000000000001</v>
      </c>
      <c r="AC642" s="162">
        <v>2.5089999999999999</v>
      </c>
      <c r="AD642" s="162">
        <v>2.5259999999999998</v>
      </c>
      <c r="AE642" s="162">
        <v>2.5407999999999999</v>
      </c>
      <c r="AF642" s="162">
        <v>2.5560999999999998</v>
      </c>
      <c r="AG642" s="162">
        <v>2.5520999999999998</v>
      </c>
      <c r="AH642" s="162">
        <v>2.5480999999999998</v>
      </c>
      <c r="AI642" s="162">
        <v>2.5440999999999998</v>
      </c>
      <c r="AJ642" s="162">
        <v>2.54</v>
      </c>
      <c r="AK642" s="162">
        <v>2.536</v>
      </c>
      <c r="AL642" s="162">
        <v>2.5204</v>
      </c>
      <c r="AM642" s="162">
        <v>2.5045000000000002</v>
      </c>
      <c r="AN642" s="162">
        <v>2.488</v>
      </c>
      <c r="AO642" s="162">
        <v>2.4706000000000001</v>
      </c>
      <c r="AP642" s="162">
        <v>2.4539</v>
      </c>
      <c r="AQ642" s="162">
        <v>2.4342999999999999</v>
      </c>
      <c r="AR642" s="162">
        <v>2.4173</v>
      </c>
      <c r="AS642" s="162">
        <v>2.4015</v>
      </c>
      <c r="AT642" s="162">
        <v>2.3860000000000001</v>
      </c>
      <c r="AU642" s="162">
        <v>2.3744000000000001</v>
      </c>
    </row>
    <row r="643" spans="1:47" ht="12.75" customHeight="1">
      <c r="A643" s="459">
        <v>45394</v>
      </c>
      <c r="B643" s="139">
        <v>15</v>
      </c>
      <c r="C643" s="162">
        <v>3.9024999999999999</v>
      </c>
      <c r="D643" s="162">
        <v>3.9024999999999999</v>
      </c>
      <c r="E643" s="162">
        <v>3.9051</v>
      </c>
      <c r="F643" s="162">
        <v>3.9039999999999999</v>
      </c>
      <c r="G643" s="162">
        <v>3.8934000000000002</v>
      </c>
      <c r="H643" s="162">
        <v>3.8955000000000002</v>
      </c>
      <c r="I643" s="162">
        <v>3.8433000000000002</v>
      </c>
      <c r="J643" s="162">
        <v>3.7894000000000001</v>
      </c>
      <c r="K643" s="162">
        <v>3.7410999999999999</v>
      </c>
      <c r="L643" s="162">
        <v>3.6905999999999999</v>
      </c>
      <c r="M643" s="162">
        <v>3.637</v>
      </c>
      <c r="N643" s="162">
        <v>3.5876999999999999</v>
      </c>
      <c r="O643" s="162">
        <v>3.5341999999999998</v>
      </c>
      <c r="P643" s="162">
        <v>3.4864000000000002</v>
      </c>
      <c r="Q643" s="162">
        <v>3.4411</v>
      </c>
      <c r="R643" s="162">
        <v>3.3917999999999999</v>
      </c>
      <c r="S643" s="162">
        <v>2.9283999999999999</v>
      </c>
      <c r="T643" s="162">
        <v>2.7008000000000001</v>
      </c>
      <c r="U643" s="162">
        <v>2.5758999999999999</v>
      </c>
      <c r="V643" s="162">
        <v>2.5099999999999998</v>
      </c>
      <c r="W643" s="162">
        <v>2.4807999999999999</v>
      </c>
      <c r="X643" s="162">
        <v>2.4742000000000002</v>
      </c>
      <c r="Y643" s="162">
        <v>2.4782999999999999</v>
      </c>
      <c r="Z643" s="162">
        <v>2.4921000000000002</v>
      </c>
      <c r="AA643" s="162">
        <v>2.5152000000000001</v>
      </c>
      <c r="AB643" s="162">
        <v>2.5354999999999999</v>
      </c>
      <c r="AC643" s="162">
        <v>2.5590000000000002</v>
      </c>
      <c r="AD643" s="162">
        <v>2.5790999999999999</v>
      </c>
      <c r="AE643" s="162">
        <v>2.5642999999999998</v>
      </c>
      <c r="AF643" s="162">
        <v>2.6118000000000001</v>
      </c>
      <c r="AG643" s="162">
        <v>2.6082999999999998</v>
      </c>
      <c r="AH643" s="162">
        <v>2.6048</v>
      </c>
      <c r="AI643" s="162">
        <v>2.6013000000000002</v>
      </c>
      <c r="AJ643" s="162">
        <v>2.5977999999999999</v>
      </c>
      <c r="AK643" s="162">
        <v>2.5943999999999998</v>
      </c>
      <c r="AL643" s="162">
        <v>2.5804999999999998</v>
      </c>
      <c r="AM643" s="162">
        <v>2.5649999999999999</v>
      </c>
      <c r="AN643" s="162">
        <v>2.5495000000000001</v>
      </c>
      <c r="AO643" s="162">
        <v>2.5335000000000001</v>
      </c>
      <c r="AP643" s="162">
        <v>2.5181</v>
      </c>
      <c r="AQ643" s="162">
        <v>2.5015000000000001</v>
      </c>
      <c r="AR643" s="162">
        <v>2.4866999999999999</v>
      </c>
      <c r="AS643" s="162">
        <v>2.4725000000000001</v>
      </c>
      <c r="AT643" s="162">
        <v>2.4575999999999998</v>
      </c>
      <c r="AU643" s="162">
        <v>2.4455</v>
      </c>
    </row>
    <row r="644" spans="1:47" ht="12.75" customHeight="1">
      <c r="A644" s="459">
        <v>45401</v>
      </c>
      <c r="B644" s="139">
        <v>16</v>
      </c>
      <c r="C644" s="162">
        <v>3.9089999999999998</v>
      </c>
      <c r="D644" s="162">
        <v>3.9089999999999998</v>
      </c>
      <c r="E644" s="162">
        <v>3.9089</v>
      </c>
      <c r="F644" s="162">
        <v>3.9037999999999999</v>
      </c>
      <c r="G644" s="162">
        <v>3.9028999999999998</v>
      </c>
      <c r="H644" s="162">
        <v>3.9075000000000002</v>
      </c>
      <c r="I644" s="162">
        <v>3.8452000000000002</v>
      </c>
      <c r="J644" s="162">
        <v>3.79</v>
      </c>
      <c r="K644" s="162">
        <v>3.7481</v>
      </c>
      <c r="L644" s="162">
        <v>3.6981999999999999</v>
      </c>
      <c r="M644" s="162">
        <v>3.6435</v>
      </c>
      <c r="N644" s="162">
        <v>3.6004999999999998</v>
      </c>
      <c r="O644" s="162">
        <v>3.5495999999999999</v>
      </c>
      <c r="P644" s="162">
        <v>3.5023</v>
      </c>
      <c r="Q644" s="162">
        <v>3.4615</v>
      </c>
      <c r="R644" s="162">
        <v>3.4163999999999999</v>
      </c>
      <c r="S644" s="162">
        <v>2.9752000000000001</v>
      </c>
      <c r="T644" s="162">
        <v>2.7439</v>
      </c>
      <c r="U644" s="162">
        <v>2.6124000000000001</v>
      </c>
      <c r="V644" s="162">
        <v>2.54</v>
      </c>
      <c r="W644" s="162">
        <v>2.5041000000000002</v>
      </c>
      <c r="X644" s="162">
        <v>2.4897</v>
      </c>
      <c r="Y644" s="162">
        <v>2.4889000000000001</v>
      </c>
      <c r="Z644" s="162">
        <v>2.4973000000000001</v>
      </c>
      <c r="AA644" s="162">
        <v>2.5148999999999999</v>
      </c>
      <c r="AB644" s="162">
        <v>2.5331000000000001</v>
      </c>
      <c r="AC644" s="162">
        <v>2.5558000000000001</v>
      </c>
      <c r="AD644" s="162">
        <v>2.5737999999999999</v>
      </c>
      <c r="AE644" s="162">
        <v>2.5870000000000002</v>
      </c>
      <c r="AF644" s="162">
        <v>2.6008</v>
      </c>
      <c r="AG644" s="162">
        <v>2.5962999999999998</v>
      </c>
      <c r="AH644" s="162">
        <v>2.5918999999999999</v>
      </c>
      <c r="AI644" s="162">
        <v>2.5874999999999999</v>
      </c>
      <c r="AJ644" s="162">
        <v>2.5831</v>
      </c>
      <c r="AK644" s="162">
        <v>2.5787</v>
      </c>
      <c r="AL644" s="162">
        <v>2.5648</v>
      </c>
      <c r="AM644" s="162">
        <v>2.5499999999999998</v>
      </c>
      <c r="AN644" s="162">
        <v>2.5341</v>
      </c>
      <c r="AO644" s="162">
        <v>2.5175000000000001</v>
      </c>
      <c r="AP644" s="162">
        <v>2.5013000000000001</v>
      </c>
      <c r="AQ644" s="162">
        <v>2.4811000000000001</v>
      </c>
      <c r="AR644" s="162">
        <v>2.4653</v>
      </c>
      <c r="AS644" s="162">
        <v>2.4504000000000001</v>
      </c>
      <c r="AT644" s="162">
        <v>2.4352999999999998</v>
      </c>
      <c r="AU644" s="162">
        <v>2.4253999999999998</v>
      </c>
    </row>
    <row r="645" spans="1:47" ht="12.75" customHeight="1">
      <c r="A645" s="459">
        <v>45408</v>
      </c>
      <c r="B645" s="139">
        <v>17</v>
      </c>
      <c r="C645" s="162">
        <v>3.9087999999999998</v>
      </c>
      <c r="D645" s="162">
        <v>3.9087999999999998</v>
      </c>
      <c r="E645" s="162">
        <v>3.9026000000000001</v>
      </c>
      <c r="F645" s="162">
        <v>3.903</v>
      </c>
      <c r="G645" s="162">
        <v>3.9062999999999999</v>
      </c>
      <c r="H645" s="162">
        <v>3.8919999999999999</v>
      </c>
      <c r="I645" s="162">
        <v>3.8313999999999999</v>
      </c>
      <c r="J645" s="162">
        <v>3.7768000000000002</v>
      </c>
      <c r="K645" s="162">
        <v>3.7416</v>
      </c>
      <c r="L645" s="162">
        <v>3.6886000000000001</v>
      </c>
      <c r="M645" s="162">
        <v>3.6362999999999999</v>
      </c>
      <c r="N645" s="162">
        <v>3.5989</v>
      </c>
      <c r="O645" s="162">
        <v>3.5495000000000001</v>
      </c>
      <c r="P645" s="162">
        <v>3.5055999999999998</v>
      </c>
      <c r="Q645" s="162">
        <v>3.4698000000000002</v>
      </c>
      <c r="R645" s="162">
        <v>3.4258000000000002</v>
      </c>
      <c r="S645" s="162">
        <v>3.024</v>
      </c>
      <c r="T645" s="162">
        <v>2.8105000000000002</v>
      </c>
      <c r="U645" s="162">
        <v>2.6852999999999998</v>
      </c>
      <c r="V645" s="162">
        <v>2.6183000000000001</v>
      </c>
      <c r="W645" s="162">
        <v>2.5792000000000002</v>
      </c>
      <c r="X645" s="162">
        <v>2.5669</v>
      </c>
      <c r="Y645" s="162">
        <v>2.5670000000000002</v>
      </c>
      <c r="Z645" s="162">
        <v>2.5748000000000002</v>
      </c>
      <c r="AA645" s="162">
        <v>2.5893000000000002</v>
      </c>
      <c r="AB645" s="162">
        <v>2.6057000000000001</v>
      </c>
      <c r="AC645" s="162">
        <v>2.6257999999999999</v>
      </c>
      <c r="AD645" s="162">
        <v>2.6425000000000001</v>
      </c>
      <c r="AE645" s="162">
        <v>2.6555</v>
      </c>
      <c r="AF645" s="162">
        <v>2.6684000000000001</v>
      </c>
      <c r="AG645" s="162">
        <v>2.6625999999999999</v>
      </c>
      <c r="AH645" s="162">
        <v>2.6568000000000001</v>
      </c>
      <c r="AI645" s="162">
        <v>2.6509</v>
      </c>
      <c r="AJ645" s="162">
        <v>2.6450999999999998</v>
      </c>
      <c r="AK645" s="162">
        <v>2.6393</v>
      </c>
      <c r="AL645" s="162">
        <v>2.6253000000000002</v>
      </c>
      <c r="AM645" s="162">
        <v>2.609</v>
      </c>
      <c r="AN645" s="162">
        <v>2.5918000000000001</v>
      </c>
      <c r="AO645" s="162">
        <v>2.5743</v>
      </c>
      <c r="AP645" s="162">
        <v>2.5565000000000002</v>
      </c>
      <c r="AQ645" s="162">
        <v>2.5377999999999998</v>
      </c>
      <c r="AR645" s="162">
        <v>2.5205000000000002</v>
      </c>
      <c r="AS645" s="162">
        <v>2.504</v>
      </c>
      <c r="AT645" s="162">
        <v>2.4881000000000002</v>
      </c>
      <c r="AU645" s="162">
        <v>2.476</v>
      </c>
    </row>
    <row r="646" spans="1:47" ht="12.75" customHeight="1">
      <c r="A646" s="459">
        <v>45415</v>
      </c>
      <c r="B646" s="139">
        <v>18</v>
      </c>
      <c r="C646" s="162">
        <v>3.9093</v>
      </c>
      <c r="D646" s="162">
        <v>3.9093</v>
      </c>
      <c r="E646" s="162">
        <v>3.9043000000000001</v>
      </c>
      <c r="F646" s="162">
        <v>3.9058000000000002</v>
      </c>
      <c r="G646" s="162">
        <v>3.91</v>
      </c>
      <c r="H646" s="162">
        <v>3.8715000000000002</v>
      </c>
      <c r="I646" s="162">
        <v>3.8193999999999999</v>
      </c>
      <c r="J646" s="162">
        <v>3.7656000000000001</v>
      </c>
      <c r="K646" s="162">
        <v>3.7290999999999999</v>
      </c>
      <c r="L646" s="162">
        <v>3.6819000000000002</v>
      </c>
      <c r="M646" s="162">
        <v>3.6354000000000002</v>
      </c>
      <c r="N646" s="162">
        <v>3.5983000000000001</v>
      </c>
      <c r="O646" s="162">
        <v>3.556</v>
      </c>
      <c r="P646" s="162">
        <v>3.5165000000000002</v>
      </c>
      <c r="Q646" s="162">
        <v>3.4836</v>
      </c>
      <c r="R646" s="162">
        <v>3.4441999999999999</v>
      </c>
      <c r="S646" s="162">
        <v>3.0788000000000002</v>
      </c>
      <c r="T646" s="162">
        <v>2.8744000000000001</v>
      </c>
      <c r="U646" s="162">
        <v>2.7534000000000001</v>
      </c>
      <c r="V646" s="162">
        <v>2.6829000000000001</v>
      </c>
      <c r="W646" s="162">
        <v>2.6478999999999999</v>
      </c>
      <c r="X646" s="162">
        <v>2.6307</v>
      </c>
      <c r="Y646" s="162">
        <v>2.6274000000000002</v>
      </c>
      <c r="Z646" s="162">
        <v>2.6356999999999999</v>
      </c>
      <c r="AA646" s="162">
        <v>2.6536</v>
      </c>
      <c r="AB646" s="162">
        <v>2.6722999999999999</v>
      </c>
      <c r="AC646" s="162">
        <v>2.6890000000000001</v>
      </c>
      <c r="AD646" s="162">
        <v>2.7096</v>
      </c>
      <c r="AE646" s="162">
        <v>2.7256999999999998</v>
      </c>
      <c r="AF646" s="162">
        <v>2.7319</v>
      </c>
      <c r="AG646" s="162">
        <v>2.7256999999999998</v>
      </c>
      <c r="AH646" s="162">
        <v>2.7195</v>
      </c>
      <c r="AI646" s="162">
        <v>2.7132999999999998</v>
      </c>
      <c r="AJ646" s="162">
        <v>2.7071000000000001</v>
      </c>
      <c r="AK646" s="162">
        <v>2.7008999999999999</v>
      </c>
      <c r="AL646" s="162">
        <v>2.6876000000000002</v>
      </c>
      <c r="AM646" s="162">
        <v>2.6707999999999998</v>
      </c>
      <c r="AN646" s="162">
        <v>2.6534</v>
      </c>
      <c r="AO646" s="162">
        <v>2.6354000000000002</v>
      </c>
      <c r="AP646" s="162">
        <v>2.6158000000000001</v>
      </c>
      <c r="AQ646" s="162">
        <v>2.6038000000000001</v>
      </c>
      <c r="AR646" s="162">
        <v>2.5868000000000002</v>
      </c>
      <c r="AS646" s="162">
        <v>2.57</v>
      </c>
      <c r="AT646" s="162">
        <v>2.5539000000000001</v>
      </c>
      <c r="AU646" s="162">
        <v>2.5323000000000002</v>
      </c>
    </row>
    <row r="647" spans="1:47" ht="12.75" customHeight="1">
      <c r="A647" s="459">
        <v>45422</v>
      </c>
      <c r="B647" s="139">
        <v>19</v>
      </c>
      <c r="C647" s="162">
        <v>3.9028</v>
      </c>
      <c r="D647" s="162">
        <v>3.9028</v>
      </c>
      <c r="E647" s="162">
        <v>3.9070999999999998</v>
      </c>
      <c r="F647" s="162">
        <v>3.9097</v>
      </c>
      <c r="G647" s="162">
        <v>3.9123000000000001</v>
      </c>
      <c r="H647" s="162">
        <v>3.8473000000000002</v>
      </c>
      <c r="I647" s="162">
        <v>3.7928999999999999</v>
      </c>
      <c r="J647" s="162">
        <v>3.7549999999999999</v>
      </c>
      <c r="K647" s="162">
        <v>3.7195</v>
      </c>
      <c r="L647" s="162">
        <v>3.6749999999999998</v>
      </c>
      <c r="M647" s="162">
        <v>3.6432000000000002</v>
      </c>
      <c r="N647" s="162">
        <v>3.6088</v>
      </c>
      <c r="O647" s="162">
        <v>3.5720000000000001</v>
      </c>
      <c r="P647" s="162">
        <v>3.5430000000000001</v>
      </c>
      <c r="Q647" s="162">
        <v>3.5108999999999999</v>
      </c>
      <c r="R647" s="162">
        <v>3.4782999999999999</v>
      </c>
      <c r="S647" s="162">
        <v>3.1368999999999998</v>
      </c>
      <c r="T647" s="162">
        <v>2.9316</v>
      </c>
      <c r="U647" s="162">
        <v>2.8054000000000001</v>
      </c>
      <c r="V647" s="162">
        <v>2.7307000000000001</v>
      </c>
      <c r="W647" s="162">
        <v>2.6909999999999998</v>
      </c>
      <c r="X647" s="162">
        <v>2.6737000000000002</v>
      </c>
      <c r="Y647" s="162">
        <v>2.6692999999999998</v>
      </c>
      <c r="Z647" s="162">
        <v>2.6757</v>
      </c>
      <c r="AA647" s="162">
        <v>2.6871999999999998</v>
      </c>
      <c r="AB647" s="162">
        <v>2.7054999999999998</v>
      </c>
      <c r="AC647" s="162">
        <v>2.7235</v>
      </c>
      <c r="AD647" s="162">
        <v>2.7408999999999999</v>
      </c>
      <c r="AE647" s="162">
        <v>2.7559999999999998</v>
      </c>
      <c r="AF647" s="162">
        <v>2.7641</v>
      </c>
      <c r="AG647" s="162">
        <v>2.7578</v>
      </c>
      <c r="AH647" s="162">
        <v>2.7513999999999998</v>
      </c>
      <c r="AI647" s="162">
        <v>2.7450999999999999</v>
      </c>
      <c r="AJ647" s="162">
        <v>2.7387999999999999</v>
      </c>
      <c r="AK647" s="162">
        <v>2.7324999999999999</v>
      </c>
      <c r="AL647" s="162">
        <v>2.7166999999999999</v>
      </c>
      <c r="AM647" s="162">
        <v>2.6993</v>
      </c>
      <c r="AN647" s="162">
        <v>2.6823000000000001</v>
      </c>
      <c r="AO647" s="162">
        <v>2.6642999999999999</v>
      </c>
      <c r="AP647" s="162">
        <v>2.6457999999999999</v>
      </c>
      <c r="AQ647" s="162">
        <v>2.6254</v>
      </c>
      <c r="AR647" s="162">
        <v>2.6076999999999999</v>
      </c>
      <c r="AS647" s="162">
        <v>2.5903999999999998</v>
      </c>
      <c r="AT647" s="162">
        <v>2.5737000000000001</v>
      </c>
      <c r="AU647" s="162">
        <v>2.5600999999999998</v>
      </c>
    </row>
    <row r="648" spans="1:47" ht="12.75" customHeight="1">
      <c r="A648" s="459">
        <v>45429</v>
      </c>
      <c r="B648" s="139">
        <v>20</v>
      </c>
      <c r="C648" s="162">
        <v>3.9083000000000001</v>
      </c>
      <c r="D648" s="162">
        <v>3.9083000000000001</v>
      </c>
      <c r="E648" s="162">
        <v>3.9089</v>
      </c>
      <c r="F648" s="162">
        <v>3.9104000000000001</v>
      </c>
      <c r="G648" s="162">
        <v>3.9127000000000001</v>
      </c>
      <c r="H648" s="162">
        <v>3.8151999999999999</v>
      </c>
      <c r="I648" s="162">
        <v>3.7633000000000001</v>
      </c>
      <c r="J648" s="162">
        <v>3.7302</v>
      </c>
      <c r="K648" s="162">
        <v>3.6877</v>
      </c>
      <c r="L648" s="162">
        <v>3.6414</v>
      </c>
      <c r="M648" s="162">
        <v>3.6059999999999999</v>
      </c>
      <c r="N648" s="162">
        <v>3.5667</v>
      </c>
      <c r="O648" s="162">
        <v>3.5274000000000001</v>
      </c>
      <c r="P648" s="162">
        <v>3.4944999999999999</v>
      </c>
      <c r="Q648" s="162">
        <v>3.4581</v>
      </c>
      <c r="R648" s="162">
        <v>3.4239999999999999</v>
      </c>
      <c r="S648" s="162">
        <v>3.0543999999999998</v>
      </c>
      <c r="T648" s="162">
        <v>2.8416999999999999</v>
      </c>
      <c r="U648" s="162">
        <v>2.7132000000000001</v>
      </c>
      <c r="V648" s="162">
        <v>2.6364000000000001</v>
      </c>
      <c r="W648" s="162">
        <v>2.5958000000000001</v>
      </c>
      <c r="X648" s="162">
        <v>2.5756999999999999</v>
      </c>
      <c r="Y648" s="162">
        <v>2.5712000000000002</v>
      </c>
      <c r="Z648" s="162">
        <v>2.5771999999999999</v>
      </c>
      <c r="AA648" s="162">
        <v>2.5895999999999999</v>
      </c>
      <c r="AB648" s="162">
        <v>2.6074000000000002</v>
      </c>
      <c r="AC648" s="162">
        <v>2.6255999999999999</v>
      </c>
      <c r="AD648" s="162">
        <v>2.6444999999999999</v>
      </c>
      <c r="AE648" s="162">
        <v>2.6556000000000002</v>
      </c>
      <c r="AF648" s="162">
        <v>2.6682999999999999</v>
      </c>
      <c r="AG648" s="162">
        <v>2.6625000000000001</v>
      </c>
      <c r="AH648" s="162">
        <v>2.6568000000000001</v>
      </c>
      <c r="AI648" s="162">
        <v>2.6509999999999998</v>
      </c>
      <c r="AJ648" s="162">
        <v>2.6452</v>
      </c>
      <c r="AK648" s="162">
        <v>2.6395</v>
      </c>
      <c r="AL648" s="162">
        <v>2.6238000000000001</v>
      </c>
      <c r="AM648" s="162">
        <v>2.6073</v>
      </c>
      <c r="AN648" s="162">
        <v>2.5903</v>
      </c>
      <c r="AO648" s="162">
        <v>2.5726</v>
      </c>
      <c r="AP648" s="162">
        <v>2.5556000000000001</v>
      </c>
      <c r="AQ648" s="162">
        <v>2.5333000000000001</v>
      </c>
      <c r="AR648" s="162">
        <v>2.516</v>
      </c>
      <c r="AS648" s="162">
        <v>2.4988000000000001</v>
      </c>
      <c r="AT648" s="162">
        <v>2.4828000000000001</v>
      </c>
      <c r="AU648" s="162">
        <v>2.4721000000000002</v>
      </c>
    </row>
    <row r="649" spans="1:47" ht="12.75" customHeight="1">
      <c r="A649" s="459">
        <v>45436</v>
      </c>
      <c r="B649" s="139">
        <v>21</v>
      </c>
      <c r="C649" s="162">
        <v>3.9053</v>
      </c>
      <c r="D649" s="162">
        <v>3.9053</v>
      </c>
      <c r="E649" s="162">
        <v>3.9068000000000001</v>
      </c>
      <c r="F649" s="162">
        <v>3.9087000000000001</v>
      </c>
      <c r="G649" s="162">
        <v>3.8803999999999998</v>
      </c>
      <c r="H649" s="162">
        <v>3.7877000000000001</v>
      </c>
      <c r="I649" s="162">
        <v>3.7425000000000002</v>
      </c>
      <c r="J649" s="162">
        <v>3.7195999999999998</v>
      </c>
      <c r="K649" s="162">
        <v>3.6756000000000002</v>
      </c>
      <c r="L649" s="162">
        <v>3.6341999999999999</v>
      </c>
      <c r="M649" s="162">
        <v>3.6042000000000001</v>
      </c>
      <c r="N649" s="162">
        <v>3.5659999999999998</v>
      </c>
      <c r="O649" s="162">
        <v>3.5305</v>
      </c>
      <c r="P649" s="162">
        <v>3.5009999999999999</v>
      </c>
      <c r="Q649" s="162">
        <v>3.4666000000000001</v>
      </c>
      <c r="R649" s="162">
        <v>3.4350000000000001</v>
      </c>
      <c r="S649" s="162">
        <v>3.0838999999999999</v>
      </c>
      <c r="T649" s="162">
        <v>2.8776000000000002</v>
      </c>
      <c r="U649" s="162">
        <v>2.7498</v>
      </c>
      <c r="V649" s="162">
        <v>2.6757</v>
      </c>
      <c r="W649" s="162">
        <v>2.633</v>
      </c>
      <c r="X649" s="162">
        <v>2.6145999999999998</v>
      </c>
      <c r="Y649" s="162">
        <v>2.61</v>
      </c>
      <c r="Z649" s="162">
        <v>2.6175999999999999</v>
      </c>
      <c r="AA649" s="162">
        <v>2.6341000000000001</v>
      </c>
      <c r="AB649" s="162">
        <v>2.6482999999999999</v>
      </c>
      <c r="AC649" s="162">
        <v>2.6674000000000002</v>
      </c>
      <c r="AD649" s="162">
        <v>2.6859999999999999</v>
      </c>
      <c r="AE649" s="162">
        <v>2.6983999999999999</v>
      </c>
      <c r="AF649" s="162">
        <v>2.7109000000000001</v>
      </c>
      <c r="AG649" s="162">
        <v>2.7063000000000001</v>
      </c>
      <c r="AH649" s="162">
        <v>2.7017000000000002</v>
      </c>
      <c r="AI649" s="162">
        <v>2.6970999999999998</v>
      </c>
      <c r="AJ649" s="162">
        <v>2.6924999999999999</v>
      </c>
      <c r="AK649" s="162">
        <v>2.6879</v>
      </c>
      <c r="AL649" s="162">
        <v>2.6735000000000002</v>
      </c>
      <c r="AM649" s="162">
        <v>2.6579999999999999</v>
      </c>
      <c r="AN649" s="162">
        <v>2.6417999999999999</v>
      </c>
      <c r="AO649" s="162">
        <v>2.6248</v>
      </c>
      <c r="AP649" s="162">
        <v>2.6078999999999999</v>
      </c>
      <c r="AQ649" s="162">
        <v>2.5882999999999998</v>
      </c>
      <c r="AR649" s="162">
        <v>2.5716000000000001</v>
      </c>
      <c r="AS649" s="162">
        <v>2.5548000000000002</v>
      </c>
      <c r="AT649" s="162">
        <v>2.5394000000000001</v>
      </c>
      <c r="AU649" s="162">
        <v>2.5266999999999999</v>
      </c>
    </row>
    <row r="650" spans="1:47" ht="12.75" customHeight="1">
      <c r="A650" s="459">
        <v>45443</v>
      </c>
      <c r="B650" s="139">
        <v>22</v>
      </c>
      <c r="C650" s="162">
        <v>3.9053</v>
      </c>
      <c r="D650" s="162">
        <v>3.9053</v>
      </c>
      <c r="E650" s="162">
        <v>3.907</v>
      </c>
      <c r="F650" s="162">
        <v>3.9062000000000001</v>
      </c>
      <c r="G650" s="162">
        <v>3.8264999999999998</v>
      </c>
      <c r="H650" s="162">
        <v>3.7574999999999998</v>
      </c>
      <c r="I650" s="162">
        <v>3.7202999999999999</v>
      </c>
      <c r="J650" s="162">
        <v>3.6968999999999999</v>
      </c>
      <c r="K650" s="162">
        <v>3.6581999999999999</v>
      </c>
      <c r="L650" s="162">
        <v>3.6198999999999999</v>
      </c>
      <c r="M650" s="162">
        <v>3.5914999999999999</v>
      </c>
      <c r="N650" s="162">
        <v>3.5569000000000002</v>
      </c>
      <c r="O650" s="162">
        <v>3.5238</v>
      </c>
      <c r="P650" s="162">
        <v>3.4956</v>
      </c>
      <c r="Q650" s="162">
        <v>3.4643000000000002</v>
      </c>
      <c r="R650" s="162">
        <v>3.4342000000000001</v>
      </c>
      <c r="S650" s="162">
        <v>3.0958000000000001</v>
      </c>
      <c r="T650" s="162">
        <v>2.8908999999999998</v>
      </c>
      <c r="U650" s="162">
        <v>2.7627999999999999</v>
      </c>
      <c r="V650" s="162">
        <v>2.6869000000000001</v>
      </c>
      <c r="W650" s="162">
        <v>2.6442000000000001</v>
      </c>
      <c r="X650" s="162">
        <v>2.6221000000000001</v>
      </c>
      <c r="Y650" s="162">
        <v>2.6160000000000001</v>
      </c>
      <c r="Z650" s="162">
        <v>2.6206</v>
      </c>
      <c r="AA650" s="162">
        <v>2.6316999999999999</v>
      </c>
      <c r="AB650" s="162">
        <v>2.6484999999999999</v>
      </c>
      <c r="AC650" s="162">
        <v>2.6661000000000001</v>
      </c>
      <c r="AD650" s="162">
        <v>2.6842000000000001</v>
      </c>
      <c r="AE650" s="162">
        <v>2.6981000000000002</v>
      </c>
      <c r="AF650" s="162">
        <v>2.7063000000000001</v>
      </c>
      <c r="AG650" s="162">
        <v>2.7010000000000001</v>
      </c>
      <c r="AH650" s="162">
        <v>2.6957</v>
      </c>
      <c r="AI650" s="162">
        <v>2.6903999999999999</v>
      </c>
      <c r="AJ650" s="162">
        <v>2.6850999999999998</v>
      </c>
      <c r="AK650" s="162">
        <v>2.6798000000000002</v>
      </c>
      <c r="AL650" s="162">
        <v>2.6665000000000001</v>
      </c>
      <c r="AM650" s="162">
        <v>2.6516000000000002</v>
      </c>
      <c r="AN650" s="162">
        <v>2.6360999999999999</v>
      </c>
      <c r="AO650" s="162">
        <v>2.6196000000000002</v>
      </c>
      <c r="AP650" s="162">
        <v>2.6034999999999999</v>
      </c>
      <c r="AQ650" s="162">
        <v>2.5901000000000001</v>
      </c>
      <c r="AR650" s="162">
        <v>2.5743</v>
      </c>
      <c r="AS650" s="162">
        <v>2.5586000000000002</v>
      </c>
      <c r="AT650" s="162">
        <v>2.5432999999999999</v>
      </c>
      <c r="AU650" s="162">
        <v>2.5246</v>
      </c>
    </row>
    <row r="651" spans="1:47" ht="12.75" customHeight="1">
      <c r="A651" s="337"/>
    </row>
    <row r="652" spans="1:47" ht="12.75" customHeight="1">
      <c r="A652" s="337"/>
    </row>
    <row r="653" spans="1:47" ht="12.75" customHeight="1">
      <c r="A653" s="337"/>
    </row>
    <row r="654" spans="1:47" ht="12.75" customHeight="1">
      <c r="A654" s="337"/>
    </row>
    <row r="655" spans="1:47" ht="12.75" customHeight="1">
      <c r="A655" s="337"/>
    </row>
    <row r="656" spans="1:47" ht="12.75" customHeight="1">
      <c r="A656" s="337"/>
    </row>
    <row r="657" spans="1:1" ht="12.75" customHeight="1">
      <c r="A657" s="337"/>
    </row>
    <row r="658" spans="1:1" ht="12.75" customHeight="1">
      <c r="A658" s="337"/>
    </row>
    <row r="659" spans="1:1" ht="12.75" customHeight="1">
      <c r="A659" s="337"/>
    </row>
    <row r="660" spans="1:1" ht="12.75" customHeight="1">
      <c r="A660" s="337"/>
    </row>
    <row r="661" spans="1:1" ht="12.75" customHeight="1">
      <c r="A661" s="337"/>
    </row>
    <row r="662" spans="1:1" ht="12.75" customHeight="1">
      <c r="A662" s="337"/>
    </row>
    <row r="663" spans="1:1" ht="12.75" customHeight="1">
      <c r="A663" s="337"/>
    </row>
    <row r="664" spans="1:1" ht="12.75" customHeight="1">
      <c r="A664" s="337"/>
    </row>
    <row r="665" spans="1:1" ht="12.75" customHeight="1">
      <c r="A665" s="337"/>
    </row>
    <row r="666" spans="1:1" ht="12.75" customHeight="1">
      <c r="A666" s="337"/>
    </row>
    <row r="667" spans="1:1" ht="12.75" customHeight="1">
      <c r="A667" s="337"/>
    </row>
    <row r="668" spans="1:1" ht="12.75" customHeight="1">
      <c r="A668" s="337"/>
    </row>
    <row r="669" spans="1:1" ht="12.75" customHeight="1">
      <c r="A669" s="337"/>
    </row>
    <row r="670" spans="1:1" ht="12.75" customHeight="1">
      <c r="A670" s="337"/>
    </row>
    <row r="671" spans="1:1" ht="12.75" customHeight="1">
      <c r="A671" s="337"/>
    </row>
    <row r="672" spans="1:1" ht="12.75" customHeight="1">
      <c r="A672" s="337"/>
    </row>
    <row r="673" spans="1:1" ht="12.75" customHeight="1">
      <c r="A673" s="337"/>
    </row>
    <row r="674" spans="1:1" ht="12.75" customHeight="1">
      <c r="A674" s="337"/>
    </row>
    <row r="675" spans="1:1" ht="12.75" customHeight="1">
      <c r="A675" s="337"/>
    </row>
    <row r="676" spans="1:1" ht="12.75" customHeight="1">
      <c r="A676" s="337"/>
    </row>
    <row r="677" spans="1:1" ht="12.75" customHeight="1">
      <c r="A677" s="337"/>
    </row>
    <row r="678" spans="1:1" ht="12.75" customHeight="1">
      <c r="A678" s="337"/>
    </row>
    <row r="679" spans="1:1" ht="12.75" customHeight="1">
      <c r="A679" s="337"/>
    </row>
    <row r="680" spans="1:1" ht="12.75" customHeight="1">
      <c r="A680" s="337"/>
    </row>
    <row r="681" spans="1:1" ht="12.75" customHeight="1">
      <c r="A681" s="337"/>
    </row>
    <row r="682" spans="1:1" ht="12.75" customHeight="1">
      <c r="A682" s="337"/>
    </row>
    <row r="683" spans="1:1" ht="12.75" customHeight="1">
      <c r="A683" s="337"/>
    </row>
    <row r="684" spans="1:1" ht="12.75" customHeight="1">
      <c r="A684" s="337"/>
    </row>
    <row r="685" spans="1:1" ht="12.75" customHeight="1">
      <c r="A685" s="337"/>
    </row>
    <row r="686" spans="1:1" ht="12.75" customHeight="1">
      <c r="A686" s="337"/>
    </row>
    <row r="687" spans="1:1" ht="12.75" customHeight="1">
      <c r="A687" s="337"/>
    </row>
    <row r="688" spans="1:1" ht="12.75" customHeight="1">
      <c r="A688" s="337"/>
    </row>
    <row r="689" spans="1:1" ht="12.75" customHeight="1">
      <c r="A689" s="337"/>
    </row>
    <row r="690" spans="1:1" ht="12.75" customHeight="1">
      <c r="A690" s="337"/>
    </row>
    <row r="691" spans="1:1" ht="12.75" customHeight="1">
      <c r="A691" s="337"/>
    </row>
    <row r="692" spans="1:1" ht="12.75" customHeight="1">
      <c r="A692" s="337"/>
    </row>
    <row r="693" spans="1:1" ht="12.75" customHeight="1">
      <c r="A693" s="337"/>
    </row>
    <row r="694" spans="1:1" ht="12.75" customHeight="1">
      <c r="A694" s="337"/>
    </row>
    <row r="695" spans="1:1" ht="12.75" customHeight="1">
      <c r="A695" s="337"/>
    </row>
    <row r="696" spans="1:1" ht="12.75" customHeight="1">
      <c r="A696" s="337"/>
    </row>
    <row r="697" spans="1:1" ht="12.75" customHeight="1">
      <c r="A697" s="337"/>
    </row>
    <row r="698" spans="1:1" ht="12.75" customHeight="1">
      <c r="A698" s="337"/>
    </row>
    <row r="699" spans="1:1" ht="12.75" customHeight="1">
      <c r="A699" s="337"/>
    </row>
    <row r="700" spans="1:1" ht="12.75" customHeight="1">
      <c r="A700" s="337"/>
    </row>
    <row r="701" spans="1:1" ht="12.75" customHeight="1">
      <c r="A701" s="337"/>
    </row>
    <row r="702" spans="1:1" ht="12.75" customHeight="1">
      <c r="A702" s="337"/>
    </row>
    <row r="703" spans="1:1" ht="12.75" customHeight="1">
      <c r="A703" s="337"/>
    </row>
    <row r="704" spans="1:1" ht="12.75" customHeight="1">
      <c r="A704" s="337"/>
    </row>
    <row r="705" spans="1:1" ht="12.75" customHeight="1">
      <c r="A705" s="337"/>
    </row>
    <row r="706" spans="1:1" ht="12.75" customHeight="1">
      <c r="A706" s="337"/>
    </row>
    <row r="707" spans="1:1" ht="12.75" customHeight="1">
      <c r="A707" s="337"/>
    </row>
    <row r="708" spans="1:1" ht="12.75" customHeight="1">
      <c r="A708" s="337"/>
    </row>
    <row r="709" spans="1:1" ht="12.75" customHeight="1">
      <c r="A709" s="337"/>
    </row>
    <row r="710" spans="1:1" ht="12.75" customHeight="1">
      <c r="A710" s="337"/>
    </row>
    <row r="711" spans="1:1" ht="12.75" customHeight="1">
      <c r="A711" s="337"/>
    </row>
    <row r="712" spans="1:1" ht="12.75" customHeight="1">
      <c r="A712" s="337"/>
    </row>
    <row r="713" spans="1:1" ht="12.75" customHeight="1">
      <c r="A713" s="337"/>
    </row>
    <row r="714" spans="1:1" ht="12.75" customHeight="1">
      <c r="A714" s="337"/>
    </row>
    <row r="715" spans="1:1" ht="12.75" customHeight="1">
      <c r="A715" s="337"/>
    </row>
    <row r="716" spans="1:1" ht="12.75" customHeight="1">
      <c r="A716" s="337"/>
    </row>
    <row r="717" spans="1:1" ht="12.75" customHeight="1">
      <c r="A717" s="337"/>
    </row>
    <row r="718" spans="1:1" ht="12.75" customHeight="1">
      <c r="A718" s="337"/>
    </row>
    <row r="719" spans="1:1" ht="12.75" customHeight="1">
      <c r="A719" s="337"/>
    </row>
    <row r="720" spans="1:1" ht="12.75" customHeight="1">
      <c r="A720" s="337"/>
    </row>
    <row r="721" spans="1:1" ht="12.75" customHeight="1">
      <c r="A721" s="337"/>
    </row>
    <row r="722" spans="1:1" ht="12.75" customHeight="1">
      <c r="A722" s="337"/>
    </row>
    <row r="723" spans="1:1" ht="12.75" customHeight="1">
      <c r="A723" s="337"/>
    </row>
    <row r="724" spans="1:1" ht="12.75" customHeight="1">
      <c r="A724" s="337"/>
    </row>
    <row r="725" spans="1:1" ht="12.75" customHeight="1">
      <c r="A725" s="337"/>
    </row>
    <row r="726" spans="1:1" ht="12.75" customHeight="1">
      <c r="A726" s="337"/>
    </row>
    <row r="727" spans="1:1" ht="12.75" customHeight="1">
      <c r="A727" s="337"/>
    </row>
    <row r="728" spans="1:1" ht="12.75" customHeight="1">
      <c r="A728" s="337"/>
    </row>
    <row r="729" spans="1:1" ht="12.75" customHeight="1">
      <c r="A729" s="337"/>
    </row>
    <row r="730" spans="1:1" ht="12.75" customHeight="1">
      <c r="A730" s="337"/>
    </row>
    <row r="731" spans="1:1" ht="12.75" customHeight="1">
      <c r="A731" s="337"/>
    </row>
    <row r="732" spans="1:1" ht="12.75" customHeight="1">
      <c r="A732" s="337"/>
    </row>
    <row r="733" spans="1:1" ht="12.75" customHeight="1">
      <c r="A733" s="337"/>
    </row>
    <row r="734" spans="1:1" ht="12.75" customHeight="1">
      <c r="A734" s="337"/>
    </row>
    <row r="735" spans="1:1" ht="12.75" customHeight="1">
      <c r="A735" s="337"/>
    </row>
    <row r="736" spans="1:1" ht="12.75" customHeight="1">
      <c r="A736" s="337"/>
    </row>
    <row r="737" spans="1:1" ht="12.75" customHeight="1">
      <c r="A737" s="337"/>
    </row>
    <row r="738" spans="1:1" ht="12.75" customHeight="1">
      <c r="A738" s="337"/>
    </row>
    <row r="739" spans="1:1" ht="12.75" customHeight="1">
      <c r="A739" s="337"/>
    </row>
    <row r="740" spans="1:1" ht="12.75" customHeight="1">
      <c r="A740" s="337"/>
    </row>
    <row r="741" spans="1:1" ht="12.75" customHeight="1">
      <c r="A741" s="337"/>
    </row>
    <row r="742" spans="1:1" ht="12.75" customHeight="1">
      <c r="A742" s="337"/>
    </row>
    <row r="743" spans="1:1" ht="12.75" customHeight="1">
      <c r="A743" s="337"/>
    </row>
    <row r="744" spans="1:1" ht="12.75" customHeight="1">
      <c r="A744" s="337"/>
    </row>
    <row r="745" spans="1:1" ht="12.75" customHeight="1">
      <c r="A745" s="337"/>
    </row>
    <row r="746" spans="1:1" ht="12.75" customHeight="1">
      <c r="A746" s="337"/>
    </row>
    <row r="747" spans="1:1" ht="12.75" customHeight="1">
      <c r="A747" s="337"/>
    </row>
    <row r="748" spans="1:1" ht="12.75" customHeight="1">
      <c r="A748" s="337"/>
    </row>
    <row r="749" spans="1:1" ht="12.75" customHeight="1">
      <c r="A749" s="337"/>
    </row>
    <row r="750" spans="1:1" ht="12.75" customHeight="1">
      <c r="A750" s="337"/>
    </row>
    <row r="751" spans="1:1" ht="12.75" customHeight="1">
      <c r="A751" s="337"/>
    </row>
    <row r="752" spans="1:1" ht="12.75" customHeight="1">
      <c r="A752" s="337"/>
    </row>
    <row r="753" spans="1:1" ht="12.75" customHeight="1">
      <c r="A753" s="337"/>
    </row>
    <row r="754" spans="1:1" ht="12.75" customHeight="1">
      <c r="A754" s="337"/>
    </row>
    <row r="755" spans="1:1" ht="12.75" customHeight="1">
      <c r="A755" s="337"/>
    </row>
    <row r="756" spans="1:1" ht="12.75" customHeight="1">
      <c r="A756" s="337"/>
    </row>
    <row r="757" spans="1:1" ht="12.75" customHeight="1">
      <c r="A757" s="337"/>
    </row>
    <row r="758" spans="1:1" ht="12.75" customHeight="1">
      <c r="A758" s="337"/>
    </row>
    <row r="759" spans="1:1" ht="12.75" customHeight="1">
      <c r="A759" s="337"/>
    </row>
    <row r="760" spans="1:1" ht="12.75" customHeight="1">
      <c r="A760" s="337"/>
    </row>
    <row r="761" spans="1:1" ht="12.75" customHeight="1">
      <c r="A761" s="260"/>
    </row>
    <row r="762" spans="1:1" ht="12.75" customHeight="1">
      <c r="A762" s="260"/>
    </row>
    <row r="763" spans="1:1" ht="12.75" customHeight="1">
      <c r="A763" s="260"/>
    </row>
    <row r="764" spans="1:1" ht="12.75" customHeight="1">
      <c r="A764" s="260"/>
    </row>
    <row r="765" spans="1:1" ht="12.75" customHeight="1">
      <c r="A765" s="260"/>
    </row>
    <row r="766" spans="1:1" ht="12.75" customHeight="1">
      <c r="A766" s="260"/>
    </row>
    <row r="767" spans="1:1" ht="12.75" customHeight="1">
      <c r="A767" s="260"/>
    </row>
    <row r="768" spans="1:1" ht="12.75" customHeight="1">
      <c r="A768" s="260"/>
    </row>
    <row r="769" spans="1:1" ht="12.75" customHeight="1">
      <c r="A769" s="260"/>
    </row>
    <row r="770" spans="1:1" ht="12.75" customHeight="1">
      <c r="A770" s="260"/>
    </row>
    <row r="771" spans="1:1" ht="12.75" customHeight="1">
      <c r="A771" s="260"/>
    </row>
    <row r="772" spans="1:1" ht="12.75" customHeight="1">
      <c r="A772" s="260"/>
    </row>
    <row r="773" spans="1:1" ht="12.75" customHeight="1">
      <c r="A773" s="260"/>
    </row>
    <row r="774" spans="1:1" ht="12.75" customHeight="1">
      <c r="A774" s="260"/>
    </row>
    <row r="775" spans="1:1" ht="12.75" customHeight="1">
      <c r="A775" s="260"/>
    </row>
    <row r="776" spans="1:1" ht="12.75" customHeight="1">
      <c r="A776" s="260"/>
    </row>
    <row r="777" spans="1:1" ht="12.75" customHeight="1">
      <c r="A777" s="260"/>
    </row>
    <row r="778" spans="1:1" ht="12.75" customHeight="1">
      <c r="A778" s="260"/>
    </row>
    <row r="779" spans="1:1" ht="12.75" customHeight="1">
      <c r="A779" s="260"/>
    </row>
    <row r="780" spans="1:1" ht="12.75" customHeight="1">
      <c r="A780" s="260"/>
    </row>
    <row r="781" spans="1:1" ht="12.75" customHeight="1">
      <c r="A781" s="260"/>
    </row>
    <row r="782" spans="1:1" ht="12.75" customHeight="1">
      <c r="A782" s="260"/>
    </row>
    <row r="783" spans="1:1" ht="12.75" customHeight="1">
      <c r="A783" s="260"/>
    </row>
    <row r="784" spans="1:1" ht="12.75" customHeight="1">
      <c r="A784" s="260"/>
    </row>
    <row r="785" spans="1:1" ht="12.75" customHeight="1">
      <c r="A785" s="260"/>
    </row>
    <row r="786" spans="1:1" ht="12.75" customHeight="1">
      <c r="A786" s="260"/>
    </row>
    <row r="787" spans="1:1" ht="12.75" customHeight="1">
      <c r="A787" s="260"/>
    </row>
    <row r="788" spans="1:1" ht="12.75" customHeight="1">
      <c r="A788" s="260"/>
    </row>
    <row r="789" spans="1:1" ht="12.75" customHeight="1">
      <c r="A789" s="260"/>
    </row>
    <row r="790" spans="1:1" ht="12.75" customHeight="1">
      <c r="A790" s="260"/>
    </row>
    <row r="791" spans="1:1" ht="12.75" customHeight="1">
      <c r="A791" s="260"/>
    </row>
    <row r="792" spans="1:1" ht="12.75" customHeight="1">
      <c r="A792" s="260"/>
    </row>
    <row r="793" spans="1:1" ht="12.75" customHeight="1">
      <c r="A793" s="260"/>
    </row>
    <row r="794" spans="1:1" ht="12.75" customHeight="1">
      <c r="A794" s="260"/>
    </row>
    <row r="795" spans="1:1" ht="12.75" customHeight="1">
      <c r="A795" s="260"/>
    </row>
    <row r="796" spans="1:1" ht="12.75" customHeight="1">
      <c r="A796" s="260"/>
    </row>
    <row r="797" spans="1:1" ht="12.75" customHeight="1">
      <c r="A797" s="260"/>
    </row>
    <row r="798" spans="1:1" ht="12.75" customHeight="1">
      <c r="A798" s="260"/>
    </row>
    <row r="799" spans="1:1" ht="12.75" customHeight="1">
      <c r="A799" s="260"/>
    </row>
    <row r="800" spans="1:1" ht="12.75" customHeight="1">
      <c r="A800" s="260"/>
    </row>
    <row r="801" spans="1:1" ht="12.75" customHeight="1">
      <c r="A801" s="260"/>
    </row>
    <row r="802" spans="1:1" ht="12.75" customHeight="1">
      <c r="A802" s="260"/>
    </row>
    <row r="803" spans="1:1" ht="12.75" customHeight="1">
      <c r="A803" s="260"/>
    </row>
    <row r="804" spans="1:1" ht="12.75" customHeight="1">
      <c r="A804" s="260"/>
    </row>
    <row r="805" spans="1:1" ht="12.75" customHeight="1">
      <c r="A805" s="260"/>
    </row>
    <row r="806" spans="1:1" ht="12.75" customHeight="1">
      <c r="A806" s="260"/>
    </row>
    <row r="807" spans="1:1" ht="12.75" customHeight="1">
      <c r="A807" s="260"/>
    </row>
    <row r="808" spans="1:1" ht="12.75" customHeight="1">
      <c r="A808" s="260"/>
    </row>
    <row r="809" spans="1:1" ht="12.75" customHeight="1">
      <c r="A809" s="260"/>
    </row>
    <row r="810" spans="1:1" ht="12.75" customHeight="1">
      <c r="A810" s="260"/>
    </row>
    <row r="811" spans="1:1" ht="12.75" customHeight="1">
      <c r="A811" s="260"/>
    </row>
    <row r="812" spans="1:1" ht="12.75" customHeight="1">
      <c r="A812" s="260"/>
    </row>
    <row r="813" spans="1:1" ht="12.75" customHeight="1">
      <c r="A813" s="260"/>
    </row>
    <row r="814" spans="1:1" ht="12.75" customHeight="1">
      <c r="A814" s="260"/>
    </row>
    <row r="815" spans="1:1" ht="12.75" customHeight="1">
      <c r="A815" s="260"/>
    </row>
    <row r="816" spans="1:1" ht="12.75" customHeight="1">
      <c r="A816" s="260"/>
    </row>
    <row r="817" spans="1:1" ht="12.75" customHeight="1">
      <c r="A817" s="260"/>
    </row>
    <row r="818" spans="1:1" ht="12.75" customHeight="1">
      <c r="A818" s="260"/>
    </row>
    <row r="819" spans="1:1" ht="12.75" customHeight="1">
      <c r="A819" s="260"/>
    </row>
    <row r="820" spans="1:1" ht="12.75" customHeight="1">
      <c r="A820" s="260"/>
    </row>
    <row r="821" spans="1:1" ht="12.75" customHeight="1">
      <c r="A821" s="260"/>
    </row>
    <row r="822" spans="1:1" ht="12.75" customHeight="1">
      <c r="A822" s="260"/>
    </row>
    <row r="823" spans="1:1" ht="12.75" customHeight="1">
      <c r="A823" s="260"/>
    </row>
    <row r="824" spans="1:1" ht="12.75" customHeight="1">
      <c r="A824" s="260"/>
    </row>
    <row r="825" spans="1:1" ht="12.75" customHeight="1">
      <c r="A825" s="260"/>
    </row>
    <row r="826" spans="1:1" ht="12.75" customHeight="1">
      <c r="A826" s="260"/>
    </row>
    <row r="827" spans="1:1" ht="12.75" customHeight="1">
      <c r="A827" s="260"/>
    </row>
    <row r="828" spans="1:1" ht="12.75" customHeight="1">
      <c r="A828" s="260"/>
    </row>
    <row r="829" spans="1:1" ht="12.75" customHeight="1">
      <c r="A829" s="260"/>
    </row>
    <row r="830" spans="1:1" ht="12.75" customHeight="1">
      <c r="A830" s="260"/>
    </row>
    <row r="831" spans="1:1" ht="12.75" customHeight="1">
      <c r="A831" s="260"/>
    </row>
    <row r="832" spans="1:1" ht="12.75" customHeight="1">
      <c r="A832" s="260"/>
    </row>
    <row r="833" spans="1:1" ht="12.75" customHeight="1">
      <c r="A833" s="260"/>
    </row>
    <row r="834" spans="1:1" ht="12.75" customHeight="1">
      <c r="A834" s="260"/>
    </row>
    <row r="835" spans="1:1" ht="12.75" customHeight="1">
      <c r="A835" s="260"/>
    </row>
    <row r="836" spans="1:1" ht="12.75" customHeight="1">
      <c r="A836" s="260"/>
    </row>
    <row r="837" spans="1:1" ht="12.75" customHeight="1">
      <c r="A837" s="260"/>
    </row>
    <row r="838" spans="1:1" ht="12.75" customHeight="1">
      <c r="A838" s="260"/>
    </row>
    <row r="839" spans="1:1" ht="12.75" customHeight="1">
      <c r="A839" s="260"/>
    </row>
    <row r="840" spans="1:1" ht="12.75" customHeight="1">
      <c r="A840" s="260"/>
    </row>
    <row r="841" spans="1:1" ht="12.75" customHeight="1">
      <c r="A841" s="260"/>
    </row>
    <row r="842" spans="1:1" ht="12.75" customHeight="1">
      <c r="A842" s="260"/>
    </row>
    <row r="843" spans="1:1" ht="12.75" customHeight="1">
      <c r="A843" s="260"/>
    </row>
    <row r="844" spans="1:1" ht="12.75" customHeight="1">
      <c r="A844" s="260"/>
    </row>
    <row r="845" spans="1:1" ht="12.75" customHeight="1">
      <c r="A845" s="260"/>
    </row>
    <row r="846" spans="1:1" ht="12.75" customHeight="1">
      <c r="A846" s="260"/>
    </row>
    <row r="847" spans="1:1" ht="12.75" customHeight="1">
      <c r="A847" s="260"/>
    </row>
    <row r="848" spans="1:1" ht="12.75" customHeight="1">
      <c r="A848" s="260"/>
    </row>
    <row r="849" spans="1:1" ht="12.75" customHeight="1">
      <c r="A849" s="260"/>
    </row>
    <row r="850" spans="1:1" ht="12.75" customHeight="1">
      <c r="A850" s="260"/>
    </row>
    <row r="851" spans="1:1" ht="12.75" customHeight="1">
      <c r="A851" s="260"/>
    </row>
    <row r="852" spans="1:1" ht="12.75" customHeight="1">
      <c r="A852" s="260"/>
    </row>
    <row r="853" spans="1:1" ht="12.75" customHeight="1">
      <c r="A853" s="260"/>
    </row>
    <row r="854" spans="1:1" ht="12.75" customHeight="1">
      <c r="A854" s="260"/>
    </row>
    <row r="855" spans="1:1" ht="12.75" customHeight="1">
      <c r="A855" s="260"/>
    </row>
    <row r="856" spans="1:1" ht="12.75" customHeight="1">
      <c r="A856" s="260"/>
    </row>
    <row r="857" spans="1:1" ht="12.75" customHeight="1">
      <c r="A857" s="260"/>
    </row>
    <row r="858" spans="1:1" ht="12.75" customHeight="1">
      <c r="A858" s="260"/>
    </row>
    <row r="859" spans="1:1" ht="12.75" customHeight="1">
      <c r="A859" s="260"/>
    </row>
    <row r="860" spans="1:1" ht="12.75" customHeight="1">
      <c r="A860" s="260"/>
    </row>
    <row r="861" spans="1:1" ht="12.75" customHeight="1">
      <c r="A861" s="260"/>
    </row>
    <row r="862" spans="1:1" ht="12.75" customHeight="1">
      <c r="A862" s="260"/>
    </row>
    <row r="863" spans="1:1" ht="12.75" customHeight="1">
      <c r="A863" s="260"/>
    </row>
    <row r="864" spans="1:1" ht="12.75" customHeight="1">
      <c r="A864" s="260"/>
    </row>
    <row r="865" spans="1:1" ht="12.75" customHeight="1">
      <c r="A865" s="260"/>
    </row>
    <row r="866" spans="1:1" ht="12.75" customHeight="1">
      <c r="A866" s="260"/>
    </row>
    <row r="867" spans="1:1" ht="12.75" customHeight="1">
      <c r="A867" s="260"/>
    </row>
    <row r="868" spans="1:1" ht="12.75" customHeight="1">
      <c r="A868" s="260"/>
    </row>
    <row r="869" spans="1:1" ht="12.75" customHeight="1">
      <c r="A869" s="260"/>
    </row>
    <row r="870" spans="1:1" ht="12.75" customHeight="1">
      <c r="A870" s="260"/>
    </row>
    <row r="871" spans="1:1" ht="12.75" customHeight="1">
      <c r="A871" s="260"/>
    </row>
    <row r="872" spans="1:1" ht="12.75" customHeight="1">
      <c r="A872" s="260"/>
    </row>
    <row r="873" spans="1:1" ht="12.75" customHeight="1">
      <c r="A873" s="260"/>
    </row>
    <row r="874" spans="1:1" ht="12.75" customHeight="1">
      <c r="A874" s="260"/>
    </row>
    <row r="875" spans="1:1" ht="12.75" customHeight="1">
      <c r="A875" s="260"/>
    </row>
    <row r="876" spans="1:1" ht="12.75" customHeight="1">
      <c r="A876" s="260"/>
    </row>
    <row r="877" spans="1:1" ht="12.75" customHeight="1">
      <c r="A877" s="260"/>
    </row>
    <row r="878" spans="1:1" ht="12.75" customHeight="1">
      <c r="A878" s="260"/>
    </row>
    <row r="879" spans="1:1" ht="12.75" customHeight="1">
      <c r="A879" s="260"/>
    </row>
    <row r="880" spans="1:1" ht="12.75" customHeight="1">
      <c r="A880" s="260"/>
    </row>
    <row r="881" spans="1:1" ht="12.75" customHeight="1">
      <c r="A881" s="260"/>
    </row>
    <row r="882" spans="1:1" ht="12.75" customHeight="1">
      <c r="A882" s="260"/>
    </row>
    <row r="883" spans="1:1" ht="12.75" customHeight="1">
      <c r="A883" s="260"/>
    </row>
    <row r="884" spans="1:1" ht="12.75" customHeight="1">
      <c r="A884" s="260"/>
    </row>
    <row r="885" spans="1:1" ht="12.75" customHeight="1">
      <c r="A885" s="260"/>
    </row>
    <row r="886" spans="1:1" ht="12.75" customHeight="1">
      <c r="A886" s="260"/>
    </row>
    <row r="887" spans="1:1" ht="12.75" customHeight="1">
      <c r="A887" s="260"/>
    </row>
    <row r="888" spans="1:1" ht="12.75" customHeight="1">
      <c r="A888" s="260"/>
    </row>
    <row r="889" spans="1:1" ht="12.75" customHeight="1">
      <c r="A889" s="260"/>
    </row>
    <row r="890" spans="1:1" ht="12.75" customHeight="1">
      <c r="A890" s="260"/>
    </row>
    <row r="891" spans="1:1" ht="12.75" customHeight="1">
      <c r="A891" s="260"/>
    </row>
    <row r="892" spans="1:1" ht="12.75" customHeight="1">
      <c r="A892" s="260"/>
    </row>
    <row r="893" spans="1:1" ht="12.75" customHeight="1">
      <c r="A893" s="260"/>
    </row>
    <row r="894" spans="1:1" ht="12.75" customHeight="1">
      <c r="A894" s="260"/>
    </row>
    <row r="895" spans="1:1" ht="12.75" customHeight="1">
      <c r="A895" s="260"/>
    </row>
    <row r="896" spans="1:1" ht="12.75" customHeight="1">
      <c r="A896" s="260"/>
    </row>
    <row r="897" spans="1:1" ht="12.75" customHeight="1">
      <c r="A897" s="260"/>
    </row>
    <row r="898" spans="1:1" ht="12.75" customHeight="1">
      <c r="A898" s="260"/>
    </row>
    <row r="899" spans="1:1" ht="12.75" customHeight="1">
      <c r="A899" s="260"/>
    </row>
    <row r="900" spans="1:1" ht="12.75" customHeight="1">
      <c r="A900" s="260"/>
    </row>
    <row r="901" spans="1:1" ht="12.75" customHeight="1">
      <c r="A901" s="260"/>
    </row>
    <row r="902" spans="1:1" ht="12.75" customHeight="1">
      <c r="A902" s="260"/>
    </row>
    <row r="903" spans="1:1" ht="12.75" customHeight="1">
      <c r="A903" s="260"/>
    </row>
    <row r="904" spans="1:1" ht="12.75" customHeight="1">
      <c r="A904" s="260"/>
    </row>
    <row r="905" spans="1:1" ht="12.75" customHeight="1">
      <c r="A905" s="260"/>
    </row>
    <row r="906" spans="1:1" ht="12.75" customHeight="1">
      <c r="A906" s="260"/>
    </row>
    <row r="907" spans="1:1" ht="12.75" customHeight="1">
      <c r="A907" s="260"/>
    </row>
    <row r="908" spans="1:1" ht="12.75" customHeight="1">
      <c r="A908" s="260"/>
    </row>
    <row r="909" spans="1:1" ht="12.75" customHeight="1">
      <c r="A909" s="260"/>
    </row>
    <row r="910" spans="1:1" ht="12.75" customHeight="1">
      <c r="A910" s="260"/>
    </row>
    <row r="911" spans="1:1" ht="12.75" customHeight="1">
      <c r="A911" s="260"/>
    </row>
    <row r="912" spans="1:1" ht="12.75" customHeight="1">
      <c r="A912" s="260"/>
    </row>
    <row r="913" spans="1:1" ht="12.75" customHeight="1">
      <c r="A913" s="260"/>
    </row>
    <row r="914" spans="1:1" ht="12.75" customHeight="1">
      <c r="A914" s="260"/>
    </row>
    <row r="915" spans="1:1" ht="12.75" customHeight="1">
      <c r="A915" s="260"/>
    </row>
    <row r="916" spans="1:1" ht="12.75" customHeight="1">
      <c r="A916" s="260"/>
    </row>
    <row r="917" spans="1:1" ht="12.75" customHeight="1">
      <c r="A917" s="260"/>
    </row>
    <row r="918" spans="1:1" ht="12.75" customHeight="1">
      <c r="A918" s="260"/>
    </row>
    <row r="919" spans="1:1" ht="12.75" customHeight="1">
      <c r="A919" s="260"/>
    </row>
    <row r="920" spans="1:1" ht="12.75" customHeight="1">
      <c r="A920" s="260"/>
    </row>
    <row r="921" spans="1:1" ht="12.75" customHeight="1">
      <c r="A921" s="260"/>
    </row>
    <row r="922" spans="1:1" ht="12.75" customHeight="1">
      <c r="A922" s="260"/>
    </row>
    <row r="923" spans="1:1" ht="12.75" customHeight="1">
      <c r="A923" s="260"/>
    </row>
    <row r="924" spans="1:1" ht="12.75" customHeight="1">
      <c r="A924" s="260"/>
    </row>
    <row r="925" spans="1:1" ht="12.75" customHeight="1">
      <c r="A925" s="260"/>
    </row>
    <row r="926" spans="1:1" ht="12.75" customHeight="1">
      <c r="A926" s="260"/>
    </row>
    <row r="927" spans="1:1" ht="12.75" customHeight="1">
      <c r="A927" s="260"/>
    </row>
    <row r="928" spans="1:1" ht="12.75" customHeight="1">
      <c r="A928" s="260"/>
    </row>
    <row r="929" spans="1:1" ht="12.75" customHeight="1">
      <c r="A929" s="260"/>
    </row>
    <row r="930" spans="1:1" ht="12.75" customHeight="1">
      <c r="A930" s="260"/>
    </row>
    <row r="931" spans="1:1" ht="12.75" customHeight="1">
      <c r="A931" s="260"/>
    </row>
    <row r="932" spans="1:1" ht="12.75" customHeight="1">
      <c r="A932" s="260"/>
    </row>
    <row r="933" spans="1:1" ht="12.75" customHeight="1">
      <c r="A933" s="260"/>
    </row>
    <row r="934" spans="1:1" ht="12.75" customHeight="1">
      <c r="A934" s="260"/>
    </row>
    <row r="935" spans="1:1" ht="12.75" customHeight="1">
      <c r="A935" s="260"/>
    </row>
    <row r="936" spans="1:1" ht="12.75" customHeight="1">
      <c r="A936" s="260"/>
    </row>
    <row r="937" spans="1:1" ht="12.75" customHeight="1">
      <c r="A937" s="260"/>
    </row>
    <row r="938" spans="1:1" ht="12.75" customHeight="1">
      <c r="A938" s="260"/>
    </row>
    <row r="939" spans="1:1" ht="12.75" customHeight="1">
      <c r="A939" s="260"/>
    </row>
    <row r="940" spans="1:1" ht="12.75" customHeight="1">
      <c r="A940" s="260"/>
    </row>
    <row r="941" spans="1:1" ht="12.75" customHeight="1">
      <c r="A941" s="260"/>
    </row>
    <row r="942" spans="1:1" ht="12.75" customHeight="1">
      <c r="A942" s="260"/>
    </row>
    <row r="943" spans="1:1" ht="12.75" customHeight="1">
      <c r="A943" s="260"/>
    </row>
    <row r="944" spans="1:1" ht="12.75" customHeight="1">
      <c r="A944" s="260"/>
    </row>
    <row r="945" spans="1:1" ht="12.75" customHeight="1">
      <c r="A945" s="260"/>
    </row>
    <row r="946" spans="1:1" ht="12.75" customHeight="1">
      <c r="A946" s="260"/>
    </row>
    <row r="947" spans="1:1" ht="12.75" customHeight="1">
      <c r="A947" s="260"/>
    </row>
    <row r="948" spans="1:1" ht="12.75" customHeight="1">
      <c r="A948" s="260"/>
    </row>
    <row r="949" spans="1:1" ht="12.75" customHeight="1">
      <c r="A949" s="260"/>
    </row>
    <row r="950" spans="1:1" ht="12.75" customHeight="1">
      <c r="A950" s="260"/>
    </row>
    <row r="951" spans="1:1" ht="12.75" customHeight="1">
      <c r="A951" s="260"/>
    </row>
    <row r="952" spans="1:1" ht="12.75" customHeight="1">
      <c r="A952" s="260"/>
    </row>
    <row r="953" spans="1:1" ht="12.75" customHeight="1">
      <c r="A953" s="260"/>
    </row>
    <row r="954" spans="1:1" ht="12.75" customHeight="1">
      <c r="A954" s="260"/>
    </row>
    <row r="955" spans="1:1" ht="12.75" customHeight="1">
      <c r="A955" s="260"/>
    </row>
    <row r="956" spans="1:1" ht="12.75" customHeight="1">
      <c r="A956" s="260"/>
    </row>
    <row r="957" spans="1:1" ht="12.75" customHeight="1">
      <c r="A957" s="260"/>
    </row>
    <row r="958" spans="1:1" ht="12.75" customHeight="1">
      <c r="A958" s="260"/>
    </row>
    <row r="959" spans="1:1" ht="12.75" customHeight="1">
      <c r="A959" s="260"/>
    </row>
    <row r="960" spans="1:1" ht="12.75" customHeight="1">
      <c r="A960" s="260"/>
    </row>
    <row r="961" spans="1:1" ht="12.75" customHeight="1">
      <c r="A961" s="260"/>
    </row>
    <row r="962" spans="1:1" ht="12.75" customHeight="1">
      <c r="A962" s="260"/>
    </row>
    <row r="963" spans="1:1" ht="12.75" customHeight="1">
      <c r="A963" s="260"/>
    </row>
    <row r="964" spans="1:1" ht="12.75" customHeight="1">
      <c r="A964" s="260"/>
    </row>
    <row r="965" spans="1:1" ht="12.75" customHeight="1">
      <c r="A965" s="260"/>
    </row>
    <row r="966" spans="1:1" ht="12.75" customHeight="1">
      <c r="A966" s="260"/>
    </row>
    <row r="967" spans="1:1" ht="12.75" customHeight="1">
      <c r="A967" s="260"/>
    </row>
    <row r="968" spans="1:1" ht="12.75" customHeight="1">
      <c r="A968" s="260"/>
    </row>
    <row r="969" spans="1:1" ht="12.75" customHeight="1">
      <c r="A969" s="260"/>
    </row>
    <row r="970" spans="1:1" ht="12.75" customHeight="1">
      <c r="A970" s="260"/>
    </row>
    <row r="971" spans="1:1" ht="12.75" customHeight="1">
      <c r="A971" s="260"/>
    </row>
    <row r="972" spans="1:1" ht="12.75" customHeight="1">
      <c r="A972" s="260"/>
    </row>
    <row r="973" spans="1:1" ht="12.75" customHeight="1">
      <c r="A973" s="260"/>
    </row>
    <row r="974" spans="1:1" ht="12.75" customHeight="1">
      <c r="A974" s="260"/>
    </row>
    <row r="975" spans="1:1" ht="12.75" customHeight="1">
      <c r="A975" s="260"/>
    </row>
    <row r="976" spans="1:1" ht="12.75" customHeight="1">
      <c r="A976" s="260"/>
    </row>
    <row r="977" spans="1:1" ht="12.75" customHeight="1">
      <c r="A977" s="260"/>
    </row>
    <row r="978" spans="1:1" ht="12.75" customHeight="1">
      <c r="A978" s="260"/>
    </row>
    <row r="979" spans="1:1" ht="12.75" customHeight="1">
      <c r="A979" s="260"/>
    </row>
    <row r="980" spans="1:1" ht="12.75" customHeight="1">
      <c r="A980" s="260"/>
    </row>
    <row r="981" spans="1:1" ht="12.75" customHeight="1">
      <c r="A981" s="260"/>
    </row>
    <row r="982" spans="1:1" ht="12.75" customHeight="1">
      <c r="A982" s="260"/>
    </row>
    <row r="983" spans="1:1" ht="12.75" customHeight="1">
      <c r="A983" s="260"/>
    </row>
    <row r="984" spans="1:1" ht="12.75" customHeight="1">
      <c r="A984" s="260"/>
    </row>
    <row r="985" spans="1:1" ht="12.75" customHeight="1">
      <c r="A985" s="260"/>
    </row>
    <row r="986" spans="1:1" ht="12.75" customHeight="1">
      <c r="A986" s="260"/>
    </row>
    <row r="987" spans="1:1" ht="12.75" customHeight="1">
      <c r="A987" s="260"/>
    </row>
    <row r="988" spans="1:1" ht="12.75" customHeight="1">
      <c r="A988" s="260"/>
    </row>
    <row r="989" spans="1:1" ht="12.75" customHeight="1">
      <c r="A989" s="260"/>
    </row>
    <row r="990" spans="1:1" ht="12.75" customHeight="1">
      <c r="A990" s="260"/>
    </row>
    <row r="991" spans="1:1" ht="12.75" customHeight="1">
      <c r="A991" s="260"/>
    </row>
    <row r="992" spans="1:1" ht="12.75" customHeight="1">
      <c r="A992" s="260"/>
    </row>
    <row r="993" spans="1:1" ht="12.75" customHeight="1">
      <c r="A993" s="260"/>
    </row>
    <row r="994" spans="1:1" ht="12.75" customHeight="1">
      <c r="A994" s="260"/>
    </row>
    <row r="995" spans="1:1" ht="12.75" customHeight="1">
      <c r="A995" s="260"/>
    </row>
    <row r="996" spans="1:1" ht="12.75" customHeight="1">
      <c r="A996" s="260"/>
    </row>
    <row r="997" spans="1:1" ht="12.75" customHeight="1">
      <c r="A997" s="260"/>
    </row>
    <row r="998" spans="1:1" ht="12.75" customHeight="1">
      <c r="A998" s="260"/>
    </row>
    <row r="999" spans="1:1" ht="12.75" customHeight="1">
      <c r="A999" s="260"/>
    </row>
    <row r="1000" spans="1:1" ht="12.75" customHeight="1">
      <c r="A1000" s="260"/>
    </row>
    <row r="1001" spans="1:1" ht="12.75" customHeight="1">
      <c r="A1001" s="260"/>
    </row>
    <row r="1002" spans="1:1" ht="12.75" customHeight="1">
      <c r="A1002" s="260"/>
    </row>
    <row r="1003" spans="1:1" ht="12.75" customHeight="1">
      <c r="A1003" s="260"/>
    </row>
    <row r="1004" spans="1:1" ht="12.75" customHeight="1">
      <c r="A1004" s="260"/>
    </row>
    <row r="1005" spans="1:1" ht="12.75" customHeight="1">
      <c r="A1005" s="260"/>
    </row>
    <row r="1006" spans="1:1" ht="12.75" customHeight="1">
      <c r="A1006" s="260"/>
    </row>
    <row r="1007" spans="1:1" ht="12.75" customHeight="1">
      <c r="A1007" s="260"/>
    </row>
    <row r="1008" spans="1:1" ht="12.75" customHeight="1">
      <c r="A1008" s="260"/>
    </row>
    <row r="1009" spans="1:1" ht="12.75" customHeight="1">
      <c r="A1009" s="260"/>
    </row>
    <row r="1010" spans="1:1" ht="12.75" customHeight="1">
      <c r="A1010" s="260"/>
    </row>
    <row r="1011" spans="1:1" ht="12.75" customHeight="1">
      <c r="A1011" s="260"/>
    </row>
    <row r="1012" spans="1:1" ht="12.75" customHeight="1">
      <c r="A1012" s="260"/>
    </row>
    <row r="1013" spans="1:1" ht="12.75" customHeight="1">
      <c r="A1013" s="260"/>
    </row>
    <row r="1014" spans="1:1" ht="12.75" customHeight="1">
      <c r="A1014" s="260"/>
    </row>
    <row r="1015" spans="1:1" ht="12.75" customHeight="1">
      <c r="A1015" s="260"/>
    </row>
    <row r="1016" spans="1:1" ht="12.75" customHeight="1">
      <c r="A1016" s="260"/>
    </row>
    <row r="1017" spans="1:1" ht="12.75" customHeight="1">
      <c r="A1017" s="260"/>
    </row>
    <row r="1018" spans="1:1" ht="12.75" customHeight="1">
      <c r="A1018" s="260"/>
    </row>
    <row r="1019" spans="1:1" ht="12.75" customHeight="1">
      <c r="A1019" s="260"/>
    </row>
    <row r="1020" spans="1:1" ht="12.75" customHeight="1">
      <c r="A1020" s="260"/>
    </row>
    <row r="1021" spans="1:1" ht="12.75" customHeight="1">
      <c r="A1021" s="260"/>
    </row>
    <row r="1022" spans="1:1" ht="12.75" customHeight="1">
      <c r="A1022" s="260"/>
    </row>
    <row r="1023" spans="1:1" ht="12.75" customHeight="1">
      <c r="A1023" s="260"/>
    </row>
    <row r="1024" spans="1:1" ht="12.75" customHeight="1">
      <c r="A1024" s="260"/>
    </row>
    <row r="1025" spans="1:1" ht="12.75" customHeight="1">
      <c r="A1025" s="260"/>
    </row>
    <row r="1026" spans="1:1" ht="12.75" customHeight="1">
      <c r="A1026" s="260"/>
    </row>
    <row r="1027" spans="1:1" ht="12.75" customHeight="1">
      <c r="A1027" s="260"/>
    </row>
    <row r="1028" spans="1:1" ht="12.75" customHeight="1">
      <c r="A1028" s="260"/>
    </row>
    <row r="1029" spans="1:1" ht="12.75" customHeight="1">
      <c r="A1029" s="260"/>
    </row>
    <row r="1030" spans="1:1" ht="12.75" customHeight="1">
      <c r="A1030" s="260"/>
    </row>
    <row r="1031" spans="1:1" ht="12.75" customHeight="1">
      <c r="A1031" s="260"/>
    </row>
    <row r="1032" spans="1:1" ht="12.75" customHeight="1">
      <c r="A1032" s="260"/>
    </row>
    <row r="1033" spans="1:1" ht="12.75" customHeight="1">
      <c r="A1033" s="260"/>
    </row>
    <row r="1034" spans="1:1" ht="12.75" customHeight="1">
      <c r="A1034" s="260"/>
    </row>
    <row r="1035" spans="1:1" ht="12.75" customHeight="1">
      <c r="A1035" s="260"/>
    </row>
    <row r="1036" spans="1:1" ht="12.75" customHeight="1">
      <c r="A1036" s="260"/>
    </row>
    <row r="1037" spans="1:1" ht="12.75" customHeight="1">
      <c r="A1037" s="260"/>
    </row>
    <row r="1038" spans="1:1" ht="12.75" customHeight="1">
      <c r="A1038" s="260"/>
    </row>
    <row r="1039" spans="1:1" ht="12.75" customHeight="1">
      <c r="A1039" s="260"/>
    </row>
    <row r="1040" spans="1:1" ht="12.75" customHeight="1">
      <c r="A1040" s="260"/>
    </row>
    <row r="1041" spans="1:1" ht="12.75" customHeight="1">
      <c r="A1041" s="260"/>
    </row>
    <row r="1042" spans="1:1" ht="12.75" customHeight="1">
      <c r="A1042" s="260"/>
    </row>
    <row r="1043" spans="1:1" ht="12.75" customHeight="1">
      <c r="A1043" s="260"/>
    </row>
    <row r="1044" spans="1:1" ht="12.75" customHeight="1">
      <c r="A1044" s="260"/>
    </row>
    <row r="1045" spans="1:1" ht="12.75" customHeight="1">
      <c r="A1045" s="260"/>
    </row>
    <row r="1046" spans="1:1" ht="12.75" customHeight="1">
      <c r="A1046" s="260"/>
    </row>
    <row r="1047" spans="1:1" ht="12.75" customHeight="1">
      <c r="A1047" s="260"/>
    </row>
    <row r="1048" spans="1:1" ht="12.75" customHeight="1">
      <c r="A1048" s="260"/>
    </row>
    <row r="1049" spans="1:1" ht="12.75" customHeight="1">
      <c r="A1049" s="260"/>
    </row>
    <row r="1050" spans="1:1" ht="12.75" customHeight="1">
      <c r="A1050" s="260"/>
    </row>
    <row r="1051" spans="1:1" ht="12.75" customHeight="1">
      <c r="A1051" s="260"/>
    </row>
    <row r="1052" spans="1:1" ht="12.75" customHeight="1">
      <c r="A1052" s="260"/>
    </row>
    <row r="1053" spans="1:1" ht="12.75" customHeight="1">
      <c r="A1053" s="260"/>
    </row>
    <row r="1054" spans="1:1" ht="12.75" customHeight="1">
      <c r="A1054" s="260"/>
    </row>
    <row r="1055" spans="1:1" ht="12.75" customHeight="1">
      <c r="A1055" s="260"/>
    </row>
    <row r="1056" spans="1:1" ht="12.75" customHeight="1">
      <c r="A1056" s="260"/>
    </row>
    <row r="1057" spans="1:1" ht="12.75" customHeight="1">
      <c r="A1057" s="260"/>
    </row>
    <row r="1058" spans="1:1" ht="12.75" customHeight="1">
      <c r="A1058" s="260"/>
    </row>
    <row r="1059" spans="1:1" ht="12.75" customHeight="1">
      <c r="A1059" s="260"/>
    </row>
    <row r="1060" spans="1:1" ht="12.75" customHeight="1">
      <c r="A1060" s="260"/>
    </row>
    <row r="1061" spans="1:1" ht="12.75" customHeight="1">
      <c r="A1061" s="260"/>
    </row>
    <row r="1062" spans="1:1" ht="12.75" customHeight="1">
      <c r="A1062" s="260"/>
    </row>
    <row r="1063" spans="1:1" ht="12.75" customHeight="1">
      <c r="A1063" s="260"/>
    </row>
    <row r="1064" spans="1:1" ht="12.75" customHeight="1">
      <c r="A1064" s="260"/>
    </row>
    <row r="1065" spans="1:1" ht="12.75" customHeight="1">
      <c r="A1065" s="260"/>
    </row>
    <row r="1066" spans="1:1" ht="12.75" customHeight="1">
      <c r="A1066" s="260"/>
    </row>
    <row r="1067" spans="1:1" ht="12.75" customHeight="1">
      <c r="A1067" s="260"/>
    </row>
    <row r="1068" spans="1:1" ht="12.75" customHeight="1">
      <c r="A1068" s="260"/>
    </row>
    <row r="1069" spans="1:1" ht="12.75" customHeight="1">
      <c r="A1069" s="260"/>
    </row>
    <row r="1070" spans="1:1" ht="12.75" customHeight="1">
      <c r="A1070" s="260"/>
    </row>
    <row r="1071" spans="1:1" ht="12.75" customHeight="1">
      <c r="A1071" s="260"/>
    </row>
    <row r="1072" spans="1:1" ht="12.75" customHeight="1">
      <c r="A1072" s="260"/>
    </row>
    <row r="1073" spans="1:1" ht="12.75" customHeight="1">
      <c r="A1073" s="260"/>
    </row>
    <row r="1074" spans="1:1" ht="12.75" customHeight="1">
      <c r="A1074" s="260"/>
    </row>
    <row r="1075" spans="1:1" ht="12.75" customHeight="1">
      <c r="A1075" s="260"/>
    </row>
    <row r="1076" spans="1:1" ht="12.75" customHeight="1">
      <c r="A1076" s="260"/>
    </row>
    <row r="1077" spans="1:1" ht="12.75" customHeight="1">
      <c r="A1077" s="260"/>
    </row>
    <row r="1078" spans="1:1" ht="12.75" customHeight="1">
      <c r="A1078" s="260"/>
    </row>
    <row r="1079" spans="1:1" ht="12.75" customHeight="1">
      <c r="A1079" s="260"/>
    </row>
    <row r="1080" spans="1:1" ht="12.75" customHeight="1">
      <c r="A1080" s="260"/>
    </row>
    <row r="1081" spans="1:1" ht="12.75" customHeight="1">
      <c r="A1081" s="260"/>
    </row>
    <row r="1082" spans="1:1" ht="12.75" customHeight="1">
      <c r="A1082" s="260"/>
    </row>
    <row r="1083" spans="1:1" ht="12.75" customHeight="1">
      <c r="A1083" s="260"/>
    </row>
    <row r="1084" spans="1:1" ht="12.75" customHeight="1">
      <c r="A1084" s="260"/>
    </row>
    <row r="1085" spans="1:1" ht="12.75" customHeight="1">
      <c r="A1085" s="260"/>
    </row>
    <row r="1086" spans="1:1" ht="12.75" customHeight="1">
      <c r="A1086" s="260"/>
    </row>
    <row r="1087" spans="1:1" ht="12.75" customHeight="1">
      <c r="A1087" s="260"/>
    </row>
    <row r="1088" spans="1:1" ht="12.75" customHeight="1">
      <c r="A1088" s="260"/>
    </row>
    <row r="1089" spans="1:1" ht="12.75" customHeight="1">
      <c r="A1089" s="260"/>
    </row>
    <row r="1090" spans="1:1" ht="12.75" customHeight="1">
      <c r="A1090" s="260"/>
    </row>
    <row r="1091" spans="1:1" ht="12.75" customHeight="1">
      <c r="A1091" s="260"/>
    </row>
    <row r="1092" spans="1:1" ht="12.75" customHeight="1">
      <c r="A1092" s="260"/>
    </row>
    <row r="1093" spans="1:1" ht="12.75" customHeight="1">
      <c r="A1093" s="260"/>
    </row>
    <row r="1094" spans="1:1" ht="12.75" customHeight="1">
      <c r="A1094" s="260"/>
    </row>
    <row r="1095" spans="1:1" ht="12.75" customHeight="1">
      <c r="A1095" s="260"/>
    </row>
    <row r="1096" spans="1:1" ht="12.75" customHeight="1">
      <c r="A1096" s="260"/>
    </row>
    <row r="1097" spans="1:1" ht="12.75" customHeight="1">
      <c r="A1097" s="260"/>
    </row>
    <row r="1098" spans="1:1" ht="12.75" customHeight="1">
      <c r="A1098" s="260"/>
    </row>
    <row r="1099" spans="1:1" ht="12.75" customHeight="1">
      <c r="A1099" s="260"/>
    </row>
    <row r="1100" spans="1:1" ht="12.75" customHeight="1">
      <c r="A1100" s="260"/>
    </row>
    <row r="1101" spans="1:1" ht="12.75" customHeight="1">
      <c r="A1101" s="260"/>
    </row>
    <row r="1102" spans="1:1" ht="12.75" customHeight="1">
      <c r="A1102" s="260"/>
    </row>
    <row r="1103" spans="1:1" ht="12.75" customHeight="1">
      <c r="A1103" s="260"/>
    </row>
    <row r="1104" spans="1:1" ht="12.75" customHeight="1">
      <c r="A1104" s="260"/>
    </row>
    <row r="1105" spans="1:1" ht="12.75" customHeight="1">
      <c r="A1105" s="260"/>
    </row>
    <row r="1106" spans="1:1" ht="12.75" customHeight="1">
      <c r="A1106" s="260"/>
    </row>
    <row r="1107" spans="1:1" ht="12.75" customHeight="1">
      <c r="A1107" s="260"/>
    </row>
    <row r="1108" spans="1:1" ht="12.75" customHeight="1">
      <c r="A1108" s="260"/>
    </row>
    <row r="1109" spans="1:1" ht="12.75" customHeight="1">
      <c r="A1109" s="260"/>
    </row>
    <row r="1110" spans="1:1" ht="12.75" customHeight="1">
      <c r="A1110" s="260"/>
    </row>
    <row r="1111" spans="1:1" ht="12.75" customHeight="1">
      <c r="A1111" s="260"/>
    </row>
    <row r="1112" spans="1:1" ht="12.75" customHeight="1">
      <c r="A1112" s="260"/>
    </row>
  </sheetData>
  <phoneticPr fontId="3" type="noConversion"/>
  <pageMargins left="0.75" right="0.75" top="1" bottom="1" header="0.5" footer="0.5"/>
  <pageSetup paperSize="9" orientation="portrait" horizontalDpi="1200" verticalDpi="1200" r:id="rId1"/>
  <headerFooter alignWithMargins="0"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05">
    <pageSetUpPr fitToPage="1"/>
  </sheetPr>
  <dimension ref="A1:R53"/>
  <sheetViews>
    <sheetView zoomScale="75" workbookViewId="0">
      <selection activeCell="E12" sqref="E12"/>
    </sheetView>
  </sheetViews>
  <sheetFormatPr defaultRowHeight="12.75" customHeight="1"/>
  <cols>
    <col min="9" max="9" width="11.453125" bestFit="1" customWidth="1"/>
  </cols>
  <sheetData>
    <row r="1" spans="1:18" s="7" customFormat="1" ht="25">
      <c r="A1" s="6" t="s">
        <v>105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s="7" customFormat="1" ht="12.5"/>
    <row r="3" spans="1:18" s="7" customFormat="1" ht="15.5">
      <c r="A3" s="9" t="str">
        <f>"week "&amp;TEXT(weeknummer,"00")&amp;" ("&amp;IF(RIGHT(TEXT(weekdatum,"dd/mm/yyyy"),1)="y",TEXT(weekdatum,"dd/mm/jjjj"),TEXT(weekdatum,"dd/mm/yyyy"))&amp;")"</f>
        <v>week 22 (31/05/2024)</v>
      </c>
    </row>
    <row r="4" spans="1:18" s="7" customFormat="1" ht="12.5"/>
    <row r="5" spans="1:18" s="7" customFormat="1" ht="12.5">
      <c r="D5" s="15" t="str">
        <f>'oppvweek FTP'!$C1</f>
        <v>O/N</v>
      </c>
      <c r="E5" s="16">
        <f>or_on</f>
        <v>3.9053</v>
      </c>
    </row>
    <row r="6" spans="1:18" s="7" customFormat="1" ht="12.5">
      <c r="D6" s="17" t="str">
        <f>'oppvweek FTP'!$G1</f>
        <v>1 MD</v>
      </c>
      <c r="E6" s="16">
        <f>or_1m</f>
        <v>3.8264999999999998</v>
      </c>
    </row>
    <row r="7" spans="1:18" s="7" customFormat="1" ht="12.5">
      <c r="B7" s="18"/>
      <c r="D7" s="17" t="str">
        <f>'oppvweek FTP'!$I1</f>
        <v>3 MD</v>
      </c>
      <c r="E7" s="16">
        <f>or_3m</f>
        <v>3.7202999999999999</v>
      </c>
      <c r="G7" s="19"/>
    </row>
    <row r="8" spans="1:18" s="7" customFormat="1" ht="12.5">
      <c r="D8" s="17" t="str">
        <f>'oppvweek FTP'!$L1</f>
        <v>6 MD</v>
      </c>
      <c r="E8" s="16">
        <f>or_6m</f>
        <v>3.6198999999999999</v>
      </c>
    </row>
    <row r="9" spans="1:18" s="7" customFormat="1" ht="12.5">
      <c r="D9" s="17" t="str">
        <f>'oppvweek FTP'!$R1</f>
        <v>1 JR</v>
      </c>
      <c r="E9" s="16">
        <f>or_1j</f>
        <v>3.4342000000000001</v>
      </c>
    </row>
    <row r="10" spans="1:18" s="7" customFormat="1" ht="12.5">
      <c r="D10" s="17" t="str">
        <f>'oppvweek FTP'!$S1</f>
        <v>2 JR</v>
      </c>
      <c r="E10" s="16">
        <f>or_2j</f>
        <v>3.0958000000000001</v>
      </c>
    </row>
    <row r="11" spans="1:18" s="7" customFormat="1" ht="12.5">
      <c r="D11" s="17" t="str">
        <f>'oppvweek FTP'!$T1</f>
        <v>3 JR</v>
      </c>
      <c r="E11" s="16">
        <f>or_3j</f>
        <v>2.8908999999999998</v>
      </c>
    </row>
    <row r="12" spans="1:18" s="7" customFormat="1" ht="12.5">
      <c r="B12" s="20"/>
      <c r="D12" s="17" t="str">
        <f>'oppvweek FTP'!$U1</f>
        <v>4 JR</v>
      </c>
      <c r="E12" s="16">
        <f>or_4j</f>
        <v>2.7627999999999999</v>
      </c>
      <c r="G12" s="20"/>
    </row>
    <row r="13" spans="1:18" s="7" customFormat="1" ht="12.5">
      <c r="B13" s="20"/>
      <c r="D13" s="17" t="str">
        <f>'oppvweek FTP'!$V1</f>
        <v>5 JR</v>
      </c>
      <c r="E13" s="16">
        <f>or_5j</f>
        <v>2.6869000000000001</v>
      </c>
      <c r="G13" s="20"/>
    </row>
    <row r="14" spans="1:18" s="7" customFormat="1" ht="12.5">
      <c r="B14" s="20"/>
      <c r="D14" s="21" t="str">
        <f>'oppvweek FTP'!$W1</f>
        <v>6 JR</v>
      </c>
      <c r="E14" s="16">
        <f>or_6j</f>
        <v>2.6442000000000001</v>
      </c>
      <c r="G14" s="20"/>
    </row>
    <row r="15" spans="1:18" s="7" customFormat="1" ht="12.5">
      <c r="B15" s="20"/>
      <c r="D15" s="15" t="str">
        <f>'oppvweek FTP'!$X1</f>
        <v>7 JR</v>
      </c>
      <c r="E15" s="16">
        <f>or_7j</f>
        <v>2.6221000000000001</v>
      </c>
      <c r="G15" s="20"/>
    </row>
    <row r="16" spans="1:18" s="7" customFormat="1" ht="12.5">
      <c r="B16" s="20"/>
      <c r="D16" s="15" t="str">
        <f>'oppvweek FTP'!$Y1</f>
        <v>8 JR</v>
      </c>
      <c r="E16" s="16">
        <f>or_8j</f>
        <v>2.6160000000000001</v>
      </c>
      <c r="G16" s="20"/>
    </row>
    <row r="17" spans="2:7" s="7" customFormat="1" ht="12.5">
      <c r="B17" s="20"/>
      <c r="D17" s="17" t="str">
        <f>'oppvweek FTP'!$Z1</f>
        <v>9 JR</v>
      </c>
      <c r="E17" s="16">
        <f>or_9j</f>
        <v>2.6206</v>
      </c>
      <c r="G17" s="20"/>
    </row>
    <row r="18" spans="2:7" s="7" customFormat="1" ht="12.5">
      <c r="B18" s="20"/>
      <c r="D18" s="17" t="str">
        <f>'oppvweek FTP'!$AA1</f>
        <v>10 JR</v>
      </c>
      <c r="E18" s="16">
        <f>or_10j</f>
        <v>2.6316999999999999</v>
      </c>
      <c r="G18" s="20"/>
    </row>
    <row r="19" spans="2:7" s="7" customFormat="1" ht="12.5">
      <c r="B19" s="20"/>
      <c r="C19" s="20"/>
      <c r="D19" s="20"/>
      <c r="E19" s="20"/>
      <c r="G19" s="20"/>
    </row>
    <row r="20" spans="2:7" s="7" customFormat="1" ht="12.5">
      <c r="B20" s="20"/>
      <c r="C20" s="20"/>
      <c r="D20" s="20"/>
      <c r="E20" s="20"/>
      <c r="G20" s="20"/>
    </row>
    <row r="21" spans="2:7" s="7" customFormat="1" ht="12.5">
      <c r="B21" s="20"/>
      <c r="C21" s="20"/>
      <c r="D21" s="20"/>
      <c r="E21" s="20"/>
      <c r="G21" s="20"/>
    </row>
    <row r="22" spans="2:7" s="7" customFormat="1" ht="12.5"/>
    <row r="23" spans="2:7" s="7" customFormat="1" ht="12.5"/>
    <row r="24" spans="2:7" s="7" customFormat="1" ht="12.5"/>
    <row r="25" spans="2:7" s="7" customFormat="1" ht="12.5"/>
    <row r="26" spans="2:7" s="7" customFormat="1" ht="12.5"/>
    <row r="27" spans="2:7" s="7" customFormat="1" ht="12.5"/>
    <row r="28" spans="2:7" s="7" customFormat="1" ht="12.5"/>
    <row r="29" spans="2:7" s="7" customFormat="1" ht="12.5"/>
    <row r="30" spans="2:7" s="7" customFormat="1" ht="12.5"/>
    <row r="31" spans="2:7" s="7" customFormat="1" ht="12.5"/>
    <row r="32" spans="2:7" s="7" customFormat="1" ht="12.5"/>
    <row r="33" spans="2:2" s="7" customFormat="1" ht="12.5"/>
    <row r="34" spans="2:2" s="7" customFormat="1" ht="12.5">
      <c r="B34" s="10"/>
    </row>
    <row r="35" spans="2:2" s="7" customFormat="1" ht="12.5">
      <c r="B35" s="10"/>
    </row>
    <row r="36" spans="2:2" s="7" customFormat="1" ht="12.5"/>
    <row r="37" spans="2:2" s="7" customFormat="1" ht="12.5"/>
    <row r="38" spans="2:2" s="7" customFormat="1" ht="12.5"/>
    <row r="39" spans="2:2" s="7" customFormat="1" ht="12.5"/>
    <row r="40" spans="2:2" s="7" customFormat="1" ht="12.5"/>
    <row r="41" spans="2:2" s="7" customFormat="1" ht="12.5"/>
    <row r="42" spans="2:2" s="7" customFormat="1" ht="12.5"/>
    <row r="43" spans="2:2" s="7" customFormat="1" ht="12.5"/>
    <row r="44" spans="2:2" s="7" customFormat="1" ht="12.5"/>
    <row r="45" spans="2:2" s="7" customFormat="1" ht="12.5"/>
    <row r="46" spans="2:2" s="7" customFormat="1" ht="12.5"/>
    <row r="47" spans="2:2" s="7" customFormat="1" ht="12.5"/>
    <row r="48" spans="2:2" s="7" customFormat="1" ht="12.5"/>
    <row r="49" s="7" customFormat="1" ht="12.5"/>
    <row r="50" s="7" customFormat="1" ht="12.5"/>
    <row r="51" s="7" customFormat="1" ht="12.5"/>
    <row r="52" s="7" customFormat="1" ht="12.5"/>
    <row r="53" s="7" customFormat="1" ht="12.5"/>
  </sheetData>
  <phoneticPr fontId="3" type="noConversion"/>
  <printOptions horizontalCentered="1" verticalCentered="1"/>
  <pageMargins left="0.19685039370078741" right="0.19685039370078741" top="0.39370078740157483" bottom="0.39370078740157483" header="0.19685039370078741" footer="0.19685039370078741"/>
  <pageSetup paperSize="9" orientation="portrait" r:id="rId1"/>
  <headerFooter alignWithMargins="0">
    <oddFooter>&amp;LReporting&amp;R&amp;D - &amp;8&amp;T&amp;C&amp;"Arial"&amp;10&amp;K000000&amp;F - &amp;A_x000D_&amp;1#&amp;"Calibri"&amp;10&amp;K000000Internal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AL9"/>
  <sheetViews>
    <sheetView zoomScale="75" workbookViewId="0"/>
  </sheetViews>
  <sheetFormatPr defaultRowHeight="12.75" customHeight="1" outlineLevelCol="1"/>
  <cols>
    <col min="1" max="1" width="2.81640625" customWidth="1"/>
    <col min="2" max="2" width="6" hidden="1" customWidth="1" outlineLevel="1"/>
    <col min="3" max="3" width="30.453125" customWidth="1" collapsed="1"/>
    <col min="4" max="4" width="5.1796875" style="182" hidden="1" customWidth="1" outlineLevel="1"/>
    <col min="5" max="5" width="8.54296875" style="168" customWidth="1" collapsed="1"/>
    <col min="6" max="6" width="8.54296875" customWidth="1"/>
    <col min="7" max="7" width="9.81640625" bestFit="1" customWidth="1"/>
    <col min="8" max="9" width="9.81640625" hidden="1" customWidth="1" outlineLevel="1"/>
    <col min="10" max="10" width="9.453125" customWidth="1" collapsed="1"/>
    <col min="11" max="11" width="8.54296875" customWidth="1"/>
    <col min="12" max="12" width="10.81640625" customWidth="1"/>
    <col min="13" max="13" width="14" bestFit="1" customWidth="1"/>
    <col min="14" max="15" width="8.1796875" hidden="1" customWidth="1" outlineLevel="1"/>
    <col min="16" max="16" width="9.1796875" hidden="1" customWidth="1" outlineLevel="1"/>
    <col min="17" max="17" width="8.81640625" hidden="1" customWidth="1" outlineLevel="1"/>
    <col min="18" max="18" width="12.453125" bestFit="1" customWidth="1" collapsed="1"/>
    <col min="19" max="19" width="8.81640625" bestFit="1" customWidth="1"/>
    <col min="20" max="20" width="9.453125" customWidth="1"/>
    <col min="21" max="22" width="9.453125" hidden="1" customWidth="1" outlineLevel="1"/>
    <col min="23" max="23" width="10.453125" hidden="1" customWidth="1" outlineLevel="1"/>
    <col min="24" max="24" width="9.453125" hidden="1" customWidth="1" outlineLevel="1"/>
    <col min="25" max="25" width="9.54296875" customWidth="1" collapsed="1"/>
    <col min="26" max="27" width="8.81640625" bestFit="1" customWidth="1"/>
    <col min="28" max="32" width="12.54296875" customWidth="1"/>
    <col min="33" max="33" width="9.81640625" customWidth="1"/>
    <col min="34" max="34" width="2.81640625" customWidth="1"/>
    <col min="35" max="35" width="10.81640625" customWidth="1"/>
    <col min="36" max="36" width="2.81640625" customWidth="1"/>
    <col min="37" max="37" width="8.1796875" customWidth="1"/>
    <col min="38" max="38" width="9.1796875" customWidth="1"/>
    <col min="39" max="39" width="2.81640625" customWidth="1"/>
  </cols>
  <sheetData>
    <row r="1" spans="1:38" s="218" customFormat="1" ht="31.5" customHeight="1">
      <c r="B1" s="213"/>
      <c r="C1" s="110" t="str">
        <f>INDEX(ActT,2,ActLangID)</f>
        <v>Enkel voor intern gebruik</v>
      </c>
      <c r="D1" s="214"/>
      <c r="E1" s="215"/>
      <c r="F1" s="216"/>
      <c r="G1" s="217"/>
      <c r="H1" s="217"/>
      <c r="I1" s="217"/>
      <c r="J1"/>
      <c r="K1"/>
      <c r="L1" s="217"/>
      <c r="M1" s="217"/>
      <c r="N1" s="217"/>
      <c r="O1" s="217"/>
      <c r="P1" s="217"/>
      <c r="Q1" s="217"/>
      <c r="R1" s="217"/>
      <c r="T1" s="217"/>
      <c r="U1" s="217"/>
      <c r="V1" s="217"/>
      <c r="W1" s="217"/>
      <c r="X1" s="217"/>
      <c r="Y1" s="217"/>
      <c r="Z1" s="217"/>
      <c r="AB1" s="1"/>
      <c r="AC1" s="1"/>
      <c r="AD1" s="1"/>
      <c r="AE1" s="1"/>
      <c r="AF1" s="1"/>
      <c r="AH1" s="1"/>
      <c r="AL1" s="111"/>
    </row>
    <row r="2" spans="1:38" s="218" customFormat="1" ht="25">
      <c r="B2" s="213"/>
      <c r="C2" s="38" t="str">
        <f>INDEX(ActT,3,ActLangID)</f>
        <v>SIGNAALRAPPORT : Kredieten</v>
      </c>
      <c r="D2" s="214"/>
      <c r="E2" s="215"/>
      <c r="F2" s="216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T2" s="217"/>
      <c r="U2" s="217"/>
      <c r="V2" s="217"/>
      <c r="W2" s="217"/>
      <c r="X2" s="217"/>
      <c r="Y2" s="217"/>
      <c r="Z2" s="217"/>
      <c r="AB2" s="1"/>
      <c r="AC2" s="1"/>
      <c r="AD2" s="1"/>
      <c r="AE2" s="1"/>
      <c r="AF2" s="1"/>
      <c r="AH2" s="1"/>
      <c r="AL2" s="39" t="str">
        <f>grafiek!$A$3</f>
        <v>week 22 (31/05/2024)</v>
      </c>
    </row>
    <row r="3" spans="1:38" s="218" customFormat="1" ht="15.75" customHeight="1">
      <c r="B3" s="213"/>
      <c r="C3" s="59" t="s">
        <v>11</v>
      </c>
      <c r="D3" s="176"/>
      <c r="E3" s="483" t="str">
        <f>INDEX(ActT,30,ActLangID)</f>
        <v>tarief klant act</v>
      </c>
      <c r="F3" s="464" t="str">
        <f>INDEX(ActT,31,ActLangID)</f>
        <v>tarief klant nom</v>
      </c>
      <c r="G3" s="464" t="s">
        <v>187</v>
      </c>
      <c r="H3" s="464" t="str">
        <f>INDEX(ActT,27,ActLangID)</f>
        <v>TKO AddOn funding</v>
      </c>
      <c r="I3" s="464" t="str">
        <f>INDEX(ActT,28,ActLangID)</f>
        <v>ResVrgd TKO</v>
      </c>
      <c r="J3" s="464" t="str">
        <f>INDEX(ActT,33,ActLangID)</f>
        <v>con-cessie</v>
      </c>
      <c r="K3" s="470" t="str">
        <f>INDEX(ActT,34,ActLangID)</f>
        <v>bruto marge</v>
      </c>
      <c r="L3" s="472" t="s">
        <v>298</v>
      </c>
      <c r="M3" s="189" t="str">
        <f>INDEX(ActT,53,ActLangID)</f>
        <v>bruto na</v>
      </c>
      <c r="N3" s="239"/>
      <c r="O3" s="240"/>
      <c r="P3" s="473" t="str">
        <f>INDEX(ActT,37,ActLangID)</f>
        <v>kosten opties</v>
      </c>
      <c r="Q3" s="241"/>
      <c r="R3" s="464" t="str">
        <f>INDEX(ActT,37,ActLangID)</f>
        <v>kosten opties</v>
      </c>
      <c r="S3" s="470" t="s">
        <v>266</v>
      </c>
      <c r="T3" s="62" t="s">
        <v>118</v>
      </c>
      <c r="U3" s="464" t="str">
        <f>INDEX(ActT,35,ActLangID)</f>
        <v>com-missie</v>
      </c>
      <c r="V3" s="464" t="str">
        <f>INDEX(ActT,35,ActLangID)</f>
        <v>com-missie</v>
      </c>
      <c r="W3" s="464" t="str">
        <f>INDEX(ActT,35,ActLangID)</f>
        <v>com-missie</v>
      </c>
      <c r="X3" s="464" t="str">
        <f>INDEX(ActT,35,ActLangID)</f>
        <v>com-missie</v>
      </c>
      <c r="Y3" s="464" t="str">
        <f>INDEX(ActT,35,ActLangID)</f>
        <v>com-missie</v>
      </c>
      <c r="Z3" s="464" t="str">
        <f>INDEX(ActT,36,ActLangID)</f>
        <v>krediet-verlies</v>
      </c>
      <c r="AA3" s="466" t="str">
        <f>INDEX(ActT,38,ActLangID)</f>
        <v>marge vóór kosten</v>
      </c>
      <c r="AB3" s="61" t="str">
        <f>INDEX(ActT,39,ActLangID)</f>
        <v>kosten</v>
      </c>
      <c r="AC3" s="61" t="str">
        <f>INDEX(ActT,39,ActLangID)</f>
        <v>kosten</v>
      </c>
      <c r="AD3" s="470" t="s">
        <v>397</v>
      </c>
      <c r="AE3" s="61" t="str">
        <f>INDEX(ActT,39,ActLangID)</f>
        <v>kosten</v>
      </c>
      <c r="AF3" s="482" t="s">
        <v>398</v>
      </c>
      <c r="AG3" s="316" t="str">
        <f t="shared" ref="AG3" si="0">INDEX(ActT,39,ActLangID)</f>
        <v>kosten</v>
      </c>
      <c r="AH3" s="1"/>
      <c r="AI3" s="219" t="str">
        <f>INDEX(ActT,43,ActLangID)</f>
        <v>aandeel</v>
      </c>
      <c r="AK3" s="479" t="s">
        <v>413</v>
      </c>
      <c r="AL3" s="480"/>
    </row>
    <row r="4" spans="1:38" s="218" customFormat="1" ht="15.5">
      <c r="B4" s="213"/>
      <c r="C4" s="115"/>
      <c r="D4" s="177"/>
      <c r="E4" s="484" t="e">
        <f>INDEX(T,3,langID)</f>
        <v>#NAME?</v>
      </c>
      <c r="F4" s="465" t="e">
        <f>INDEX(T,3,langID)</f>
        <v>#NAME?</v>
      </c>
      <c r="G4" s="465" t="e">
        <v>#NAME?</v>
      </c>
      <c r="H4" s="465" t="e">
        <f>INDEX(T,3,langID)</f>
        <v>#NAME?</v>
      </c>
      <c r="I4" s="465"/>
      <c r="J4" s="465"/>
      <c r="K4" s="471"/>
      <c r="L4" s="465" t="e">
        <v>#NAME?</v>
      </c>
      <c r="M4" s="198" t="s">
        <v>299</v>
      </c>
      <c r="N4" s="242"/>
      <c r="O4" s="243"/>
      <c r="P4" s="474"/>
      <c r="Q4" s="244"/>
      <c r="R4" s="465"/>
      <c r="S4" s="471"/>
      <c r="T4" s="117" t="s">
        <v>114</v>
      </c>
      <c r="U4" s="465"/>
      <c r="V4" s="465"/>
      <c r="W4" s="465"/>
      <c r="X4" s="465"/>
      <c r="Y4" s="465"/>
      <c r="Z4" s="465"/>
      <c r="AA4" s="465" t="e">
        <f>INDEX(T,3,langID)</f>
        <v>#NAME?</v>
      </c>
      <c r="AB4" s="285" t="s">
        <v>392</v>
      </c>
      <c r="AC4" s="285" t="s">
        <v>392</v>
      </c>
      <c r="AD4" s="481"/>
      <c r="AE4" s="285" t="s">
        <v>396</v>
      </c>
      <c r="AF4" s="481"/>
      <c r="AG4" s="317" t="str">
        <f>INDEX(ActT,41,ActLangID)</f>
        <v>kapitaal</v>
      </c>
      <c r="AH4" s="1"/>
      <c r="AI4" s="220"/>
      <c r="AK4" s="70" t="str">
        <f>INDEX(ActT,45,ActLangID)</f>
        <v>looptijd</v>
      </c>
      <c r="AL4" s="71" t="str">
        <f>INDEX(ActT,46,ActLangID)</f>
        <v>bedrag</v>
      </c>
    </row>
    <row r="5" spans="1:38" s="218" customFormat="1" ht="15.5">
      <c r="B5" s="213" t="s">
        <v>123</v>
      </c>
      <c r="C5" s="135" t="s">
        <v>124</v>
      </c>
      <c r="D5" s="178"/>
      <c r="E5" s="485" t="e">
        <f>INDEX(T,3,langID)</f>
        <v>#NAME?</v>
      </c>
      <c r="F5" s="467" t="e">
        <f>INDEX(T,3,langID)</f>
        <v>#NAME?</v>
      </c>
      <c r="G5" s="467" t="e">
        <v>#NAME?</v>
      </c>
      <c r="H5" s="467" t="e">
        <f>INDEX(T,3,langID)</f>
        <v>#NAME?</v>
      </c>
      <c r="I5" s="369"/>
      <c r="J5" s="157"/>
      <c r="K5" s="121" t="s">
        <v>4</v>
      </c>
      <c r="L5" s="67"/>
      <c r="M5" s="129" t="s">
        <v>4</v>
      </c>
      <c r="N5" s="237" t="s">
        <v>308</v>
      </c>
      <c r="O5" s="237" t="s">
        <v>106</v>
      </c>
      <c r="P5" s="237" t="s">
        <v>108</v>
      </c>
      <c r="Q5" s="238" t="s">
        <v>119</v>
      </c>
      <c r="R5" s="221" t="s">
        <v>120</v>
      </c>
      <c r="S5" s="121" t="s">
        <v>4</v>
      </c>
      <c r="T5" s="67"/>
      <c r="U5" s="67" t="s">
        <v>352</v>
      </c>
      <c r="V5" s="67" t="s">
        <v>262</v>
      </c>
      <c r="W5" s="67" t="s">
        <v>353</v>
      </c>
      <c r="X5" s="67" t="s">
        <v>354</v>
      </c>
      <c r="Y5" s="67"/>
      <c r="Z5" s="222"/>
      <c r="AA5" s="467" t="e">
        <f>INDEX(T,3,langID)</f>
        <v>#NAME?</v>
      </c>
      <c r="AB5" s="447" t="s">
        <v>394</v>
      </c>
      <c r="AC5" s="447" t="s">
        <v>395</v>
      </c>
      <c r="AD5" s="448" t="s">
        <v>4</v>
      </c>
      <c r="AE5" s="447"/>
      <c r="AF5" s="448" t="s">
        <v>4</v>
      </c>
      <c r="AG5" s="324"/>
      <c r="AH5" s="1"/>
      <c r="AI5" s="184"/>
      <c r="AK5" s="77" t="str">
        <f>INDEX(ActT,47,ActLangID)</f>
        <v>in mnd</v>
      </c>
      <c r="AL5" s="78" t="s">
        <v>110</v>
      </c>
    </row>
    <row r="6" spans="1:38" s="218" customFormat="1" ht="13">
      <c r="B6" s="213"/>
      <c r="C6" s="223" t="str">
        <f>INDEX(ActT,4,ActLangID)</f>
        <v>Woonkredieten</v>
      </c>
      <c r="D6" s="224"/>
      <c r="E6" s="225"/>
      <c r="F6" s="226"/>
      <c r="G6" s="27"/>
      <c r="H6" s="27"/>
      <c r="I6" s="27"/>
      <c r="J6" s="27"/>
      <c r="K6" s="207"/>
      <c r="L6" s="227"/>
      <c r="M6" s="209"/>
      <c r="N6" s="36"/>
      <c r="O6" s="36"/>
      <c r="P6" s="36"/>
      <c r="Q6" s="76"/>
      <c r="R6" s="75"/>
      <c r="S6" s="207"/>
      <c r="T6" s="37"/>
      <c r="U6" s="37"/>
      <c r="V6" s="37"/>
      <c r="W6" s="37"/>
      <c r="X6" s="37"/>
      <c r="Y6" s="74"/>
      <c r="Z6" s="75"/>
      <c r="AA6" s="207"/>
      <c r="AB6" s="37"/>
      <c r="AC6" s="37"/>
      <c r="AD6" s="122"/>
      <c r="AE6" s="37"/>
      <c r="AF6" s="122"/>
      <c r="AG6" s="319"/>
      <c r="AH6" s="1"/>
      <c r="AI6" s="228"/>
      <c r="AK6" s="119"/>
      <c r="AL6" s="54"/>
    </row>
    <row r="7" spans="1:38" s="218" customFormat="1" ht="12.5">
      <c r="B7" s="229">
        <v>742</v>
      </c>
      <c r="C7" s="230" t="s">
        <v>125</v>
      </c>
      <c r="D7" s="356">
        <v>5.42</v>
      </c>
      <c r="E7" s="231">
        <f t="shared" ref="E7:E9" si="1">D7</f>
        <v>5.42</v>
      </c>
      <c r="F7" s="232">
        <f t="shared" ref="F7:F9" si="2">ROUND((POWER(1+D7/100,1/12)-1)*12*100,3)</f>
        <v>5.29</v>
      </c>
      <c r="G7" s="81">
        <v>2.5968764134361386</v>
      </c>
      <c r="H7" s="81">
        <v>0</v>
      </c>
      <c r="I7" s="81">
        <v>0</v>
      </c>
      <c r="J7" s="287">
        <v>-1.88</v>
      </c>
      <c r="K7" s="208">
        <f t="shared" ref="K7:K9" si="3">F7-G7-H7+I7+J7</f>
        <v>0.81312358656386152</v>
      </c>
      <c r="L7" s="192">
        <v>-0.83388421954186032</v>
      </c>
      <c r="M7" s="208">
        <f t="shared" ref="M7:M9" si="4">SUM(K7:L7)</f>
        <v>-2.0760632977998794E-2</v>
      </c>
      <c r="N7" s="40">
        <v>-2.1077600000000002E-2</v>
      </c>
      <c r="O7" s="40">
        <v>0</v>
      </c>
      <c r="P7" s="269">
        <v>-0.1098396</v>
      </c>
      <c r="Q7" s="40">
        <v>1.5200000000000002E-2</v>
      </c>
      <c r="R7" s="211">
        <f>SUM(N7:Q7)</f>
        <v>-0.11571720000000001</v>
      </c>
      <c r="S7" s="208">
        <f t="shared" ref="S7:S9" si="5">M7+R7</f>
        <v>-0.13647783297799881</v>
      </c>
      <c r="T7" s="358">
        <v>0.06</v>
      </c>
      <c r="U7" s="40">
        <v>-8.0199999999999994E-2</v>
      </c>
      <c r="V7" s="40">
        <v>-3.27E-2</v>
      </c>
      <c r="W7" s="40" t="s">
        <v>393</v>
      </c>
      <c r="X7" s="358" t="s">
        <v>393</v>
      </c>
      <c r="Y7" s="211">
        <f t="shared" ref="Y7:Y9" si="6">SUM(U7:X7)</f>
        <v>-0.1129</v>
      </c>
      <c r="Z7" s="40">
        <v>-0.01</v>
      </c>
      <c r="AA7" s="208">
        <f t="shared" ref="AA7:AA9" si="7">SUM(S7:T7,Y7:Z7)</f>
        <v>-0.19937783297799883</v>
      </c>
      <c r="AB7" s="445">
        <v>-2.35E-2</v>
      </c>
      <c r="AC7" s="445">
        <v>-3.85E-2</v>
      </c>
      <c r="AD7" s="125">
        <f>SUM(AA7:AC7)</f>
        <v>-0.26137783297799883</v>
      </c>
      <c r="AE7" s="445">
        <v>-0.1062</v>
      </c>
      <c r="AF7" s="125">
        <f>SUM(AD7:AE7)</f>
        <v>-0.36757783297799884</v>
      </c>
      <c r="AG7" s="320">
        <v>-0.22</v>
      </c>
      <c r="AH7" s="23"/>
      <c r="AI7" s="83" t="s">
        <v>284</v>
      </c>
      <c r="AJ7" s="233"/>
      <c r="AK7" s="84">
        <v>95</v>
      </c>
      <c r="AL7" s="85">
        <v>113600</v>
      </c>
    </row>
    <row r="8" spans="1:38" s="218" customFormat="1" ht="12.5">
      <c r="B8" s="229">
        <v>752</v>
      </c>
      <c r="C8" s="230" t="s">
        <v>126</v>
      </c>
      <c r="D8" s="356">
        <v>5.4</v>
      </c>
      <c r="E8" s="231">
        <f t="shared" si="1"/>
        <v>5.4</v>
      </c>
      <c r="F8" s="234">
        <f t="shared" si="2"/>
        <v>5.2709999999999999</v>
      </c>
      <c r="G8" s="81">
        <v>2.6547655013653051</v>
      </c>
      <c r="H8" s="81">
        <v>0</v>
      </c>
      <c r="I8" s="81">
        <v>0</v>
      </c>
      <c r="J8" s="287">
        <v>-1.84</v>
      </c>
      <c r="K8" s="125">
        <f t="shared" si="3"/>
        <v>0.77623449863469474</v>
      </c>
      <c r="L8" s="192">
        <v>-0.94042293345758843</v>
      </c>
      <c r="M8" s="208">
        <f t="shared" si="4"/>
        <v>-0.16418843482289369</v>
      </c>
      <c r="N8" s="40">
        <v>-2.1077600000000002E-2</v>
      </c>
      <c r="O8" s="40">
        <v>0</v>
      </c>
      <c r="P8" s="269">
        <v>-0.16102150000000001</v>
      </c>
      <c r="Q8" s="40">
        <v>1.7000000000000001E-2</v>
      </c>
      <c r="R8" s="211">
        <f t="shared" ref="R8:R9" si="8">SUM(N8:Q8)</f>
        <v>-0.1650991</v>
      </c>
      <c r="S8" s="208">
        <f t="shared" si="5"/>
        <v>-0.32928753482289369</v>
      </c>
      <c r="T8" s="358">
        <v>3.3500000000000002E-2</v>
      </c>
      <c r="U8" s="40">
        <v>-5.0799999999999998E-2</v>
      </c>
      <c r="V8" s="40">
        <v>-2.07E-2</v>
      </c>
      <c r="W8" s="40" t="s">
        <v>393</v>
      </c>
      <c r="X8" s="358" t="s">
        <v>393</v>
      </c>
      <c r="Y8" s="211">
        <f t="shared" si="6"/>
        <v>-7.1499999999999994E-2</v>
      </c>
      <c r="Z8" s="40">
        <v>-0.01</v>
      </c>
      <c r="AA8" s="208">
        <f t="shared" si="7"/>
        <v>-0.37728753482289368</v>
      </c>
      <c r="AB8" s="445">
        <v>-1.3100000000000001E-2</v>
      </c>
      <c r="AC8" s="445">
        <v>-3.7999999999999999E-2</v>
      </c>
      <c r="AD8" s="125">
        <f t="shared" ref="AD8:AD9" si="9">SUM(AA8:AC8)</f>
        <v>-0.42838753482289366</v>
      </c>
      <c r="AE8" s="445">
        <v>-0.10490000000000001</v>
      </c>
      <c r="AF8" s="125">
        <f t="shared" ref="AF8:AF9" si="10">SUM(AD8:AE8)</f>
        <v>-0.53328753482289371</v>
      </c>
      <c r="AG8" s="320">
        <v>-0.22</v>
      </c>
      <c r="AH8" s="23"/>
      <c r="AI8" s="83" t="s">
        <v>284</v>
      </c>
      <c r="AJ8" s="233"/>
      <c r="AK8" s="84">
        <v>158</v>
      </c>
      <c r="AL8" s="85">
        <v>128900</v>
      </c>
    </row>
    <row r="9" spans="1:38" s="218" customFormat="1" ht="12.5">
      <c r="B9" s="229">
        <v>762</v>
      </c>
      <c r="C9" s="432" t="s">
        <v>127</v>
      </c>
      <c r="D9" s="433">
        <v>5.38</v>
      </c>
      <c r="E9" s="434">
        <f t="shared" si="1"/>
        <v>5.38</v>
      </c>
      <c r="F9" s="435">
        <f t="shared" si="2"/>
        <v>5.2519999999999998</v>
      </c>
      <c r="G9" s="394">
        <v>2.6515112272862678</v>
      </c>
      <c r="H9" s="394">
        <v>0</v>
      </c>
      <c r="I9" s="394">
        <v>0</v>
      </c>
      <c r="J9" s="395">
        <v>-1.89</v>
      </c>
      <c r="K9" s="436">
        <f t="shared" si="3"/>
        <v>0.71048877271373212</v>
      </c>
      <c r="L9" s="437">
        <v>-1.0331906220791602</v>
      </c>
      <c r="M9" s="436">
        <f t="shared" si="4"/>
        <v>-0.32270184936542812</v>
      </c>
      <c r="N9" s="431">
        <v>-2.1077600000000002E-2</v>
      </c>
      <c r="O9" s="431">
        <v>0</v>
      </c>
      <c r="P9" s="431">
        <v>-0.2125225</v>
      </c>
      <c r="Q9" s="431">
        <v>1.6400000000000001E-2</v>
      </c>
      <c r="R9" s="438">
        <f t="shared" si="8"/>
        <v>-0.21720010000000001</v>
      </c>
      <c r="S9" s="436">
        <f t="shared" si="5"/>
        <v>-0.53990194936542812</v>
      </c>
      <c r="T9" s="431">
        <v>1.46E-2</v>
      </c>
      <c r="U9" s="431">
        <v>-3.61E-2</v>
      </c>
      <c r="V9" s="431">
        <v>-1.47E-2</v>
      </c>
      <c r="W9" s="431" t="s">
        <v>393</v>
      </c>
      <c r="X9" s="431" t="s">
        <v>393</v>
      </c>
      <c r="Y9" s="438">
        <f t="shared" si="6"/>
        <v>-5.0799999999999998E-2</v>
      </c>
      <c r="Z9" s="431">
        <v>-0.01</v>
      </c>
      <c r="AA9" s="436">
        <f t="shared" si="7"/>
        <v>-0.58610194936542814</v>
      </c>
      <c r="AB9" s="444">
        <v>-5.7000000000000002E-3</v>
      </c>
      <c r="AC9" s="444">
        <v>-2.6800000000000001E-2</v>
      </c>
      <c r="AD9" s="436">
        <f t="shared" si="9"/>
        <v>-0.61860194936542823</v>
      </c>
      <c r="AE9" s="444">
        <v>-7.3999999999999996E-2</v>
      </c>
      <c r="AF9" s="436">
        <f t="shared" si="10"/>
        <v>-0.69260194936542818</v>
      </c>
      <c r="AG9" s="325">
        <v>-0.27999999999999997</v>
      </c>
      <c r="AH9" s="23"/>
      <c r="AI9" s="439" t="s">
        <v>284</v>
      </c>
      <c r="AJ9" s="233"/>
      <c r="AK9" s="440">
        <v>236</v>
      </c>
      <c r="AL9" s="441">
        <v>210800</v>
      </c>
    </row>
  </sheetData>
  <mergeCells count="21">
    <mergeCell ref="E3:E5"/>
    <mergeCell ref="F3:F5"/>
    <mergeCell ref="G3:G5"/>
    <mergeCell ref="J3:J4"/>
    <mergeCell ref="K3:K4"/>
    <mergeCell ref="H3:H5"/>
    <mergeCell ref="I3:I4"/>
    <mergeCell ref="L3:L4"/>
    <mergeCell ref="Y3:Y4"/>
    <mergeCell ref="S3:S4"/>
    <mergeCell ref="R3:R4"/>
    <mergeCell ref="P3:P4"/>
    <mergeCell ref="U3:U4"/>
    <mergeCell ref="V3:V4"/>
    <mergeCell ref="AK3:AL3"/>
    <mergeCell ref="Z3:Z4"/>
    <mergeCell ref="W3:W4"/>
    <mergeCell ref="X3:X4"/>
    <mergeCell ref="AA3:AA5"/>
    <mergeCell ref="AD3:AD4"/>
    <mergeCell ref="AF3:AF4"/>
  </mergeCells>
  <phoneticPr fontId="3" type="noConversion"/>
  <conditionalFormatting sqref="M5 AA3">
    <cfRule type="cellIs" dxfId="0" priority="1" stopIfTrue="1" operator="lessThan">
      <formula>0</formula>
    </cfRule>
  </conditionalFormatting>
  <printOptions horizontalCentered="1"/>
  <pageMargins left="0.19685039370078741" right="0.19685039370078741" top="0.39370078740157483" bottom="0.39370078740157483" header="0" footer="0.19685039370078741"/>
  <pageSetup paperSize="9" scale="71" orientation="landscape" r:id="rId1"/>
  <headerFooter alignWithMargins="0">
    <oddFooter>&amp;LReporting&amp;R&amp;D - &amp;8&amp;T&amp;C&amp;"Arial"&amp;10&amp;K000000&amp;F - &amp;A_x000D_&amp;1#&amp;"Calibri"&amp;10&amp;K000000Internal</oddFooter>
  </headerFooter>
  <drawing r:id="rId2"/>
  <legacyDrawing r:id="rId3"/>
  <controls>
    <mc:AlternateContent xmlns:mc="http://schemas.openxmlformats.org/markup-compatibility/2006">
      <mc:Choice Requires="x14">
        <control shapeId="76818" r:id="rId4" name="ActComboLang">
          <controlPr defaultSize="0" autoLine="0" linkedCell="T!B62" listFillRange="ActLangList" r:id="rId5">
            <anchor moveWithCells="1">
              <from>
                <xdr:col>35</xdr:col>
                <xdr:colOff>146050</xdr:colOff>
                <xdr:row>0</xdr:row>
                <xdr:rowOff>107950</xdr:rowOff>
              </from>
              <to>
                <xdr:col>37</xdr:col>
                <xdr:colOff>527050</xdr:colOff>
                <xdr:row>0</xdr:row>
                <xdr:rowOff>381000</xdr:rowOff>
              </to>
            </anchor>
          </controlPr>
        </control>
      </mc:Choice>
      <mc:Fallback>
        <control shapeId="76818" r:id="rId4" name="ActComboLang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55329E5-096F-4DA2-A363-B5288096787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size="41" baseType="lpstr">
      <vt:lpstr>T</vt:lpstr>
      <vt:lpstr>Kredieten</vt:lpstr>
      <vt:lpstr>Passiva</vt:lpstr>
      <vt:lpstr>oppvweek FTP</vt:lpstr>
      <vt:lpstr>grafiek</vt:lpstr>
      <vt:lpstr>Addendum WK</vt:lpstr>
      <vt:lpstr>ActLangID</vt:lpstr>
      <vt:lpstr>ActLangList</vt:lpstr>
      <vt:lpstr>ActLangListValue</vt:lpstr>
      <vt:lpstr>ActT</vt:lpstr>
      <vt:lpstr>InputTabel</vt:lpstr>
      <vt:lpstr>or_10j</vt:lpstr>
      <vt:lpstr>or_1j</vt:lpstr>
      <vt:lpstr>or_1m</vt:lpstr>
      <vt:lpstr>or_2j</vt:lpstr>
      <vt:lpstr>or_3j</vt:lpstr>
      <vt:lpstr>or_3m</vt:lpstr>
      <vt:lpstr>or_4j</vt:lpstr>
      <vt:lpstr>or_5j</vt:lpstr>
      <vt:lpstr>or_6j</vt:lpstr>
      <vt:lpstr>or_6m</vt:lpstr>
      <vt:lpstr>or_7j</vt:lpstr>
      <vt:lpstr>or_8j</vt:lpstr>
      <vt:lpstr>or_9j</vt:lpstr>
      <vt:lpstr>or_on</vt:lpstr>
      <vt:lpstr>PasLangID</vt:lpstr>
      <vt:lpstr>PasLangList</vt:lpstr>
      <vt:lpstr>PasLangListValue</vt:lpstr>
      <vt:lpstr>PasT</vt:lpstr>
      <vt:lpstr>'Addendum WK'!Print_Area</vt:lpstr>
      <vt:lpstr>grafiek!Print_Area</vt:lpstr>
      <vt:lpstr>Kredieten!Print_Area</vt:lpstr>
      <vt:lpstr>Passiva!Print_Area</vt:lpstr>
      <vt:lpstr>T!Print_Area</vt:lpstr>
      <vt:lpstr>weekdatum</vt:lpstr>
      <vt:lpstr>weeknummer</vt:lpstr>
      <vt:lpstr>X_as</vt:lpstr>
      <vt:lpstr>Y1_as</vt:lpstr>
      <vt:lpstr>Y1_naam</vt:lpstr>
      <vt:lpstr>Y2_as</vt:lpstr>
      <vt:lpstr>Y2_naam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UFFELEN Luc</dc:creator>
  <cp:lastModifiedBy>DEKNOP Romuald</cp:lastModifiedBy>
  <cp:lastPrinted>2021-06-16T13:56:15Z</cp:lastPrinted>
  <dcterms:created xsi:type="dcterms:W3CDTF">2000-01-05T09:34:28Z</dcterms:created>
  <dcterms:modified xsi:type="dcterms:W3CDTF">2024-05-31T14:59:55Z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e06370-c5ca-4299-8630-fc986cd3cb5e_Enabled">
    <vt:lpwstr>true</vt:lpwstr>
  </property>
  <property fmtid="{D5CDD505-2E9C-101B-9397-08002B2CF9AE}" pid="3" name="MSIP_Label_4ce06370-c5ca-4299-8630-fc986cd3cb5e_SetDate">
    <vt:lpwstr>2024-01-13T09:42:00Z</vt:lpwstr>
  </property>
  <property fmtid="{D5CDD505-2E9C-101B-9397-08002B2CF9AE}" pid="4" name="MSIP_Label_4ce06370-c5ca-4299-8630-fc986cd3cb5e_Method">
    <vt:lpwstr>Standard</vt:lpwstr>
  </property>
  <property fmtid="{D5CDD505-2E9C-101B-9397-08002B2CF9AE}" pid="5" name="MSIP_Label_4ce06370-c5ca-4299-8630-fc986cd3cb5e_Name">
    <vt:lpwstr>ABB_INTERNAL</vt:lpwstr>
  </property>
  <property fmtid="{D5CDD505-2E9C-101B-9397-08002B2CF9AE}" pid="6" name="MSIP_Label_4ce06370-c5ca-4299-8630-fc986cd3cb5e_SiteId">
    <vt:lpwstr>396b38cc-aa65-492b-bb0e-3d94ed25a97b</vt:lpwstr>
  </property>
  <property fmtid="{D5CDD505-2E9C-101B-9397-08002B2CF9AE}" pid="7" name="MSIP_Label_4ce06370-c5ca-4299-8630-fc986cd3cb5e_ActionId">
    <vt:lpwstr>b0da813d-712d-4300-862d-81448159b776</vt:lpwstr>
  </property>
  <property fmtid="{D5CDD505-2E9C-101B-9397-08002B2CF9AE}" pid="8" name="MSIP_Label_4ce06370-c5ca-4299-8630-fc986cd3cb5e_ContentBits">
    <vt:lpwstr>2</vt:lpwstr>
  </property>
</Properties>
</file>