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Gouveia\SkyDrive\Documents\1. Education\14.551 Adv Steel\Assignments\"/>
    </mc:Choice>
  </mc:AlternateContent>
  <bookViews>
    <workbookView xWindow="0" yWindow="0" windowWidth="28800" windowHeight="12435"/>
  </bookViews>
  <sheets>
    <sheet name="HW" sheetId="1" r:id="rId1"/>
  </sheets>
  <externalReferences>
    <externalReference r:id="rId2"/>
    <externalReference r:id="rId3"/>
    <externalReference r:id="rId4"/>
  </externalReferences>
  <definedNames>
    <definedName name="C_NAME" localSheetId="0">[1]C!$C$3:$C$34</definedName>
    <definedName name="C_NAME">[3]C!$C$3:$C$34</definedName>
    <definedName name="C_PROP" localSheetId="0">[1]C!$C$3:$CS$34</definedName>
    <definedName name="C_PROP">[3]C!$C$3:$CS$34</definedName>
    <definedName name="HP_NAME" localSheetId="0">#REF!</definedName>
    <definedName name="HP_NAME">#REF!</definedName>
    <definedName name="HP_PROP" localSheetId="0">#REF!</definedName>
    <definedName name="HP_PROP">#REF!</definedName>
    <definedName name="HSS_NAME" localSheetId="0">#REF!</definedName>
    <definedName name="HSS_NAME">#REF!</definedName>
    <definedName name="HSS_PROP" localSheetId="0">#REF!</definedName>
    <definedName name="HSS_PROP">#REF!</definedName>
    <definedName name="L_NAME" localSheetId="0">#REF!</definedName>
    <definedName name="L_NAME">#REF!</definedName>
    <definedName name="L_PROP" localSheetId="0">#REF!</definedName>
    <definedName name="L_PROP">#REF!</definedName>
    <definedName name="L2_NAME" localSheetId="0">#REF!</definedName>
    <definedName name="L2_NAME">#REF!</definedName>
    <definedName name="L2_PROP" localSheetId="0">#REF!</definedName>
    <definedName name="L2_PROP">#REF!</definedName>
    <definedName name="M_NAME" localSheetId="0">#REF!</definedName>
    <definedName name="M_NAME">#REF!</definedName>
    <definedName name="M_PROP" localSheetId="0">#REF!</definedName>
    <definedName name="M_PROP">#REF!</definedName>
    <definedName name="MC_NAME" localSheetId="0">#REF!</definedName>
    <definedName name="MC_NAME">#REF!</definedName>
    <definedName name="MC_PROP" localSheetId="0">#REF!</definedName>
    <definedName name="MC_PROP">#REF!</definedName>
    <definedName name="MT_NAME" localSheetId="0">#REF!</definedName>
    <definedName name="MT_NAME">#REF!</definedName>
    <definedName name="MT_PROP" localSheetId="0">#REF!</definedName>
    <definedName name="MT_PROP">#REF!</definedName>
    <definedName name="PIPE_NAME" localSheetId="0">#REF!</definedName>
    <definedName name="PIPE_NAME">#REF!</definedName>
    <definedName name="PIPE_PROP" localSheetId="0">#REF!</definedName>
    <definedName name="PIPE_PROP">#REF!</definedName>
    <definedName name="ST_NAME" localSheetId="0">#REF!</definedName>
    <definedName name="ST_NAME">#REF!</definedName>
    <definedName name="ST_PROP" localSheetId="0">#REF!</definedName>
    <definedName name="ST_PROP">#REF!</definedName>
    <definedName name="W_NAME" localSheetId="0">[2]W!$C$3:$C$277</definedName>
    <definedName name="W_NAME">[3]W!$C$3:$C$277</definedName>
    <definedName name="W_PROP" localSheetId="0">[2]W!$C$3:$CS$277</definedName>
    <definedName name="W_PROP">[3]W!$C$3:$CS$277</definedName>
    <definedName name="WT_NAME" localSheetId="0">[1]WT!$C$3:$C$277</definedName>
    <definedName name="WT_NAME">[3]WT!$C$3:$C$277</definedName>
    <definedName name="WT_PROP" localSheetId="0">[1]WT!$C$3:$CS$277</definedName>
    <definedName name="WT_PROP">[3]WT!$C$3:$CS$277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3" i="1" l="1"/>
  <c r="I543" i="1" s="1"/>
  <c r="E541" i="1"/>
  <c r="E538" i="1"/>
  <c r="I537" i="1"/>
  <c r="I536" i="1"/>
  <c r="I538" i="1" s="1"/>
  <c r="E536" i="1"/>
  <c r="I531" i="1"/>
  <c r="E531" i="1"/>
  <c r="F528" i="1"/>
  <c r="J528" i="1" s="1"/>
  <c r="E528" i="1"/>
  <c r="E534" i="1" s="1"/>
  <c r="F527" i="1"/>
  <c r="J527" i="1" s="1"/>
  <c r="E527" i="1"/>
  <c r="J520" i="1"/>
  <c r="F520" i="1"/>
  <c r="I519" i="1"/>
  <c r="I528" i="1" s="1"/>
  <c r="I534" i="1" s="1"/>
  <c r="I518" i="1"/>
  <c r="I527" i="1" s="1"/>
  <c r="I541" i="1" s="1"/>
  <c r="D514" i="1"/>
  <c r="I513" i="1"/>
  <c r="D513" i="1"/>
  <c r="G507" i="1"/>
  <c r="F507" i="1"/>
  <c r="J507" i="1" s="1"/>
  <c r="G506" i="1"/>
  <c r="F506" i="1"/>
  <c r="J506" i="1" s="1"/>
  <c r="J505" i="1"/>
  <c r="G505" i="1"/>
  <c r="F505" i="1"/>
  <c r="G504" i="1"/>
  <c r="F504" i="1"/>
  <c r="I514" i="1" s="1"/>
  <c r="I474" i="1"/>
  <c r="E474" i="1"/>
  <c r="I468" i="1"/>
  <c r="I469" i="1" s="1"/>
  <c r="I467" i="1"/>
  <c r="E467" i="1"/>
  <c r="E469" i="1" s="1"/>
  <c r="F462" i="1"/>
  <c r="J462" i="1" s="1"/>
  <c r="I461" i="1"/>
  <c r="E461" i="1"/>
  <c r="J458" i="1"/>
  <c r="F458" i="1"/>
  <c r="E458" i="1"/>
  <c r="E464" i="1" s="1"/>
  <c r="J457" i="1"/>
  <c r="F457" i="1"/>
  <c r="J450" i="1"/>
  <c r="F450" i="1"/>
  <c r="E450" i="1"/>
  <c r="E457" i="1" s="1"/>
  <c r="E472" i="1" s="1"/>
  <c r="I449" i="1"/>
  <c r="I458" i="1" s="1"/>
  <c r="I464" i="1" s="1"/>
  <c r="I448" i="1"/>
  <c r="I444" i="1"/>
  <c r="E444" i="1"/>
  <c r="F440" i="1"/>
  <c r="J440" i="1" s="1"/>
  <c r="I439" i="1"/>
  <c r="E439" i="1"/>
  <c r="F438" i="1"/>
  <c r="J438" i="1" s="1"/>
  <c r="E438" i="1"/>
  <c r="E442" i="1" s="1"/>
  <c r="I431" i="1"/>
  <c r="I430" i="1"/>
  <c r="I438" i="1" s="1"/>
  <c r="D426" i="1"/>
  <c r="D425" i="1"/>
  <c r="I425" i="1" s="1"/>
  <c r="D424" i="1"/>
  <c r="D423" i="1"/>
  <c r="I423" i="1" s="1"/>
  <c r="D422" i="1"/>
  <c r="D421" i="1"/>
  <c r="I421" i="1" s="1"/>
  <c r="J415" i="1"/>
  <c r="G415" i="1"/>
  <c r="F415" i="1"/>
  <c r="J414" i="1"/>
  <c r="G414" i="1"/>
  <c r="F414" i="1"/>
  <c r="G413" i="1"/>
  <c r="F413" i="1"/>
  <c r="J413" i="1" s="1"/>
  <c r="I426" i="1" s="1"/>
  <c r="G412" i="1"/>
  <c r="F412" i="1"/>
  <c r="J412" i="1" s="1"/>
  <c r="I424" i="1" s="1"/>
  <c r="J411" i="1"/>
  <c r="G411" i="1"/>
  <c r="F411" i="1"/>
  <c r="I422" i="1" s="1"/>
  <c r="J364" i="1"/>
  <c r="F364" i="1"/>
  <c r="I362" i="1"/>
  <c r="I363" i="1" s="1"/>
  <c r="E362" i="1"/>
  <c r="E363" i="1" s="1"/>
  <c r="F353" i="1"/>
  <c r="J353" i="1" s="1"/>
  <c r="E353" i="1"/>
  <c r="I353" i="1" s="1"/>
  <c r="I350" i="1"/>
  <c r="I352" i="1" s="1"/>
  <c r="I354" i="1" s="1"/>
  <c r="E350" i="1"/>
  <c r="E352" i="1" s="1"/>
  <c r="E354" i="1" s="1"/>
  <c r="F346" i="1"/>
  <c r="J346" i="1" s="1"/>
  <c r="E346" i="1"/>
  <c r="I339" i="1"/>
  <c r="I338" i="1"/>
  <c r="I346" i="1" s="1"/>
  <c r="J334" i="1"/>
  <c r="F334" i="1"/>
  <c r="I332" i="1"/>
  <c r="I333" i="1" s="1"/>
  <c r="E331" i="1"/>
  <c r="E333" i="1" s="1"/>
  <c r="D327" i="1"/>
  <c r="I326" i="1"/>
  <c r="D326" i="1"/>
  <c r="B326" i="1"/>
  <c r="G320" i="1"/>
  <c r="F320" i="1"/>
  <c r="J320" i="1" s="1"/>
  <c r="G319" i="1"/>
  <c r="F319" i="1"/>
  <c r="J319" i="1" s="1"/>
  <c r="G318" i="1"/>
  <c r="F318" i="1"/>
  <c r="J318" i="1" s="1"/>
  <c r="J317" i="1"/>
  <c r="I327" i="1" s="1"/>
  <c r="G317" i="1"/>
  <c r="F317" i="1"/>
  <c r="F288" i="1"/>
  <c r="J288" i="1" s="1"/>
  <c r="I287" i="1"/>
  <c r="E287" i="1"/>
  <c r="J278" i="1"/>
  <c r="J277" i="1"/>
  <c r="F277" i="1"/>
  <c r="E277" i="1"/>
  <c r="I277" i="1" s="1"/>
  <c r="I276" i="1"/>
  <c r="E276" i="1"/>
  <c r="E278" i="1" s="1"/>
  <c r="E281" i="1" s="1"/>
  <c r="E282" i="1" s="1"/>
  <c r="F270" i="1"/>
  <c r="J270" i="1" s="1"/>
  <c r="E270" i="1"/>
  <c r="I263" i="1"/>
  <c r="I262" i="1"/>
  <c r="I270" i="1" s="1"/>
  <c r="J258" i="1"/>
  <c r="F258" i="1"/>
  <c r="I255" i="1"/>
  <c r="I257" i="1" s="1"/>
  <c r="E255" i="1"/>
  <c r="E257" i="1" s="1"/>
  <c r="D251" i="1"/>
  <c r="I250" i="1"/>
  <c r="D250" i="1"/>
  <c r="B250" i="1"/>
  <c r="G244" i="1"/>
  <c r="F244" i="1"/>
  <c r="J244" i="1" s="1"/>
  <c r="G243" i="1"/>
  <c r="F243" i="1"/>
  <c r="J243" i="1" s="1"/>
  <c r="J242" i="1"/>
  <c r="G242" i="1"/>
  <c r="F242" i="1"/>
  <c r="J241" i="1"/>
  <c r="G241" i="1"/>
  <c r="F241" i="1"/>
  <c r="J203" i="1"/>
  <c r="F203" i="1"/>
  <c r="I199" i="1"/>
  <c r="H203" i="1" s="1"/>
  <c r="I195" i="1"/>
  <c r="G195" i="1"/>
  <c r="E195" i="1"/>
  <c r="C195" i="1"/>
  <c r="I192" i="1"/>
  <c r="E192" i="1"/>
  <c r="I190" i="1"/>
  <c r="E190" i="1"/>
  <c r="I186" i="1"/>
  <c r="I183" i="1"/>
  <c r="I184" i="1" s="1"/>
  <c r="E183" i="1"/>
  <c r="I182" i="1"/>
  <c r="E182" i="1"/>
  <c r="E184" i="1" s="1"/>
  <c r="E186" i="1" s="1"/>
  <c r="J174" i="1"/>
  <c r="J175" i="1" s="1"/>
  <c r="I174" i="1"/>
  <c r="I175" i="1" s="1"/>
  <c r="I176" i="1" s="1"/>
  <c r="I188" i="1" s="1"/>
  <c r="I189" i="1" s="1"/>
  <c r="I191" i="1" s="1"/>
  <c r="H195" i="1" s="1"/>
  <c r="F174" i="1"/>
  <c r="F175" i="1" s="1"/>
  <c r="J167" i="1"/>
  <c r="J168" i="1" s="1"/>
  <c r="J180" i="1" s="1"/>
  <c r="F167" i="1"/>
  <c r="F168" i="1" s="1"/>
  <c r="F180" i="1" s="1"/>
  <c r="I165" i="1"/>
  <c r="E165" i="1"/>
  <c r="E199" i="1" s="1"/>
  <c r="I159" i="1"/>
  <c r="E159" i="1"/>
  <c r="I154" i="1"/>
  <c r="J147" i="1"/>
  <c r="F147" i="1"/>
  <c r="E147" i="1"/>
  <c r="I143" i="1"/>
  <c r="E143" i="1"/>
  <c r="I142" i="1"/>
  <c r="I168" i="1" s="1"/>
  <c r="I169" i="1" s="1"/>
  <c r="E142" i="1"/>
  <c r="E168" i="1" s="1"/>
  <c r="E169" i="1" s="1"/>
  <c r="I141" i="1"/>
  <c r="E141" i="1"/>
  <c r="E149" i="1" s="1"/>
  <c r="I140" i="1"/>
  <c r="I148" i="1" s="1"/>
  <c r="E140" i="1"/>
  <c r="E148" i="1" s="1"/>
  <c r="I139" i="1"/>
  <c r="I147" i="1" s="1"/>
  <c r="E139" i="1"/>
  <c r="I138" i="1"/>
  <c r="E138" i="1"/>
  <c r="E154" i="1" s="1"/>
  <c r="I137" i="1"/>
  <c r="E137" i="1"/>
  <c r="I128" i="1"/>
  <c r="E128" i="1"/>
  <c r="J125" i="1"/>
  <c r="F125" i="1"/>
  <c r="E125" i="1"/>
  <c r="E130" i="1" s="1"/>
  <c r="E131" i="1" s="1"/>
  <c r="I114" i="1"/>
  <c r="I113" i="1"/>
  <c r="I125" i="1" s="1"/>
  <c r="I130" i="1" s="1"/>
  <c r="I131" i="1" s="1"/>
  <c r="I79" i="1"/>
  <c r="E79" i="1"/>
  <c r="I77" i="1"/>
  <c r="E77" i="1"/>
  <c r="E70" i="1"/>
  <c r="E66" i="1"/>
  <c r="I57" i="1"/>
  <c r="J53" i="1"/>
  <c r="I53" i="1"/>
  <c r="I70" i="1" s="1"/>
  <c r="F53" i="1"/>
  <c r="E53" i="1"/>
  <c r="I52" i="1"/>
  <c r="E52" i="1"/>
  <c r="E57" i="1" s="1"/>
  <c r="I51" i="1"/>
  <c r="I66" i="1" s="1"/>
  <c r="E51" i="1"/>
  <c r="I43" i="1"/>
  <c r="I44" i="1" s="1"/>
  <c r="I45" i="1" s="1"/>
  <c r="F43" i="1"/>
  <c r="F58" i="1" s="1"/>
  <c r="E43" i="1"/>
  <c r="E44" i="1" s="1"/>
  <c r="E45" i="1" s="1"/>
  <c r="F72" i="1" l="1"/>
  <c r="F59" i="1"/>
  <c r="D203" i="1"/>
  <c r="E201" i="1"/>
  <c r="E200" i="1"/>
  <c r="I149" i="1"/>
  <c r="I157" i="1"/>
  <c r="I251" i="1"/>
  <c r="E284" i="1" s="1"/>
  <c r="E357" i="1"/>
  <c r="E358" i="1" s="1"/>
  <c r="E360" i="1" s="1"/>
  <c r="I69" i="1"/>
  <c r="I71" i="1" s="1"/>
  <c r="I72" i="1" s="1"/>
  <c r="I73" i="1" s="1"/>
  <c r="I76" i="1" s="1"/>
  <c r="E174" i="1"/>
  <c r="E175" i="1" s="1"/>
  <c r="E176" i="1" s="1"/>
  <c r="E188" i="1" s="1"/>
  <c r="E189" i="1" s="1"/>
  <c r="E191" i="1" s="1"/>
  <c r="D195" i="1" s="1"/>
  <c r="E157" i="1"/>
  <c r="E150" i="1"/>
  <c r="E151" i="1" s="1"/>
  <c r="E152" i="1" s="1"/>
  <c r="E170" i="1" s="1"/>
  <c r="E171" i="1" s="1"/>
  <c r="F181" i="1"/>
  <c r="F195" i="1"/>
  <c r="F199" i="1" s="1"/>
  <c r="F200" i="1" s="1"/>
  <c r="F201" i="1" s="1"/>
  <c r="F192" i="1"/>
  <c r="F190" i="1"/>
  <c r="F191" i="1" s="1"/>
  <c r="F189" i="1"/>
  <c r="F184" i="1"/>
  <c r="F193" i="1"/>
  <c r="I278" i="1"/>
  <c r="I281" i="1" s="1"/>
  <c r="I282" i="1" s="1"/>
  <c r="I284" i="1" s="1"/>
  <c r="I442" i="1"/>
  <c r="I450" i="1"/>
  <c r="I150" i="1"/>
  <c r="I151" i="1" s="1"/>
  <c r="I152" i="1" s="1"/>
  <c r="I170" i="1" s="1"/>
  <c r="I171" i="1" s="1"/>
  <c r="J192" i="1"/>
  <c r="J190" i="1"/>
  <c r="J191" i="1" s="1"/>
  <c r="J189" i="1"/>
  <c r="J184" i="1"/>
  <c r="J181" i="1"/>
  <c r="J195" i="1"/>
  <c r="J199" i="1" s="1"/>
  <c r="J200" i="1" s="1"/>
  <c r="J201" i="1" s="1"/>
  <c r="J193" i="1"/>
  <c r="I357" i="1"/>
  <c r="I358" i="1" s="1"/>
  <c r="I457" i="1"/>
  <c r="I472" i="1" s="1"/>
  <c r="E69" i="1"/>
  <c r="E71" i="1" s="1"/>
  <c r="E72" i="1" s="1"/>
  <c r="E73" i="1" s="1"/>
  <c r="E76" i="1" s="1"/>
  <c r="E58" i="1"/>
  <c r="E59" i="1" s="1"/>
  <c r="I200" i="1"/>
  <c r="I201" i="1"/>
  <c r="J43" i="1"/>
  <c r="J58" i="1" s="1"/>
  <c r="J59" i="1" s="1"/>
  <c r="J504" i="1"/>
  <c r="I58" i="1"/>
  <c r="I59" i="1" s="1"/>
  <c r="I360" i="1" l="1"/>
  <c r="J72" i="1"/>
  <c r="F73" i="1"/>
  <c r="J73" i="1" s="1"/>
</calcChain>
</file>

<file path=xl/sharedStrings.xml><?xml version="1.0" encoding="utf-8"?>
<sst xmlns="http://schemas.openxmlformats.org/spreadsheetml/2006/main" count="1177" uniqueCount="315">
  <si>
    <t>1. MATERIAL PROPERTIES:</t>
  </si>
  <si>
    <t>Modulus of Elasticity:</t>
  </si>
  <si>
    <t>E =</t>
  </si>
  <si>
    <t>ksi</t>
  </si>
  <si>
    <t>Shear Modulus:</t>
  </si>
  <si>
    <t>G =</t>
  </si>
  <si>
    <t>Yield Strength:</t>
  </si>
  <si>
    <r>
      <t>F</t>
    </r>
    <r>
      <rPr>
        <vertAlign val="subscript"/>
        <sz val="11"/>
        <rFont val="Calibri"/>
        <family val="2"/>
        <scheme val="minor"/>
      </rPr>
      <t>y =</t>
    </r>
  </si>
  <si>
    <t>Ultimate Strength:</t>
  </si>
  <si>
    <r>
      <t>Fu</t>
    </r>
    <r>
      <rPr>
        <vertAlign val="subscript"/>
        <sz val="11"/>
        <rFont val="Calibri"/>
        <family val="2"/>
        <scheme val="minor"/>
      </rPr>
      <t xml:space="preserve"> =</t>
    </r>
  </si>
  <si>
    <t>Reference:</t>
  </si>
  <si>
    <t xml:space="preserve">AISC 14th </t>
  </si>
  <si>
    <t>Section</t>
  </si>
  <si>
    <t>Eq/Fig/Table</t>
  </si>
  <si>
    <t>Problem 4.18:</t>
  </si>
  <si>
    <t>E</t>
  </si>
  <si>
    <t>Plate</t>
  </si>
  <si>
    <r>
      <t>F</t>
    </r>
    <r>
      <rPr>
        <vertAlign val="subscript"/>
        <sz val="10"/>
        <rFont val="Arial"/>
        <family val="2"/>
      </rPr>
      <t>y =</t>
    </r>
  </si>
  <si>
    <t>Qty =</t>
  </si>
  <si>
    <t>Plate Width:</t>
  </si>
  <si>
    <r>
      <t>w</t>
    </r>
    <r>
      <rPr>
        <vertAlign val="subscript"/>
        <sz val="10"/>
        <rFont val="Arial"/>
        <family val="2"/>
      </rPr>
      <t>tp =</t>
    </r>
  </si>
  <si>
    <t>in</t>
  </si>
  <si>
    <t>Plate Thickness:</t>
  </si>
  <si>
    <r>
      <t>t</t>
    </r>
    <r>
      <rPr>
        <vertAlign val="subscript"/>
        <sz val="10"/>
        <rFont val="Arial"/>
        <family val="2"/>
      </rPr>
      <t>tp =</t>
    </r>
  </si>
  <si>
    <t>Required:</t>
  </si>
  <si>
    <t>a)</t>
  </si>
  <si>
    <t>Select C10 channels for tension member</t>
  </si>
  <si>
    <t>Method:</t>
  </si>
  <si>
    <t>i)</t>
  </si>
  <si>
    <t>Determine Controlling Load Combination</t>
  </si>
  <si>
    <t>ii)</t>
  </si>
  <si>
    <t>Check for limit states</t>
  </si>
  <si>
    <t>iii)</t>
  </si>
  <si>
    <t>Check slenderness Ratio</t>
  </si>
  <si>
    <t>Solution:</t>
  </si>
  <si>
    <t>Member Length</t>
  </si>
  <si>
    <t>L =</t>
  </si>
  <si>
    <t>ft</t>
  </si>
  <si>
    <t>Dead Load</t>
  </si>
  <si>
    <t>DL=</t>
  </si>
  <si>
    <t>kip</t>
  </si>
  <si>
    <t>Live Load</t>
  </si>
  <si>
    <t>LL=</t>
  </si>
  <si>
    <t>Factors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</si>
  <si>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</si>
  <si>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</si>
  <si>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=</t>
    </r>
  </si>
  <si>
    <t>Number of Members</t>
  </si>
  <si>
    <t>Eq/Fig/Table/Notes</t>
  </si>
  <si>
    <t>LRFD</t>
  </si>
  <si>
    <t>ASD</t>
  </si>
  <si>
    <t>1)</t>
  </si>
  <si>
    <t>Demand:</t>
  </si>
  <si>
    <t>Load</t>
  </si>
  <si>
    <t>Pu =</t>
  </si>
  <si>
    <t>Pa =</t>
  </si>
  <si>
    <t>Yielding:</t>
  </si>
  <si>
    <t>Ag =</t>
  </si>
  <si>
    <r>
      <t>in</t>
    </r>
    <r>
      <rPr>
        <vertAlign val="superscript"/>
        <sz val="10"/>
        <color theme="1"/>
        <rFont val="Calibri"/>
        <family val="2"/>
        <scheme val="minor"/>
      </rPr>
      <t>2</t>
    </r>
  </si>
  <si>
    <t>Area/Member</t>
  </si>
  <si>
    <t>Arqd =</t>
  </si>
  <si>
    <t>2)</t>
  </si>
  <si>
    <t>Capacity:</t>
  </si>
  <si>
    <t>Member Selected:</t>
  </si>
  <si>
    <t>C10X30</t>
  </si>
  <si>
    <t>Web Thickness:</t>
  </si>
  <si>
    <r>
      <t>t</t>
    </r>
    <r>
      <rPr>
        <vertAlign val="subscript"/>
        <sz val="10"/>
        <rFont val="Arial"/>
        <family val="2"/>
      </rPr>
      <t>wch</t>
    </r>
  </si>
  <si>
    <r>
      <t>A</t>
    </r>
    <r>
      <rPr>
        <vertAlign val="subscript"/>
        <sz val="10"/>
        <rFont val="Arial"/>
        <family val="2"/>
      </rPr>
      <t>ch</t>
    </r>
  </si>
  <si>
    <r>
      <t>in</t>
    </r>
    <r>
      <rPr>
        <vertAlign val="superscript"/>
        <sz val="10"/>
        <rFont val="Arial"/>
        <family val="2"/>
      </rPr>
      <t>2</t>
    </r>
  </si>
  <si>
    <t>Eccentricity</t>
  </si>
  <si>
    <t>xbar</t>
  </si>
  <si>
    <t>rmin</t>
  </si>
  <si>
    <t>AISC</t>
  </si>
  <si>
    <t>Table</t>
  </si>
  <si>
    <t>1-16</t>
  </si>
  <si>
    <t>Gross Section Yielding:</t>
  </si>
  <si>
    <t>Ag=</t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</si>
  <si>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</si>
  <si>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Pn=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</si>
  <si>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Pn=</t>
    </r>
  </si>
  <si>
    <t>Tensile Rupture Strength:</t>
  </si>
  <si>
    <t>Connection:</t>
  </si>
  <si>
    <t># Bolts/Channel/Area:</t>
  </si>
  <si>
    <t>Units</t>
  </si>
  <si>
    <t>Bolt Size: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</si>
  <si>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=</t>
    </r>
  </si>
  <si>
    <t>Area bolt holes:</t>
  </si>
  <si>
    <t>Ah =</t>
  </si>
  <si>
    <t>Channel Section Strength</t>
  </si>
  <si>
    <t>Nominal Area</t>
  </si>
  <si>
    <t>An=</t>
  </si>
  <si>
    <t>Shear Lag</t>
  </si>
  <si>
    <t>U=</t>
  </si>
  <si>
    <t>Effective Area</t>
  </si>
  <si>
    <t>Ae=</t>
  </si>
  <si>
    <t>Nominal Strength</t>
  </si>
  <si>
    <t>Capacity</t>
  </si>
  <si>
    <r>
      <rPr>
        <sz val="11"/>
        <color theme="1"/>
        <rFont val="Calibri"/>
        <family val="2"/>
        <scheme val="minor"/>
      </rPr>
      <t>Pn/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=</t>
    </r>
  </si>
  <si>
    <t>Design Check:</t>
  </si>
  <si>
    <t>Design Check</t>
  </si>
  <si>
    <t>Tension Strength</t>
  </si>
  <si>
    <t>Slenderness Ratio:</t>
  </si>
  <si>
    <t>LRFD:</t>
  </si>
  <si>
    <t>2 -</t>
  </si>
  <si>
    <t>ASD:</t>
  </si>
  <si>
    <t>ANSWER</t>
  </si>
  <si>
    <t>6.22. MATERIAL PROPERTIES:</t>
  </si>
  <si>
    <t>Problem 6.22:</t>
  </si>
  <si>
    <t>Select C9 channels for compression member</t>
  </si>
  <si>
    <t>b)</t>
  </si>
  <si>
    <t>Design Single Lacing For Channels</t>
  </si>
  <si>
    <t>c)</t>
  </si>
  <si>
    <t>Design End Tie Plates</t>
  </si>
  <si>
    <t>Distance between members</t>
  </si>
  <si>
    <t>PART A: DESIGN OF CHANNELS</t>
  </si>
  <si>
    <t>Compression:</t>
  </si>
  <si>
    <t>Assume</t>
  </si>
  <si>
    <t>K =</t>
  </si>
  <si>
    <t>KL/r =</t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</si>
  <si>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F</t>
    </r>
    <r>
      <rPr>
        <vertAlign val="subscript"/>
        <sz val="11"/>
        <rFont val="Calibri"/>
        <family val="2"/>
        <scheme val="minor"/>
      </rPr>
      <t>cr =</t>
    </r>
  </si>
  <si>
    <t>4-22</t>
  </si>
  <si>
    <t>Area required:</t>
  </si>
  <si>
    <t>C9X15</t>
  </si>
  <si>
    <t>1-1</t>
  </si>
  <si>
    <t>Mom. Inertia, x</t>
  </si>
  <si>
    <r>
      <t>I</t>
    </r>
    <r>
      <rPr>
        <vertAlign val="subscript"/>
        <sz val="10"/>
        <rFont val="Arial"/>
        <family val="2"/>
      </rPr>
      <t>xch</t>
    </r>
  </si>
  <si>
    <r>
      <t>in</t>
    </r>
    <r>
      <rPr>
        <vertAlign val="superscript"/>
        <sz val="10"/>
        <rFont val="Arial"/>
        <family val="2"/>
      </rPr>
      <t>4</t>
    </r>
  </si>
  <si>
    <t>Mom. Inertia, y</t>
  </si>
  <si>
    <r>
      <t>I</t>
    </r>
    <r>
      <rPr>
        <vertAlign val="subscript"/>
        <sz val="10"/>
        <rFont val="Arial"/>
        <family val="2"/>
      </rPr>
      <t>ych</t>
    </r>
  </si>
  <si>
    <t>Radius of Gyration, x:</t>
  </si>
  <si>
    <r>
      <t>r</t>
    </r>
    <r>
      <rPr>
        <vertAlign val="subscript"/>
        <sz val="11"/>
        <rFont val="Calibri"/>
        <family val="2"/>
        <scheme val="minor"/>
      </rPr>
      <t>xw =</t>
    </r>
  </si>
  <si>
    <t>Radius of Gyration, y</t>
  </si>
  <si>
    <t>ryw =</t>
  </si>
  <si>
    <t>Built Up Section</t>
  </si>
  <si>
    <t>Distance to centroid</t>
  </si>
  <si>
    <t>dx =</t>
  </si>
  <si>
    <t>dy =</t>
  </si>
  <si>
    <t>Smallest</t>
  </si>
  <si>
    <t>Imin</t>
  </si>
  <si>
    <t>rmax</t>
  </si>
  <si>
    <r>
      <rPr>
        <sz val="11"/>
        <rFont val="Calibri"/>
        <family val="2"/>
        <scheme val="minor"/>
      </rPr>
      <t>F</t>
    </r>
    <r>
      <rPr>
        <vertAlign val="subscript"/>
        <sz val="11"/>
        <rFont val="Calibri"/>
        <family val="2"/>
        <scheme val="minor"/>
      </rPr>
      <t>cr/</t>
    </r>
    <r>
      <rPr>
        <vertAlign val="subscript"/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 =</t>
    </r>
  </si>
  <si>
    <t>Interpolation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</si>
  <si>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Pn=</t>
    </r>
  </si>
  <si>
    <r>
      <t>Pn/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=</t>
    </r>
  </si>
  <si>
    <t>Compressive Strength</t>
  </si>
  <si>
    <t>PART B: DESIGN OF SINGLE LACING</t>
  </si>
  <si>
    <t>Lacing Check:</t>
  </si>
  <si>
    <t>Boltline distance from channel</t>
  </si>
  <si>
    <t>dc =</t>
  </si>
  <si>
    <t>Min</t>
  </si>
  <si>
    <t>J3.4</t>
  </si>
  <si>
    <t>Distance between bolt lines</t>
  </si>
  <si>
    <t>db =</t>
  </si>
  <si>
    <t>Angle between Laces</t>
  </si>
  <si>
    <t>deg</t>
  </si>
  <si>
    <t>angle =</t>
  </si>
  <si>
    <t>Length of Lace</t>
  </si>
  <si>
    <t>length =</t>
  </si>
  <si>
    <t>Smallest Radius of Gyration</t>
  </si>
  <si>
    <t>rmin =</t>
  </si>
  <si>
    <t>Stiffness per Lace</t>
  </si>
  <si>
    <t>klace =</t>
  </si>
  <si>
    <t>Stiffness of Member:</t>
  </si>
  <si>
    <t>kmember =</t>
  </si>
  <si>
    <t>Check:</t>
  </si>
  <si>
    <t>Klace&lt;Kmember ?</t>
  </si>
  <si>
    <t>i</t>
  </si>
  <si>
    <t>Demand Force on lacing bar:</t>
  </si>
  <si>
    <t>Shear Force</t>
  </si>
  <si>
    <t>Vu =</t>
  </si>
  <si>
    <t>Va =</t>
  </si>
  <si>
    <t>Force per side</t>
  </si>
  <si>
    <t>Vu/2 =</t>
  </si>
  <si>
    <t>Compressive Force:</t>
  </si>
  <si>
    <t>Pc =</t>
  </si>
  <si>
    <t>Demand Force</t>
  </si>
  <si>
    <t>ii</t>
  </si>
  <si>
    <t>Design of bar:</t>
  </si>
  <si>
    <t>Width</t>
  </si>
  <si>
    <t>b =</t>
  </si>
  <si>
    <t>Thickness</t>
  </si>
  <si>
    <t>t =</t>
  </si>
  <si>
    <t>Trial</t>
  </si>
  <si>
    <t>Area</t>
  </si>
  <si>
    <t>A =</t>
  </si>
  <si>
    <t>Moment of Inertia</t>
  </si>
  <si>
    <t>I =</t>
  </si>
  <si>
    <t>Radius of Gyration</t>
  </si>
  <si>
    <t>r =</t>
  </si>
  <si>
    <t>Capacity Strength</t>
  </si>
  <si>
    <t>Width Required:</t>
  </si>
  <si>
    <t>brqd =</t>
  </si>
  <si>
    <t>Min Width</t>
  </si>
  <si>
    <t>bmin =</t>
  </si>
  <si>
    <t>Width:</t>
  </si>
  <si>
    <t>Length of Bars:</t>
  </si>
  <si>
    <t>Length:</t>
  </si>
  <si>
    <t>PART C: DESIGN OF END TIE PLATES</t>
  </si>
  <si>
    <t>Minimum length</t>
  </si>
  <si>
    <t>Minimum thickness</t>
  </si>
  <si>
    <t>Minimum Width</t>
  </si>
  <si>
    <t>3/16</t>
  </si>
  <si>
    <t>7.5. MATERIAL PROPERTIES:</t>
  </si>
  <si>
    <t>Problem 7.5:</t>
  </si>
  <si>
    <t>Available column strength for elastic behavior</t>
  </si>
  <si>
    <t>Available column strength for inelastic behavior</t>
  </si>
  <si>
    <t>Determine Member Stiffness, Joint Rotational Stiffness and Effective Length Factor</t>
  </si>
  <si>
    <t>Determine Strength</t>
  </si>
  <si>
    <t>Determine Stiffness Reduction factor and Strength</t>
  </si>
  <si>
    <t>BRACED-FRAME INFORMATION:</t>
  </si>
  <si>
    <t>#</t>
  </si>
  <si>
    <t>Member</t>
  </si>
  <si>
    <t>Length</t>
  </si>
  <si>
    <t>I</t>
  </si>
  <si>
    <t>Support end A</t>
  </si>
  <si>
    <t>Support end B</t>
  </si>
  <si>
    <t>Stiffness</t>
  </si>
  <si>
    <t>(Shape)</t>
  </si>
  <si>
    <t>(ft)</t>
  </si>
  <si>
    <r>
      <t>(in</t>
    </r>
    <r>
      <rPr>
        <i/>
        <vertAlign val="super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>)</t>
    </r>
  </si>
  <si>
    <t>(Msi)</t>
  </si>
  <si>
    <t>(kip.ft)</t>
  </si>
  <si>
    <t>No Member</t>
  </si>
  <si>
    <t>Column AB</t>
  </si>
  <si>
    <t>W14X99</t>
  </si>
  <si>
    <t>Pin</t>
  </si>
  <si>
    <t>Normal</t>
  </si>
  <si>
    <t>Column BC</t>
  </si>
  <si>
    <t>Beam BR</t>
  </si>
  <si>
    <t>W24X76</t>
  </si>
  <si>
    <t>Beam BL</t>
  </si>
  <si>
    <t>DETERMINATION OF EFFECTIVE LENGTH FACTOR K (BRACED)</t>
  </si>
  <si>
    <t>End</t>
  </si>
  <si>
    <t>Support</t>
  </si>
  <si>
    <t>C1</t>
  </si>
  <si>
    <t>C2</t>
  </si>
  <si>
    <t>B1</t>
  </si>
  <si>
    <t>B2</t>
  </si>
  <si>
    <t>Rotational Stiffness</t>
  </si>
  <si>
    <t>K</t>
  </si>
  <si>
    <t>(#)</t>
  </si>
  <si>
    <t>(type)</t>
  </si>
  <si>
    <t>A</t>
  </si>
  <si>
    <t>App. 7</t>
  </si>
  <si>
    <t>Fig.</t>
  </si>
  <si>
    <t>C-A-7.1</t>
  </si>
  <si>
    <t>B</t>
  </si>
  <si>
    <t>Determined above</t>
  </si>
  <si>
    <t>rx/ry =</t>
  </si>
  <si>
    <t>4-1</t>
  </si>
  <si>
    <t>PART B: INELASTIC DESIGN</t>
  </si>
  <si>
    <t>2. Stiffness Reduction Factor</t>
  </si>
  <si>
    <t>Member Shape:</t>
  </si>
  <si>
    <t>W</t>
  </si>
  <si>
    <t>Fy =</t>
  </si>
  <si>
    <t>Py =</t>
  </si>
  <si>
    <t>a =</t>
  </si>
  <si>
    <t>Ratio:</t>
  </si>
  <si>
    <r>
      <t>a</t>
    </r>
    <r>
      <rPr>
        <sz val="11"/>
        <color theme="1"/>
        <rFont val="Calibri"/>
        <family val="2"/>
        <scheme val="minor"/>
      </rPr>
      <t>Pu/Py=</t>
    </r>
  </si>
  <si>
    <t>Factor</t>
  </si>
  <si>
    <r>
      <t>t</t>
    </r>
    <r>
      <rPr>
        <sz val="11"/>
        <color theme="1"/>
        <rFont val="Calibri"/>
        <family val="2"/>
        <scheme val="minor"/>
      </rPr>
      <t>b=</t>
    </r>
  </si>
  <si>
    <t>7.6. MATERIAL PROPERTIES:</t>
  </si>
  <si>
    <t>Problem 7.6:</t>
  </si>
  <si>
    <t>W12X87</t>
  </si>
  <si>
    <t>7.10. MATERIAL PROPERTIES:</t>
  </si>
  <si>
    <t>Problem 7.10:</t>
  </si>
  <si>
    <t>Design W14 columns for the frame in Figure P7-9 above (interior)</t>
  </si>
  <si>
    <t>and Exterior</t>
  </si>
  <si>
    <t>MOMENT-FRAME INFORMATION:</t>
  </si>
  <si>
    <t>Exterior Column</t>
  </si>
  <si>
    <t>W14X176</t>
  </si>
  <si>
    <t>Fixed</t>
  </si>
  <si>
    <t>LRFD/ASD</t>
  </si>
  <si>
    <t>Interior Column</t>
  </si>
  <si>
    <t>Interior Column ASD</t>
  </si>
  <si>
    <t>W14X193</t>
  </si>
  <si>
    <t>W27X114</t>
  </si>
  <si>
    <t>Adjusted for pin end</t>
  </si>
  <si>
    <t>Adjusted</t>
  </si>
  <si>
    <t>page</t>
  </si>
  <si>
    <t>16.1-514</t>
  </si>
  <si>
    <t>DETERMINATION OF EFFECTIVE LENGTH FACTOR K (MOMENT)</t>
  </si>
  <si>
    <t>1</t>
  </si>
  <si>
    <t>C-A-7.2</t>
  </si>
  <si>
    <t>2</t>
  </si>
  <si>
    <t>Given, x</t>
  </si>
  <si>
    <t>Given, y</t>
  </si>
  <si>
    <t>3</t>
  </si>
  <si>
    <t>PART A: INTERIOR COLUMN</t>
  </si>
  <si>
    <t>Demand</t>
  </si>
  <si>
    <t>KLy =</t>
  </si>
  <si>
    <t>From factors above</t>
  </si>
  <si>
    <t>3)</t>
  </si>
  <si>
    <t>Strength</t>
  </si>
  <si>
    <t>Use</t>
  </si>
  <si>
    <t>PART B: EXTERIOR COLUMN</t>
  </si>
  <si>
    <t>Leaning Column Load</t>
  </si>
  <si>
    <t xml:space="preserve">LCL = </t>
  </si>
  <si>
    <t>Leaning Load</t>
  </si>
  <si>
    <t>Individual Load</t>
  </si>
  <si>
    <t>Kx =</t>
  </si>
  <si>
    <t>Equivalent K</t>
  </si>
  <si>
    <t>Problem 7.11:</t>
  </si>
  <si>
    <t>Bottom Column</t>
  </si>
  <si>
    <t>W14X109</t>
  </si>
  <si>
    <t>Top Column</t>
  </si>
  <si>
    <t>W14X90</t>
  </si>
  <si>
    <t>Beam Bottom</t>
  </si>
  <si>
    <t>W18X50</t>
  </si>
  <si>
    <t>Moment</t>
  </si>
  <si>
    <t>Beam Top</t>
  </si>
  <si>
    <t>W18X55</t>
  </si>
  <si>
    <t>EXTERIOR COLUMN</t>
  </si>
  <si>
    <t>Given</t>
  </si>
  <si>
    <t>No Leaning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</si>
</sst>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0"/>
      <name val="Arial"/>
      <family val="2"/>
    </font>
    <font>
      <sz val="11"/>
      <color theme="0" tint="-4.9989318521683403E-2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b/>
      <sz val="10"/>
      <color indexed="14"/>
      <name val="Arial"/>
      <family val="2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Symbol"/>
      <family val="1"/>
      <charset val="2"/>
    </font>
    <font>
      <sz val="10"/>
      <color theme="1"/>
      <name val="Arial"/>
      <family val="2"/>
    </font>
    <font>
      <vertAlign val="subscript"/>
      <sz val="11"/>
      <name val="Symbol"/>
      <family val="1"/>
      <charset val="2"/>
    </font>
    <font>
      <i/>
      <vertAlign val="superscript"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E6E6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17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1" applyFont="1"/>
    <xf numFmtId="0" fontId="4" fillId="0" borderId="0" xfId="1" applyFont="1" applyAlignment="1">
      <alignment horizontal="right"/>
    </xf>
    <xf numFmtId="0" fontId="3" fillId="2" borderId="0" xfId="1" applyFill="1" applyAlignment="1">
      <alignment horizontal="center"/>
    </xf>
    <xf numFmtId="0" fontId="6" fillId="0" borderId="0" xfId="1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3" fillId="0" borderId="2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2" fontId="3" fillId="3" borderId="0" xfId="0" applyNumberFormat="1" applyFont="1" applyFill="1" applyAlignment="1">
      <alignment horizontal="center"/>
    </xf>
    <xf numFmtId="0" fontId="1" fillId="0" borderId="0" xfId="0" applyFont="1"/>
    <xf numFmtId="0" fontId="9" fillId="0" borderId="0" xfId="0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2" xfId="0" applyBorder="1"/>
    <xf numFmtId="0" fontId="15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1" fillId="0" borderId="0" xfId="0" applyFont="1" applyBorder="1" applyAlignment="1">
      <alignment horizontal="center"/>
    </xf>
    <xf numFmtId="0" fontId="17" fillId="4" borderId="0" xfId="1" applyFont="1" applyFill="1" applyAlignment="1">
      <alignment horizontal="center"/>
    </xf>
    <xf numFmtId="0" fontId="3" fillId="0" borderId="0" xfId="1"/>
    <xf numFmtId="0" fontId="3" fillId="0" borderId="0" xfId="1" applyFont="1" applyAlignment="1">
      <alignment horizontal="right"/>
    </xf>
    <xf numFmtId="0" fontId="3" fillId="5" borderId="0" xfId="1" applyFont="1" applyFill="1" applyAlignment="1">
      <alignment horizontal="center"/>
    </xf>
    <xf numFmtId="0" fontId="3" fillId="0" borderId="0" xfId="1" applyAlignment="1">
      <alignment horizontal="right"/>
    </xf>
    <xf numFmtId="2" fontId="0" fillId="0" borderId="0" xfId="0" applyNumberFormat="1" applyAlignment="1">
      <alignment horizontal="center"/>
    </xf>
    <xf numFmtId="49" fontId="0" fillId="0" borderId="0" xfId="0" applyNumberFormat="1"/>
    <xf numFmtId="0" fontId="19" fillId="0" borderId="0" xfId="1" applyFont="1" applyAlignment="1">
      <alignment horizontal="center"/>
    </xf>
    <xf numFmtId="0" fontId="20" fillId="0" borderId="0" xfId="0" applyFont="1" applyBorder="1"/>
    <xf numFmtId="2" fontId="0" fillId="0" borderId="4" xfId="0" applyNumberFormat="1" applyBorder="1" applyAlignment="1">
      <alignment horizontal="center"/>
    </xf>
    <xf numFmtId="0" fontId="0" fillId="0" borderId="5" xfId="0" applyBorder="1"/>
    <xf numFmtId="0" fontId="3" fillId="0" borderId="0" xfId="1" applyAlignment="1">
      <alignment horizontal="center"/>
    </xf>
    <xf numFmtId="0" fontId="20" fillId="0" borderId="0" xfId="0" applyFont="1"/>
    <xf numFmtId="0" fontId="3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1" fontId="0" fillId="2" borderId="0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3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24" fillId="0" borderId="1" xfId="0" applyFont="1" applyBorder="1"/>
    <xf numFmtId="0" fontId="14" fillId="0" borderId="1" xfId="0" applyFont="1" applyBorder="1"/>
    <xf numFmtId="0" fontId="25" fillId="0" borderId="1" xfId="0" applyFont="1" applyBorder="1" applyAlignment="1">
      <alignment horizontal="left"/>
    </xf>
    <xf numFmtId="0" fontId="24" fillId="0" borderId="0" xfId="0" applyFont="1"/>
    <xf numFmtId="0" fontId="14" fillId="0" borderId="0" xfId="0" applyFont="1"/>
    <xf numFmtId="0" fontId="25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6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3" fillId="6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5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0" xfId="1" applyFont="1" applyBorder="1" applyAlignment="1">
      <alignment horizontal="right"/>
    </xf>
    <xf numFmtId="0" fontId="27" fillId="5" borderId="0" xfId="1" applyFont="1" applyFill="1" applyAlignment="1">
      <alignment horizontal="center"/>
    </xf>
    <xf numFmtId="0" fontId="5" fillId="0" borderId="0" xfId="1" applyFont="1" applyAlignment="1">
      <alignment horizontal="right"/>
    </xf>
    <xf numFmtId="0" fontId="22" fillId="0" borderId="0" xfId="1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2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0" fontId="0" fillId="0" borderId="0" xfId="0" applyFont="1" applyAlignment="1">
      <alignment horizontal="left"/>
    </xf>
    <xf numFmtId="164" fontId="0" fillId="2" borderId="0" xfId="0" applyNumberFormat="1" applyFill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6" xfId="0" applyFont="1" applyBorder="1" applyAlignment="1">
      <alignment horizontal="right"/>
    </xf>
    <xf numFmtId="164" fontId="0" fillId="0" borderId="6" xfId="0" applyNumberFormat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12" fontId="1" fillId="0" borderId="4" xfId="0" applyNumberFormat="1" applyFont="1" applyBorder="1" applyAlignment="1">
      <alignment horizontal="center"/>
    </xf>
    <xf numFmtId="12" fontId="0" fillId="0" borderId="4" xfId="0" applyNumberFormat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0" borderId="0" xfId="0" applyNumberFormat="1" applyBorder="1"/>
    <xf numFmtId="0" fontId="0" fillId="0" borderId="0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12" fontId="0" fillId="0" borderId="4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12" fontId="0" fillId="0" borderId="5" xfId="0" applyNumberFormat="1" applyFont="1" applyBorder="1" applyAlignment="1">
      <alignment horizontal="center"/>
    </xf>
    <xf numFmtId="12" fontId="0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7" fillId="4" borderId="7" xfId="1" applyFont="1" applyFill="1" applyBorder="1" applyAlignment="1">
      <alignment horizontal="center"/>
    </xf>
    <xf numFmtId="0" fontId="3" fillId="5" borderId="7" xfId="1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7" fillId="4" borderId="0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7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3" fillId="0" borderId="8" xfId="0" applyFont="1" applyFill="1" applyBorder="1" applyAlignment="1">
      <alignment horizontal="center" vertical="center" wrapText="1"/>
    </xf>
    <xf numFmtId="2" fontId="22" fillId="0" borderId="8" xfId="0" applyNumberFormat="1" applyFont="1" applyBorder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 applyBorder="1"/>
    <xf numFmtId="49" fontId="0" fillId="0" borderId="7" xfId="0" applyNumberFormat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7" fillId="4" borderId="10" xfId="1" applyFon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15" fillId="0" borderId="0" xfId="0" applyFont="1"/>
    <xf numFmtId="0" fontId="4" fillId="2" borderId="0" xfId="0" applyFont="1" applyFill="1" applyAlignment="1">
      <alignment horizontal="center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center"/>
    </xf>
    <xf numFmtId="0" fontId="2" fillId="0" borderId="12" xfId="0" applyFont="1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2" fillId="0" borderId="15" xfId="0" applyFont="1" applyBorder="1"/>
    <xf numFmtId="2" fontId="0" fillId="5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352425</xdr:colOff>
      <xdr:row>8</xdr:row>
      <xdr:rowOff>152400</xdr:rowOff>
    </xdr:from>
    <xdr:ext cx="4791075" cy="96898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781175"/>
          <a:ext cx="4791075" cy="968982"/>
        </a:xfrm>
        <a:prstGeom prst="rect">
          <a:avLst/>
        </a:prstGeom>
      </xdr:spPr>
    </xdr:pic>
    <xdr:clientData/>
  </xdr:oneCellAnchor>
  <xdr:oneCellAnchor>
    <xdr:from>
      <xdr:col>7</xdr:col>
      <xdr:colOff>447676</xdr:colOff>
      <xdr:row>13</xdr:row>
      <xdr:rowOff>146051</xdr:rowOff>
    </xdr:from>
    <xdr:ext cx="2371724" cy="14362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2376" y="2736851"/>
          <a:ext cx="2371724" cy="1436210"/>
        </a:xfrm>
        <a:prstGeom prst="rect">
          <a:avLst/>
        </a:prstGeom>
      </xdr:spPr>
    </xdr:pic>
    <xdr:clientData/>
  </xdr:oneCellAnchor>
  <xdr:twoCellAnchor editAs="oneCell">
    <xdr:from>
      <xdr:col>2</xdr:col>
      <xdr:colOff>297372</xdr:colOff>
      <xdr:row>87</xdr:row>
      <xdr:rowOff>57150</xdr:rowOff>
    </xdr:from>
    <xdr:to>
      <xdr:col>11</xdr:col>
      <xdr:colOff>76200</xdr:colOff>
      <xdr:row>100</xdr:row>
      <xdr:rowOff>157541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572" y="17259300"/>
          <a:ext cx="4522278" cy="2586416"/>
        </a:xfrm>
        <a:prstGeom prst="rect">
          <a:avLst/>
        </a:prstGeom>
      </xdr:spPr>
    </xdr:pic>
    <xdr:clientData/>
  </xdr:twoCellAnchor>
  <xdr:twoCellAnchor editAs="oneCell">
    <xdr:from>
      <xdr:col>2</xdr:col>
      <xdr:colOff>378139</xdr:colOff>
      <xdr:row>211</xdr:row>
      <xdr:rowOff>111124</xdr:rowOff>
    </xdr:from>
    <xdr:to>
      <xdr:col>11</xdr:col>
      <xdr:colOff>356606</xdr:colOff>
      <xdr:row>225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5339" y="41611549"/>
          <a:ext cx="4721917" cy="2603501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361951</xdr:colOff>
      <xdr:row>298</xdr:row>
      <xdr:rowOff>0</xdr:rowOff>
    </xdr:from>
    <xdr:to>
      <xdr:col>13</xdr:col>
      <xdr:colOff>209550</xdr:colOff>
      <xdr:row>299</xdr:row>
      <xdr:rowOff>89683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1" y="59112150"/>
          <a:ext cx="5495924" cy="28018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374</xdr:row>
      <xdr:rowOff>19051</xdr:rowOff>
    </xdr:from>
    <xdr:to>
      <xdr:col>9</xdr:col>
      <xdr:colOff>415925</xdr:colOff>
      <xdr:row>375</xdr:row>
      <xdr:rowOff>174273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74628376"/>
          <a:ext cx="4387850" cy="345722"/>
        </a:xfrm>
        <a:prstGeom prst="rect">
          <a:avLst/>
        </a:prstGeom>
      </xdr:spPr>
    </xdr:pic>
    <xdr:clientData/>
  </xdr:twoCellAnchor>
  <xdr:twoCellAnchor editAs="oneCell">
    <xdr:from>
      <xdr:col>2</xdr:col>
      <xdr:colOff>179560</xdr:colOff>
      <xdr:row>377</xdr:row>
      <xdr:rowOff>152400</xdr:rowOff>
    </xdr:from>
    <xdr:to>
      <xdr:col>9</xdr:col>
      <xdr:colOff>114124</xdr:colOff>
      <xdr:row>394</xdr:row>
      <xdr:rowOff>85725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5111"/>
        <a:stretch/>
      </xdr:blipFill>
      <xdr:spPr>
        <a:xfrm>
          <a:off x="636760" y="75333225"/>
          <a:ext cx="4096989" cy="317182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376</xdr:row>
      <xdr:rowOff>61557</xdr:rowOff>
    </xdr:from>
    <xdr:to>
      <xdr:col>9</xdr:col>
      <xdr:colOff>196101</xdr:colOff>
      <xdr:row>377</xdr:row>
      <xdr:rowOff>85687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75051882"/>
          <a:ext cx="4225176" cy="2146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Users\gouve_000\OneDrive\Documents\Education\14.551%20Adv%20Steel\Assignments\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Users\Ana%20Gouveia\SkyDrive\Documents\1.%20Education\14.551%20Adv%20Steel\2%20Preliminary%20Sizing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W1-2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Beams"/>
      <sheetName val="Girders"/>
      <sheetName val="Moment-Frame"/>
      <sheetName val="Braced-Frame"/>
      <sheetName val="Column"/>
      <sheetName val="Bracing"/>
      <sheetName val="Summary"/>
      <sheetName val="Cost"/>
      <sheetName val="W"/>
      <sheetName val="WT"/>
    </sheetNames>
    <sheetDataSet>
      <sheetData sheetId="0">
        <row r="20">
          <cell r="B20" t="str">
            <v>Member Ref.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B21" t="str">
            <v>First</v>
          </cell>
        </row>
      </sheetData>
      <sheetData sheetId="9"/>
      <sheetData sheetId="10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HW2"/>
      <sheetName val="Input"/>
      <sheetName val="Flexural Members"/>
      <sheetName val="Info &amp; Loads"/>
      <sheetName val="Steps"/>
      <sheetName val="Load Combination"/>
      <sheetName val="283"/>
      <sheetName val="W"/>
      <sheetName val="C"/>
      <sheetName val="W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9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10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3"/>
  <sheetViews>
    <sheetView tabSelected="1" view="pageLayout" topLeftCell="A514" workbookViewId="0">
      <selection activeCell="G516" sqref="G516"/>
    </sheetView>
  </sheetViews>
  <sheetFormatPr defaultColWidth="8.85546875" defaultRowHeight="15" x14ac:dyDescent="0.25"/>
  <cols>
    <col min="1" max="1" width="1.42578125" customWidth="1"/>
    <col min="2" max="2" width="4.85546875" customWidth="1"/>
    <col min="3" max="3" width="11.85546875" customWidth="1"/>
    <col min="4" max="4" width="7.7109375" customWidth="1"/>
    <col min="5" max="5" width="10.7109375" customWidth="1"/>
    <col min="6" max="6" width="4.85546875" customWidth="1"/>
    <col min="7" max="7" width="4.7109375" style="11" customWidth="1"/>
    <col min="8" max="8" width="8.7109375" customWidth="1"/>
    <col min="9" max="9" width="9.42578125" customWidth="1"/>
    <col min="10" max="10" width="6.85546875" customWidth="1"/>
    <col min="11" max="11" width="1.140625" customWidth="1"/>
    <col min="12" max="12" width="6.42578125" customWidth="1"/>
    <col min="13" max="13" width="1.140625" style="7" customWidth="1"/>
    <col min="14" max="15" width="5.42578125" customWidth="1"/>
    <col min="16" max="16" width="1" customWidth="1"/>
    <col min="17" max="17" width="0.140625" customWidth="1"/>
  </cols>
  <sheetData>
    <row r="1" spans="2:15" ht="15.75" thickBot="1" x14ac:dyDescent="0.3">
      <c r="B1" s="1" t="s">
        <v>0</v>
      </c>
      <c r="C1" s="1"/>
      <c r="D1" s="2"/>
      <c r="E1" s="2"/>
      <c r="F1" s="2"/>
      <c r="G1" s="3"/>
      <c r="H1" s="2"/>
      <c r="I1" s="2"/>
      <c r="J1" s="2"/>
      <c r="K1" s="2"/>
      <c r="L1" s="2"/>
      <c r="M1" s="2"/>
    </row>
    <row r="2" spans="2:15" ht="15.75" thickTop="1" x14ac:dyDescent="0.25">
      <c r="B2" s="4"/>
      <c r="C2" s="4"/>
      <c r="D2" s="5"/>
      <c r="E2" s="5"/>
      <c r="F2" s="5"/>
      <c r="G2" s="6"/>
      <c r="H2" s="5"/>
      <c r="I2" s="5"/>
    </row>
    <row r="3" spans="2:15" x14ac:dyDescent="0.25">
      <c r="B3" s="8" t="s">
        <v>1</v>
      </c>
      <c r="D3" s="9" t="s">
        <v>2</v>
      </c>
      <c r="E3" s="10">
        <v>29000</v>
      </c>
      <c r="F3" s="11" t="s">
        <v>3</v>
      </c>
      <c r="H3" s="5"/>
      <c r="I3" s="5"/>
    </row>
    <row r="4" spans="2:15" x14ac:dyDescent="0.25">
      <c r="B4" t="s">
        <v>4</v>
      </c>
      <c r="D4" s="9" t="s">
        <v>5</v>
      </c>
      <c r="E4" s="10">
        <v>11200</v>
      </c>
      <c r="F4" s="11" t="s">
        <v>3</v>
      </c>
      <c r="H4" s="5"/>
      <c r="I4" s="5"/>
    </row>
    <row r="5" spans="2:15" ht="18" x14ac:dyDescent="0.35">
      <c r="B5" s="12" t="s">
        <v>6</v>
      </c>
      <c r="C5" s="12"/>
      <c r="D5" s="13" t="s">
        <v>7</v>
      </c>
      <c r="E5" s="14">
        <v>50</v>
      </c>
      <c r="F5" s="15" t="s">
        <v>3</v>
      </c>
      <c r="H5" s="5"/>
      <c r="I5" s="5"/>
    </row>
    <row r="6" spans="2:15" ht="18" x14ac:dyDescent="0.35">
      <c r="B6" s="12" t="s">
        <v>8</v>
      </c>
      <c r="C6" s="12"/>
      <c r="D6" s="13" t="s">
        <v>9</v>
      </c>
      <c r="E6" s="14">
        <v>70</v>
      </c>
      <c r="F6" s="11" t="s">
        <v>3</v>
      </c>
      <c r="G6" s="15"/>
      <c r="H6" s="5"/>
      <c r="I6" s="5"/>
      <c r="L6" s="16" t="s">
        <v>10</v>
      </c>
      <c r="M6" s="8"/>
      <c r="O6" s="17" t="s">
        <v>11</v>
      </c>
    </row>
    <row r="7" spans="2:15" x14ac:dyDescent="0.25">
      <c r="B7" s="4"/>
      <c r="C7" s="4"/>
      <c r="D7" s="5"/>
      <c r="E7" s="5"/>
      <c r="F7" s="5"/>
      <c r="G7" s="6"/>
      <c r="H7" s="5"/>
      <c r="I7" s="5"/>
      <c r="L7" s="18" t="s">
        <v>12</v>
      </c>
      <c r="M7" s="18"/>
      <c r="N7" s="19" t="s">
        <v>13</v>
      </c>
      <c r="O7" s="19"/>
    </row>
    <row r="8" spans="2:15" ht="15.75" thickBot="1" x14ac:dyDescent="0.3">
      <c r="B8" s="1" t="s">
        <v>14</v>
      </c>
      <c r="C8" s="1"/>
      <c r="D8" s="2"/>
      <c r="E8" s="2"/>
      <c r="F8" s="2"/>
      <c r="G8" s="3"/>
      <c r="H8" s="2"/>
      <c r="I8" s="2"/>
      <c r="J8" s="2"/>
      <c r="K8" s="2"/>
      <c r="L8" s="20" t="s">
        <v>15</v>
      </c>
      <c r="M8"/>
    </row>
    <row r="9" spans="2:15" ht="15.75" thickTop="1" x14ac:dyDescent="0.25">
      <c r="B9" s="4"/>
      <c r="C9" s="4"/>
      <c r="D9" s="5"/>
      <c r="E9" s="5"/>
      <c r="F9" s="5"/>
      <c r="G9" s="6"/>
      <c r="H9" s="5"/>
      <c r="I9" s="5"/>
    </row>
    <row r="10" spans="2:15" x14ac:dyDescent="0.25">
      <c r="B10" s="4"/>
      <c r="C10" s="4"/>
      <c r="D10" s="5"/>
      <c r="E10" s="5"/>
      <c r="F10" s="5"/>
      <c r="G10" s="6"/>
      <c r="H10" s="5"/>
      <c r="I10" s="5"/>
    </row>
    <row r="11" spans="2:15" x14ac:dyDescent="0.25">
      <c r="B11" s="4"/>
      <c r="C11" s="4"/>
      <c r="D11" s="5"/>
      <c r="E11" s="5"/>
      <c r="F11" s="5"/>
      <c r="G11" s="6"/>
      <c r="H11" s="5"/>
      <c r="I11" s="5"/>
    </row>
    <row r="12" spans="2:15" x14ac:dyDescent="0.25">
      <c r="B12" s="4"/>
      <c r="C12" s="4"/>
      <c r="D12" s="5"/>
      <c r="E12" s="5"/>
      <c r="F12" s="5"/>
      <c r="G12" s="6"/>
      <c r="H12" s="5"/>
      <c r="I12" s="5"/>
    </row>
    <row r="13" spans="2:15" x14ac:dyDescent="0.25">
      <c r="B13" s="4"/>
      <c r="C13" s="4"/>
      <c r="D13" s="5"/>
      <c r="E13" s="5"/>
      <c r="F13" s="5"/>
      <c r="G13" s="6"/>
      <c r="H13" s="5"/>
      <c r="I13" s="5"/>
    </row>
    <row r="14" spans="2:15" x14ac:dyDescent="0.25">
      <c r="B14" s="4"/>
      <c r="C14" s="4"/>
      <c r="D14" s="5"/>
      <c r="E14" s="5"/>
      <c r="F14" s="5"/>
      <c r="G14" s="6"/>
      <c r="H14" s="5"/>
      <c r="I14" s="5"/>
    </row>
    <row r="15" spans="2:15" x14ac:dyDescent="0.25">
      <c r="B15" s="4"/>
      <c r="C15" s="4"/>
      <c r="D15" s="5"/>
      <c r="E15" s="5"/>
      <c r="F15" s="5"/>
      <c r="G15" s="6"/>
      <c r="H15" s="5"/>
      <c r="I15" s="5"/>
    </row>
    <row r="16" spans="2:15" x14ac:dyDescent="0.25">
      <c r="D16" s="21"/>
      <c r="H16" s="5"/>
      <c r="I16" s="5"/>
    </row>
    <row r="17" spans="2:9" ht="15.75" x14ac:dyDescent="0.3">
      <c r="B17" s="22" t="s">
        <v>16</v>
      </c>
      <c r="C17" s="23"/>
      <c r="D17" s="24" t="s">
        <v>17</v>
      </c>
      <c r="E17" s="25">
        <v>50</v>
      </c>
      <c r="F17" s="23" t="s">
        <v>3</v>
      </c>
      <c r="H17" s="5"/>
      <c r="I17" s="5"/>
    </row>
    <row r="18" spans="2:9" x14ac:dyDescent="0.25">
      <c r="B18" s="23"/>
      <c r="C18" s="23"/>
      <c r="D18" s="24" t="s">
        <v>18</v>
      </c>
      <c r="E18" s="25">
        <v>1</v>
      </c>
      <c r="F18" s="23"/>
      <c r="H18" s="5"/>
      <c r="I18" s="5"/>
    </row>
    <row r="19" spans="2:9" ht="15.75" x14ac:dyDescent="0.3">
      <c r="B19" s="23" t="s">
        <v>19</v>
      </c>
      <c r="C19" s="23"/>
      <c r="D19" s="24" t="s">
        <v>20</v>
      </c>
      <c r="E19" s="26">
        <v>9</v>
      </c>
      <c r="F19" s="23" t="s">
        <v>21</v>
      </c>
      <c r="H19" s="5"/>
      <c r="I19" s="5"/>
    </row>
    <row r="20" spans="2:9" ht="15.75" x14ac:dyDescent="0.3">
      <c r="B20" s="23" t="s">
        <v>22</v>
      </c>
      <c r="C20" s="23"/>
      <c r="D20" s="24" t="s">
        <v>23</v>
      </c>
      <c r="E20" s="27">
        <v>0.75</v>
      </c>
      <c r="F20" s="23" t="s">
        <v>21</v>
      </c>
      <c r="H20" s="5"/>
      <c r="I20" s="5"/>
    </row>
    <row r="21" spans="2:9" x14ac:dyDescent="0.25">
      <c r="B21" s="4"/>
      <c r="C21" s="4"/>
      <c r="D21" s="5"/>
      <c r="E21" s="5"/>
      <c r="F21" s="5"/>
      <c r="G21" s="6"/>
      <c r="H21" s="5"/>
      <c r="I21" s="5"/>
    </row>
    <row r="22" spans="2:9" x14ac:dyDescent="0.25">
      <c r="B22" s="4"/>
      <c r="C22" s="4"/>
      <c r="D22" s="5"/>
      <c r="E22" s="5"/>
      <c r="F22" s="5"/>
      <c r="G22" s="6"/>
      <c r="H22" s="5"/>
      <c r="I22" s="5"/>
    </row>
    <row r="23" spans="2:9" x14ac:dyDescent="0.25">
      <c r="B23" s="28" t="s">
        <v>24</v>
      </c>
      <c r="C23" s="4"/>
      <c r="D23" s="5"/>
      <c r="E23" s="5"/>
      <c r="F23" s="5"/>
      <c r="G23" s="6"/>
      <c r="H23" s="5"/>
      <c r="I23" s="5"/>
    </row>
    <row r="24" spans="2:9" x14ac:dyDescent="0.25">
      <c r="B24" s="21" t="s">
        <v>25</v>
      </c>
      <c r="C24" t="s">
        <v>26</v>
      </c>
      <c r="G24"/>
    </row>
    <row r="25" spans="2:9" x14ac:dyDescent="0.25">
      <c r="B25" s="21"/>
      <c r="G25"/>
    </row>
    <row r="26" spans="2:9" x14ac:dyDescent="0.25">
      <c r="B26" s="28" t="s">
        <v>27</v>
      </c>
      <c r="G26"/>
    </row>
    <row r="27" spans="2:9" x14ac:dyDescent="0.25">
      <c r="B27" s="21" t="s">
        <v>28</v>
      </c>
      <c r="C27" t="s">
        <v>29</v>
      </c>
      <c r="G27"/>
    </row>
    <row r="28" spans="2:9" x14ac:dyDescent="0.25">
      <c r="B28" s="21" t="s">
        <v>30</v>
      </c>
      <c r="C28" t="s">
        <v>31</v>
      </c>
      <c r="G28"/>
    </row>
    <row r="29" spans="2:9" x14ac:dyDescent="0.25">
      <c r="B29" s="21" t="s">
        <v>32</v>
      </c>
      <c r="C29" t="s">
        <v>33</v>
      </c>
      <c r="G29"/>
    </row>
    <row r="30" spans="2:9" x14ac:dyDescent="0.25">
      <c r="B30" s="21"/>
      <c r="G30"/>
    </row>
    <row r="31" spans="2:9" x14ac:dyDescent="0.25">
      <c r="B31" s="28" t="s">
        <v>34</v>
      </c>
      <c r="G31"/>
    </row>
    <row r="32" spans="2:9" x14ac:dyDescent="0.25">
      <c r="B32" s="28"/>
      <c r="G32"/>
    </row>
    <row r="33" spans="2:15" x14ac:dyDescent="0.25">
      <c r="B33" s="28" t="s">
        <v>35</v>
      </c>
      <c r="D33" s="21" t="s">
        <v>36</v>
      </c>
      <c r="E33" s="10">
        <v>25</v>
      </c>
      <c r="F33" t="s">
        <v>37</v>
      </c>
      <c r="G33"/>
    </row>
    <row r="34" spans="2:15" x14ac:dyDescent="0.25">
      <c r="B34" s="7" t="s">
        <v>38</v>
      </c>
      <c r="D34" s="21" t="s">
        <v>39</v>
      </c>
      <c r="E34" s="10">
        <v>120</v>
      </c>
      <c r="F34" t="s">
        <v>40</v>
      </c>
      <c r="I34" s="29">
        <v>120</v>
      </c>
      <c r="J34" s="29" t="s">
        <v>40</v>
      </c>
      <c r="K34" s="29"/>
    </row>
    <row r="35" spans="2:15" x14ac:dyDescent="0.25">
      <c r="B35" s="7" t="s">
        <v>41</v>
      </c>
      <c r="D35" s="21" t="s">
        <v>42</v>
      </c>
      <c r="E35" s="10">
        <v>275</v>
      </c>
      <c r="F35" t="s">
        <v>40</v>
      </c>
      <c r="I35" s="29">
        <v>275</v>
      </c>
      <c r="J35" s="29" t="s">
        <v>40</v>
      </c>
      <c r="K35" s="29"/>
    </row>
    <row r="36" spans="2:15" ht="18" x14ac:dyDescent="0.35">
      <c r="B36" s="7" t="s">
        <v>43</v>
      </c>
      <c r="D36" s="30" t="s">
        <v>44</v>
      </c>
      <c r="E36" s="31">
        <v>0.9</v>
      </c>
      <c r="F36" s="5"/>
      <c r="H36" s="30" t="s">
        <v>45</v>
      </c>
      <c r="I36" s="31">
        <v>1.5</v>
      </c>
      <c r="L36" s="29"/>
    </row>
    <row r="37" spans="2:15" ht="18" x14ac:dyDescent="0.35">
      <c r="B37" s="7"/>
      <c r="D37" s="32" t="s">
        <v>46</v>
      </c>
      <c r="E37" s="33">
        <v>0.75</v>
      </c>
      <c r="F37" s="5"/>
      <c r="H37" s="30" t="s">
        <v>45</v>
      </c>
      <c r="I37" s="31">
        <v>2</v>
      </c>
      <c r="L37" s="29"/>
    </row>
    <row r="38" spans="2:15" x14ac:dyDescent="0.25">
      <c r="B38" s="7" t="s">
        <v>47</v>
      </c>
      <c r="E38" s="34">
        <v>2</v>
      </c>
      <c r="F38" s="11"/>
      <c r="I38" s="21"/>
      <c r="L38" s="5" t="s">
        <v>10</v>
      </c>
      <c r="M38"/>
      <c r="N38" s="35" t="s">
        <v>11</v>
      </c>
      <c r="O38" s="36"/>
    </row>
    <row r="39" spans="2:15" x14ac:dyDescent="0.25">
      <c r="B39" s="28"/>
      <c r="C39" s="5"/>
      <c r="D39" s="5"/>
      <c r="E39" s="5"/>
      <c r="F39" s="5"/>
      <c r="H39" s="5"/>
      <c r="I39" s="5"/>
      <c r="L39" s="37" t="s">
        <v>12</v>
      </c>
      <c r="M39" s="37"/>
      <c r="N39" s="38" t="s">
        <v>48</v>
      </c>
      <c r="O39" s="38"/>
    </row>
    <row r="40" spans="2:15" ht="15.75" thickBot="1" x14ac:dyDescent="0.3">
      <c r="C40" s="20" t="s">
        <v>49</v>
      </c>
      <c r="D40" s="2"/>
      <c r="E40" s="2"/>
      <c r="F40" s="5"/>
      <c r="H40" s="20" t="s">
        <v>50</v>
      </c>
      <c r="I40" s="2"/>
      <c r="J40" s="2"/>
      <c r="K40" s="2"/>
      <c r="L40" s="20"/>
      <c r="M40"/>
    </row>
    <row r="41" spans="2:15" ht="15.75" thickTop="1" x14ac:dyDescent="0.25">
      <c r="B41" s="28"/>
      <c r="C41" s="5"/>
      <c r="D41" s="5"/>
      <c r="E41" s="5"/>
      <c r="F41" s="5"/>
      <c r="H41" s="5"/>
      <c r="I41" s="5"/>
    </row>
    <row r="42" spans="2:15" ht="15.75" thickBot="1" x14ac:dyDescent="0.3">
      <c r="B42" s="39" t="s">
        <v>51</v>
      </c>
      <c r="C42" s="4" t="s">
        <v>52</v>
      </c>
      <c r="D42" s="5"/>
      <c r="E42" s="5"/>
      <c r="F42" s="5"/>
      <c r="H42" s="4" t="s">
        <v>52</v>
      </c>
      <c r="L42" s="40"/>
      <c r="M42" s="16"/>
    </row>
    <row r="43" spans="2:15" ht="15.75" thickBot="1" x14ac:dyDescent="0.3">
      <c r="B43" s="41" t="s">
        <v>53</v>
      </c>
      <c r="D43" s="42" t="s">
        <v>54</v>
      </c>
      <c r="E43" s="43">
        <f>1.2*E34+1.6*E35</f>
        <v>584</v>
      </c>
      <c r="F43" s="44" t="str">
        <f>F34</f>
        <v>kip</v>
      </c>
      <c r="H43" s="42" t="s">
        <v>55</v>
      </c>
      <c r="I43" s="43">
        <f>I34+I35</f>
        <v>395</v>
      </c>
      <c r="J43" s="44" t="str">
        <f>F43</f>
        <v>kip</v>
      </c>
      <c r="K43" s="16"/>
    </row>
    <row r="44" spans="2:15" ht="15.75" x14ac:dyDescent="0.25">
      <c r="B44" s="35" t="s">
        <v>56</v>
      </c>
      <c r="D44" s="30" t="s">
        <v>57</v>
      </c>
      <c r="E44" s="40">
        <f>E43/(E36*$E$5)</f>
        <v>12.977777777777778</v>
      </c>
      <c r="F44" s="16" t="s">
        <v>58</v>
      </c>
      <c r="H44" s="30" t="s">
        <v>57</v>
      </c>
      <c r="I44" s="40">
        <f>I43/(I36*$E$5)</f>
        <v>5.2666666666666666</v>
      </c>
      <c r="J44" s="16" t="s">
        <v>58</v>
      </c>
      <c r="K44" s="16"/>
    </row>
    <row r="45" spans="2:15" ht="15.75" x14ac:dyDescent="0.25">
      <c r="B45" t="s">
        <v>59</v>
      </c>
      <c r="D45" s="30" t="s">
        <v>60</v>
      </c>
      <c r="E45" s="40">
        <f>E44/E38</f>
        <v>6.4888888888888889</v>
      </c>
      <c r="F45" s="16" t="s">
        <v>58</v>
      </c>
      <c r="G45" s="5"/>
      <c r="H45" s="30" t="s">
        <v>60</v>
      </c>
      <c r="I45" s="40">
        <f>I44/E38</f>
        <v>2.6333333333333333</v>
      </c>
      <c r="J45" s="16" t="s">
        <v>58</v>
      </c>
      <c r="K45" s="16"/>
    </row>
    <row r="46" spans="2:15" x14ac:dyDescent="0.25">
      <c r="D46" s="30"/>
      <c r="E46" s="40"/>
      <c r="F46" s="16"/>
      <c r="G46" s="5"/>
      <c r="H46" s="30"/>
      <c r="I46" s="40"/>
      <c r="J46" s="16"/>
      <c r="K46" s="16"/>
    </row>
    <row r="47" spans="2:15" x14ac:dyDescent="0.25">
      <c r="B47" s="39" t="s">
        <v>61</v>
      </c>
      <c r="C47" s="45" t="s">
        <v>62</v>
      </c>
      <c r="D47" s="31"/>
      <c r="G47" s="5"/>
      <c r="H47" s="45" t="s">
        <v>62</v>
      </c>
    </row>
    <row r="48" spans="2:15" x14ac:dyDescent="0.25">
      <c r="G48" s="5"/>
    </row>
    <row r="49" spans="2:15" x14ac:dyDescent="0.25">
      <c r="B49" s="35" t="s">
        <v>63</v>
      </c>
      <c r="D49" s="31"/>
      <c r="E49" s="46" t="s">
        <v>64</v>
      </c>
      <c r="F49" s="31"/>
      <c r="G49" s="5"/>
      <c r="H49" s="31"/>
      <c r="I49" s="46" t="s">
        <v>64</v>
      </c>
      <c r="J49" s="31"/>
      <c r="K49" s="31"/>
    </row>
    <row r="50" spans="2:15" x14ac:dyDescent="0.25">
      <c r="G50" s="5"/>
    </row>
    <row r="51" spans="2:15" ht="15.75" x14ac:dyDescent="0.3">
      <c r="B51" s="12" t="s">
        <v>65</v>
      </c>
      <c r="C51" s="47"/>
      <c r="D51" s="48" t="s">
        <v>66</v>
      </c>
      <c r="E51" s="49">
        <f>VLOOKUP(E49, C_PROP, 11, FALSE)</f>
        <v>0.67300000000000004</v>
      </c>
      <c r="F51" s="47" t="s">
        <v>21</v>
      </c>
      <c r="G51" s="5"/>
      <c r="H51" s="48" t="s">
        <v>66</v>
      </c>
      <c r="I51" s="49">
        <f>VLOOKUP(I49, C_PROP, 11, FALSE)</f>
        <v>0.67300000000000004</v>
      </c>
      <c r="J51" s="47" t="s">
        <v>21</v>
      </c>
      <c r="K51" s="47"/>
    </row>
    <row r="52" spans="2:15" ht="15.75" x14ac:dyDescent="0.3">
      <c r="D52" s="48" t="s">
        <v>67</v>
      </c>
      <c r="E52" s="49">
        <f>VLOOKUP(E49, C_PROP, 4, FALSE)</f>
        <v>8.81</v>
      </c>
      <c r="F52" s="12" t="s">
        <v>68</v>
      </c>
      <c r="G52" s="5"/>
      <c r="H52" s="48" t="s">
        <v>67</v>
      </c>
      <c r="I52" s="49">
        <f>VLOOKUP(I49, C_PROP, 4, FALSE)</f>
        <v>8.81</v>
      </c>
      <c r="J52" s="12" t="s">
        <v>68</v>
      </c>
      <c r="K52" s="12"/>
    </row>
    <row r="53" spans="2:15" x14ac:dyDescent="0.25">
      <c r="B53" s="47" t="s">
        <v>69</v>
      </c>
      <c r="C53" s="47"/>
      <c r="D53" s="50" t="s">
        <v>70</v>
      </c>
      <c r="E53" s="49">
        <f>VLOOKUP($E$49, C_PROP, 19, FALSE)</f>
        <v>0.64900000000000002</v>
      </c>
      <c r="F53" s="47" t="str">
        <f>D51</f>
        <v>twch</v>
      </c>
      <c r="G53" s="5"/>
      <c r="H53" s="50" t="s">
        <v>70</v>
      </c>
      <c r="I53" s="49">
        <f>VLOOKUP($E$49, C_PROP, 19, FALSE)</f>
        <v>0.64900000000000002</v>
      </c>
      <c r="J53" s="47" t="str">
        <f>H51</f>
        <v>twch</v>
      </c>
      <c r="K53" s="47"/>
    </row>
    <row r="54" spans="2:15" x14ac:dyDescent="0.25">
      <c r="B54" s="47"/>
      <c r="C54" s="47"/>
      <c r="D54" s="50" t="s">
        <v>71</v>
      </c>
      <c r="E54" s="51">
        <v>1.22</v>
      </c>
      <c r="F54" s="47" t="s">
        <v>21</v>
      </c>
      <c r="G54" s="5"/>
      <c r="H54" s="50" t="s">
        <v>71</v>
      </c>
      <c r="I54" s="51">
        <v>1.22</v>
      </c>
      <c r="J54" s="47" t="s">
        <v>21</v>
      </c>
      <c r="K54" s="47"/>
      <c r="L54" t="s">
        <v>72</v>
      </c>
      <c r="N54" t="s">
        <v>73</v>
      </c>
      <c r="O54" s="52" t="s">
        <v>74</v>
      </c>
    </row>
    <row r="55" spans="2:15" x14ac:dyDescent="0.25">
      <c r="B55" s="47"/>
      <c r="C55" s="47"/>
      <c r="D55" s="50"/>
      <c r="E55" s="53"/>
      <c r="F55" s="47"/>
      <c r="G55" s="5"/>
      <c r="H55" s="50"/>
      <c r="I55" s="53"/>
      <c r="J55" s="47"/>
      <c r="K55" s="47"/>
    </row>
    <row r="56" spans="2:15" x14ac:dyDescent="0.25">
      <c r="B56" s="21" t="s">
        <v>28</v>
      </c>
      <c r="C56" s="54" t="s">
        <v>75</v>
      </c>
      <c r="D56" s="5"/>
      <c r="E56" s="5"/>
      <c r="F56" s="5"/>
      <c r="G56" s="5"/>
      <c r="H56" s="54" t="s">
        <v>75</v>
      </c>
      <c r="I56" s="5"/>
      <c r="J56" s="5"/>
      <c r="K56" s="5"/>
    </row>
    <row r="57" spans="2:15" ht="17.25" x14ac:dyDescent="0.25">
      <c r="D57" s="30" t="s">
        <v>76</v>
      </c>
      <c r="E57" s="40">
        <f>E38*E52</f>
        <v>17.62</v>
      </c>
      <c r="F57" s="5" t="s">
        <v>77</v>
      </c>
      <c r="G57" s="5"/>
      <c r="H57" s="30" t="s">
        <v>76</v>
      </c>
      <c r="I57" s="40">
        <f>E38*I52</f>
        <v>17.62</v>
      </c>
      <c r="J57" s="5" t="s">
        <v>77</v>
      </c>
      <c r="K57" s="5"/>
    </row>
    <row r="58" spans="2:15" ht="15.75" thickBot="1" x14ac:dyDescent="0.3">
      <c r="D58" s="30" t="s">
        <v>78</v>
      </c>
      <c r="E58" s="40">
        <f>E57*E5</f>
        <v>881</v>
      </c>
      <c r="F58" s="5" t="str">
        <f>F43</f>
        <v>kip</v>
      </c>
      <c r="G58" s="5"/>
      <c r="H58" s="30" t="s">
        <v>78</v>
      </c>
      <c r="I58" s="40">
        <f>I57*E5</f>
        <v>881</v>
      </c>
      <c r="J58" s="5" t="str">
        <f>J43</f>
        <v>kip</v>
      </c>
      <c r="K58" s="5"/>
    </row>
    <row r="59" spans="2:15" ht="18.75" thickBot="1" x14ac:dyDescent="0.4">
      <c r="D59" s="42" t="s">
        <v>79</v>
      </c>
      <c r="E59" s="55">
        <f>E58*E36</f>
        <v>792.9</v>
      </c>
      <c r="F59" s="56" t="str">
        <f>F58</f>
        <v>kip</v>
      </c>
      <c r="H59" s="42" t="s">
        <v>79</v>
      </c>
      <c r="I59" s="55">
        <f>I58/I36</f>
        <v>587.33333333333337</v>
      </c>
      <c r="J59" s="56" t="str">
        <f>J58</f>
        <v>kip</v>
      </c>
      <c r="K59" s="5"/>
    </row>
    <row r="60" spans="2:15" x14ac:dyDescent="0.25">
      <c r="G60" s="57"/>
    </row>
    <row r="61" spans="2:15" x14ac:dyDescent="0.25">
      <c r="B61" s="48" t="s">
        <v>30</v>
      </c>
      <c r="C61" s="58" t="s">
        <v>80</v>
      </c>
      <c r="F61" s="47"/>
      <c r="G61" s="57"/>
      <c r="H61" s="58" t="s">
        <v>80</v>
      </c>
      <c r="J61" s="47"/>
      <c r="K61" s="47"/>
    </row>
    <row r="62" spans="2:15" x14ac:dyDescent="0.25">
      <c r="B62" s="59"/>
      <c r="C62" s="58"/>
      <c r="F62" s="47"/>
      <c r="G62" s="57"/>
      <c r="J62" s="47"/>
      <c r="K62" s="47"/>
    </row>
    <row r="63" spans="2:15" x14ac:dyDescent="0.25">
      <c r="B63" s="60" t="s">
        <v>81</v>
      </c>
      <c r="C63" s="53"/>
      <c r="D63" s="12"/>
      <c r="E63" s="47"/>
      <c r="F63" s="47"/>
      <c r="G63" s="57"/>
      <c r="H63" s="60" t="s">
        <v>81</v>
      </c>
      <c r="I63" s="47"/>
      <c r="J63" s="47"/>
      <c r="K63" s="47"/>
    </row>
    <row r="64" spans="2:15" x14ac:dyDescent="0.25">
      <c r="B64" s="35" t="s">
        <v>82</v>
      </c>
      <c r="E64" s="61">
        <v>2</v>
      </c>
      <c r="F64" s="16" t="s">
        <v>83</v>
      </c>
      <c r="G64"/>
      <c r="I64" s="61">
        <v>2</v>
      </c>
      <c r="J64" s="16" t="s">
        <v>83</v>
      </c>
      <c r="K64" s="16"/>
    </row>
    <row r="65" spans="2:12" x14ac:dyDescent="0.25">
      <c r="B65" s="35" t="s">
        <v>84</v>
      </c>
      <c r="D65" s="30" t="s">
        <v>85</v>
      </c>
      <c r="E65" s="62">
        <v>0.875</v>
      </c>
      <c r="F65" s="16" t="s">
        <v>21</v>
      </c>
      <c r="G65"/>
      <c r="H65" s="30" t="s">
        <v>85</v>
      </c>
      <c r="I65" s="62">
        <v>0.875</v>
      </c>
      <c r="J65" s="16" t="s">
        <v>21</v>
      </c>
      <c r="K65" s="16"/>
    </row>
    <row r="66" spans="2:12" ht="15.75" x14ac:dyDescent="0.25">
      <c r="B66" s="63" t="s">
        <v>86</v>
      </c>
      <c r="D66" s="30" t="s">
        <v>87</v>
      </c>
      <c r="E66" s="40">
        <f>$E$38*E64*(E65+1/8)*E51</f>
        <v>2.6920000000000002</v>
      </c>
      <c r="F66" s="16" t="s">
        <v>58</v>
      </c>
      <c r="G66"/>
      <c r="H66" s="30" t="s">
        <v>87</v>
      </c>
      <c r="I66" s="40">
        <f>$E$38*I64*(I65+1/8)*I51</f>
        <v>2.6920000000000002</v>
      </c>
      <c r="J66" s="16" t="s">
        <v>58</v>
      </c>
      <c r="K66" s="16"/>
    </row>
    <row r="67" spans="2:12" x14ac:dyDescent="0.25">
      <c r="G67"/>
    </row>
    <row r="68" spans="2:12" x14ac:dyDescent="0.25">
      <c r="B68" s="64" t="s">
        <v>88</v>
      </c>
      <c r="F68" s="5"/>
      <c r="G68" s="5"/>
      <c r="H68" s="64" t="s">
        <v>88</v>
      </c>
      <c r="J68" s="5"/>
      <c r="K68" s="5"/>
    </row>
    <row r="69" spans="2:12" ht="17.25" x14ac:dyDescent="0.25">
      <c r="B69" s="63" t="s">
        <v>89</v>
      </c>
      <c r="D69" s="21" t="s">
        <v>90</v>
      </c>
      <c r="E69" s="51">
        <f>E57-E66</f>
        <v>14.928000000000001</v>
      </c>
      <c r="F69" t="s">
        <v>77</v>
      </c>
      <c r="G69" s="31"/>
      <c r="H69" s="21" t="s">
        <v>90</v>
      </c>
      <c r="I69" s="51">
        <f>I57-I66</f>
        <v>14.928000000000001</v>
      </c>
      <c r="J69" t="s">
        <v>77</v>
      </c>
    </row>
    <row r="70" spans="2:12" x14ac:dyDescent="0.25">
      <c r="B70" s="63" t="s">
        <v>91</v>
      </c>
      <c r="D70" s="21" t="s">
        <v>92</v>
      </c>
      <c r="E70" s="51">
        <f>1-E53/(E64*E38)</f>
        <v>0.83774999999999999</v>
      </c>
      <c r="G70"/>
      <c r="H70" s="21" t="s">
        <v>92</v>
      </c>
      <c r="I70" s="51">
        <f>1-I53/(I64*E38)</f>
        <v>0.83774999999999999</v>
      </c>
    </row>
    <row r="71" spans="2:12" ht="17.25" x14ac:dyDescent="0.25">
      <c r="B71" t="s">
        <v>93</v>
      </c>
      <c r="D71" s="21" t="s">
        <v>94</v>
      </c>
      <c r="E71" s="51">
        <f>E69*E70</f>
        <v>12.505932000000001</v>
      </c>
      <c r="F71" t="s">
        <v>77</v>
      </c>
      <c r="G71"/>
      <c r="H71" s="21" t="s">
        <v>94</v>
      </c>
      <c r="I71" s="51">
        <f>I69*I70</f>
        <v>12.505932000000001</v>
      </c>
      <c r="J71" t="s">
        <v>77</v>
      </c>
    </row>
    <row r="72" spans="2:12" ht="15.75" thickBot="1" x14ac:dyDescent="0.3">
      <c r="B72" t="s">
        <v>95</v>
      </c>
      <c r="D72" s="21" t="s">
        <v>78</v>
      </c>
      <c r="E72" s="51">
        <f>E71*E6</f>
        <v>875.41524000000004</v>
      </c>
      <c r="F72" t="str">
        <f>F58</f>
        <v>kip</v>
      </c>
      <c r="G72"/>
      <c r="H72" s="21" t="s">
        <v>78</v>
      </c>
      <c r="I72" s="51">
        <f>I71*E6</f>
        <v>875.41524000000004</v>
      </c>
      <c r="J72" t="str">
        <f>F72</f>
        <v>kip</v>
      </c>
    </row>
    <row r="73" spans="2:12" ht="18.75" thickBot="1" x14ac:dyDescent="0.4">
      <c r="B73" s="28" t="s">
        <v>96</v>
      </c>
      <c r="D73" s="42" t="s">
        <v>79</v>
      </c>
      <c r="E73" s="55">
        <f>E72*E37</f>
        <v>656.56142999999997</v>
      </c>
      <c r="F73" s="56" t="str">
        <f>F72</f>
        <v>kip</v>
      </c>
      <c r="G73"/>
      <c r="H73" s="42" t="s">
        <v>97</v>
      </c>
      <c r="I73" s="55">
        <f>I72/I37</f>
        <v>437.70762000000002</v>
      </c>
      <c r="J73" s="56" t="str">
        <f>F73</f>
        <v>kip</v>
      </c>
      <c r="K73" s="5"/>
    </row>
    <row r="74" spans="2:12" x14ac:dyDescent="0.25">
      <c r="G74"/>
    </row>
    <row r="75" spans="2:12" x14ac:dyDescent="0.25">
      <c r="B75" s="39" t="s">
        <v>32</v>
      </c>
      <c r="C75" s="28" t="s">
        <v>98</v>
      </c>
      <c r="F75" s="5"/>
      <c r="G75"/>
      <c r="H75" s="28" t="s">
        <v>98</v>
      </c>
      <c r="J75" s="5"/>
      <c r="K75" s="5"/>
      <c r="L75" s="28" t="s">
        <v>99</v>
      </c>
    </row>
    <row r="76" spans="2:12" x14ac:dyDescent="0.25">
      <c r="B76" t="s">
        <v>100</v>
      </c>
      <c r="E76" s="65" t="str">
        <f>IF(MIN(E73,E59)&gt;E43, "OK", "N/G")</f>
        <v>OK</v>
      </c>
      <c r="G76"/>
      <c r="I76" s="65" t="str">
        <f>IF(MIN(I73,I59)&gt;I43, "OK", "N/G")</f>
        <v>OK</v>
      </c>
    </row>
    <row r="77" spans="2:12" x14ac:dyDescent="0.25">
      <c r="B77" s="63" t="s">
        <v>101</v>
      </c>
      <c r="C77" s="4"/>
      <c r="D77" s="5"/>
      <c r="E77" s="65" t="str">
        <f>IF(($E$33*12)/E54&lt;300, "OK", "N.G.")</f>
        <v>OK</v>
      </c>
      <c r="F77" s="5"/>
      <c r="G77" s="6"/>
      <c r="H77" s="5"/>
      <c r="I77" s="65" t="str">
        <f>IF(($E$33*12)/I54&lt;300, "OK", "N.G.")</f>
        <v>OK</v>
      </c>
      <c r="J77" s="5"/>
      <c r="K77" s="5"/>
    </row>
    <row r="78" spans="2:12" ht="15.75" thickBot="1" x14ac:dyDescent="0.3">
      <c r="B78" s="21"/>
      <c r="E78" s="5"/>
      <c r="F78" s="5"/>
      <c r="G78" s="6"/>
      <c r="I78" s="5"/>
      <c r="J78" s="5"/>
      <c r="K78" s="5"/>
    </row>
    <row r="79" spans="2:12" ht="15.75" thickBot="1" x14ac:dyDescent="0.3">
      <c r="B79" s="45"/>
      <c r="C79" s="66" t="s">
        <v>102</v>
      </c>
      <c r="D79" s="67" t="s">
        <v>103</v>
      </c>
      <c r="E79" s="68" t="str">
        <f>E49</f>
        <v>C10X30</v>
      </c>
      <c r="F79" s="5"/>
      <c r="G79" s="69" t="s">
        <v>104</v>
      </c>
      <c r="H79" s="67" t="s">
        <v>103</v>
      </c>
      <c r="I79" s="68" t="str">
        <f>I49</f>
        <v>C10X30</v>
      </c>
      <c r="J79" s="5"/>
      <c r="K79" s="5"/>
      <c r="L79" s="28" t="s">
        <v>105</v>
      </c>
    </row>
    <row r="80" spans="2:12" x14ac:dyDescent="0.25">
      <c r="B80" s="45"/>
      <c r="C80" s="70"/>
      <c r="D80" s="45"/>
      <c r="E80" s="31"/>
      <c r="F80" s="5"/>
      <c r="G80" s="71"/>
      <c r="H80" s="45"/>
      <c r="I80" s="31"/>
      <c r="J80" s="5"/>
      <c r="K80" s="5"/>
    </row>
    <row r="81" spans="2:13" ht="15.75" thickBot="1" x14ac:dyDescent="0.3">
      <c r="B81" s="72" t="s">
        <v>106</v>
      </c>
      <c r="C81" s="72"/>
      <c r="D81" s="72"/>
      <c r="E81" s="73"/>
      <c r="F81" s="73"/>
      <c r="G81" s="74"/>
      <c r="H81" s="73"/>
      <c r="I81" s="73"/>
      <c r="J81" s="73"/>
      <c r="K81" s="73"/>
      <c r="L81" s="73"/>
      <c r="M81" s="73"/>
    </row>
    <row r="82" spans="2:13" ht="15.75" thickTop="1" x14ac:dyDescent="0.25">
      <c r="B82" s="75"/>
      <c r="C82" s="75"/>
      <c r="D82" s="76"/>
      <c r="E82" s="76"/>
      <c r="F82" s="76"/>
      <c r="G82" s="77"/>
      <c r="H82" s="76"/>
      <c r="I82" s="76"/>
      <c r="J82" s="76"/>
      <c r="K82" s="76"/>
      <c r="L82" s="76"/>
      <c r="M82" s="76"/>
    </row>
    <row r="83" spans="2:13" x14ac:dyDescent="0.25">
      <c r="B83" s="76" t="s">
        <v>1</v>
      </c>
      <c r="C83" s="76"/>
      <c r="D83" s="78" t="s">
        <v>2</v>
      </c>
      <c r="E83" s="79">
        <v>29000</v>
      </c>
      <c r="F83" s="77" t="s">
        <v>3</v>
      </c>
      <c r="G83" s="77"/>
      <c r="H83" s="76"/>
      <c r="I83" s="76"/>
      <c r="J83" s="76"/>
      <c r="K83" s="76"/>
      <c r="L83" s="76"/>
      <c r="M83" s="76"/>
    </row>
    <row r="84" spans="2:13" x14ac:dyDescent="0.25">
      <c r="B84" s="76"/>
      <c r="C84" s="76"/>
      <c r="D84" s="78" t="s">
        <v>5</v>
      </c>
      <c r="E84" s="79">
        <v>11200</v>
      </c>
      <c r="F84" s="77" t="s">
        <v>3</v>
      </c>
      <c r="G84" s="77"/>
      <c r="H84" s="76"/>
      <c r="I84" s="76"/>
      <c r="J84" s="76"/>
      <c r="K84" s="76"/>
      <c r="L84" s="76"/>
      <c r="M84" s="76"/>
    </row>
    <row r="85" spans="2:13" ht="18" x14ac:dyDescent="0.35">
      <c r="B85" s="23" t="s">
        <v>6</v>
      </c>
      <c r="C85" s="23"/>
      <c r="D85" s="80" t="s">
        <v>7</v>
      </c>
      <c r="E85" s="81">
        <v>36</v>
      </c>
      <c r="F85" s="82" t="s">
        <v>3</v>
      </c>
      <c r="G85" s="77"/>
      <c r="H85" s="76"/>
      <c r="I85" s="76"/>
      <c r="J85" s="76"/>
      <c r="K85" s="76"/>
      <c r="L85" s="76"/>
      <c r="M85" s="76"/>
    </row>
    <row r="86" spans="2:13" ht="18" x14ac:dyDescent="0.35">
      <c r="B86" s="23"/>
      <c r="C86" s="23"/>
      <c r="D86" s="80" t="s">
        <v>9</v>
      </c>
      <c r="E86" s="81">
        <v>70</v>
      </c>
      <c r="F86" s="77" t="s">
        <v>3</v>
      </c>
      <c r="G86" s="82"/>
      <c r="H86" s="76"/>
      <c r="I86" s="76"/>
      <c r="J86" s="76"/>
      <c r="K86" s="76"/>
      <c r="L86" s="76"/>
      <c r="M86" s="76"/>
    </row>
    <row r="87" spans="2:13" ht="15.75" thickBot="1" x14ac:dyDescent="0.3">
      <c r="B87" s="28" t="s">
        <v>107</v>
      </c>
      <c r="C87" s="1"/>
      <c r="D87" s="2"/>
      <c r="E87" s="2"/>
      <c r="F87" s="2"/>
      <c r="G87" s="3"/>
      <c r="H87" s="2"/>
      <c r="I87" s="2"/>
    </row>
    <row r="88" spans="2:13" ht="15.75" thickTop="1" x14ac:dyDescent="0.25">
      <c r="B88" s="4"/>
      <c r="C88" s="4"/>
      <c r="D88" s="5"/>
      <c r="E88" s="5"/>
      <c r="F88" s="5"/>
      <c r="G88" s="6"/>
      <c r="H88" s="5"/>
      <c r="I88" s="5"/>
    </row>
    <row r="89" spans="2:13" x14ac:dyDescent="0.25">
      <c r="B89" s="4"/>
      <c r="C89" s="4"/>
      <c r="D89" s="5"/>
      <c r="E89" s="5"/>
      <c r="F89" s="5"/>
      <c r="G89" s="6"/>
      <c r="H89" s="5"/>
      <c r="I89" s="5"/>
    </row>
    <row r="90" spans="2:13" x14ac:dyDescent="0.25">
      <c r="B90" s="4"/>
      <c r="C90" s="4"/>
      <c r="D90" s="5"/>
      <c r="E90" s="5"/>
      <c r="F90" s="5"/>
      <c r="G90" s="6"/>
      <c r="H90" s="5"/>
      <c r="I90" s="5"/>
    </row>
    <row r="91" spans="2:13" x14ac:dyDescent="0.25">
      <c r="B91" s="4"/>
      <c r="C91" s="4"/>
      <c r="D91" s="5"/>
      <c r="E91" s="5"/>
      <c r="F91" s="5"/>
      <c r="G91" s="6"/>
      <c r="H91" s="5"/>
      <c r="I91" s="5"/>
    </row>
    <row r="92" spans="2:13" x14ac:dyDescent="0.25">
      <c r="B92" s="4"/>
      <c r="C92" s="4"/>
      <c r="D92" s="5"/>
      <c r="E92" s="5"/>
      <c r="F92" s="5"/>
      <c r="G92" s="6"/>
      <c r="H92" s="5"/>
      <c r="I92" s="5"/>
    </row>
    <row r="93" spans="2:13" x14ac:dyDescent="0.25">
      <c r="B93" s="4"/>
      <c r="C93" s="4"/>
      <c r="D93" s="5"/>
      <c r="E93" s="5"/>
      <c r="F93" s="5"/>
      <c r="G93" s="6"/>
      <c r="H93" s="5"/>
      <c r="I93" s="5"/>
    </row>
    <row r="94" spans="2:13" x14ac:dyDescent="0.25">
      <c r="B94" s="4"/>
      <c r="C94" s="4"/>
      <c r="D94" s="5"/>
      <c r="E94" s="5"/>
      <c r="F94" s="5"/>
      <c r="G94" s="6"/>
      <c r="H94" s="5"/>
      <c r="I94" s="5"/>
    </row>
    <row r="95" spans="2:13" x14ac:dyDescent="0.25">
      <c r="B95" s="4"/>
      <c r="C95" s="4"/>
      <c r="D95" s="5"/>
      <c r="E95" s="5"/>
      <c r="F95" s="5"/>
      <c r="G95" s="6"/>
      <c r="H95" s="5"/>
      <c r="I95" s="5"/>
    </row>
    <row r="96" spans="2:13" x14ac:dyDescent="0.25">
      <c r="B96" s="4"/>
      <c r="C96" s="4"/>
      <c r="D96" s="5"/>
      <c r="E96" s="5"/>
      <c r="F96" s="5"/>
      <c r="G96" s="6"/>
      <c r="H96" s="5"/>
      <c r="I96" s="5"/>
    </row>
    <row r="97" spans="2:9" x14ac:dyDescent="0.25">
      <c r="B97" s="4"/>
      <c r="C97" s="4"/>
      <c r="D97" s="5"/>
      <c r="E97" s="5"/>
      <c r="F97" s="5"/>
      <c r="G97" s="6"/>
      <c r="H97" s="5"/>
      <c r="I97" s="5"/>
    </row>
    <row r="98" spans="2:9" x14ac:dyDescent="0.25">
      <c r="B98" s="4"/>
      <c r="C98" s="4"/>
      <c r="D98" s="5"/>
      <c r="E98" s="5"/>
      <c r="F98" s="5"/>
      <c r="G98" s="6"/>
      <c r="H98" s="5"/>
      <c r="I98" s="5"/>
    </row>
    <row r="99" spans="2:9" x14ac:dyDescent="0.25">
      <c r="B99" s="4"/>
      <c r="C99" s="4"/>
      <c r="D99" s="5"/>
      <c r="E99" s="5"/>
      <c r="F99" s="5"/>
      <c r="G99" s="6"/>
      <c r="H99" s="5"/>
      <c r="I99" s="5"/>
    </row>
    <row r="100" spans="2:9" x14ac:dyDescent="0.25">
      <c r="B100" s="4"/>
      <c r="C100" s="4"/>
      <c r="D100" s="5"/>
      <c r="E100" s="5"/>
      <c r="F100" s="5"/>
      <c r="G100" s="6"/>
      <c r="H100" s="5"/>
      <c r="I100" s="5"/>
    </row>
    <row r="101" spans="2:9" x14ac:dyDescent="0.25">
      <c r="B101" s="4"/>
      <c r="C101" s="4"/>
      <c r="D101" s="5"/>
      <c r="E101" s="5"/>
      <c r="F101" s="5"/>
      <c r="G101" s="6"/>
      <c r="H101" s="5"/>
      <c r="I101" s="5"/>
    </row>
    <row r="102" spans="2:9" x14ac:dyDescent="0.25">
      <c r="B102" s="28" t="s">
        <v>24</v>
      </c>
    </row>
    <row r="103" spans="2:9" x14ac:dyDescent="0.25">
      <c r="B103" s="21" t="s">
        <v>25</v>
      </c>
      <c r="C103" t="s">
        <v>108</v>
      </c>
      <c r="G103"/>
    </row>
    <row r="104" spans="2:9" x14ac:dyDescent="0.25">
      <c r="B104" s="21" t="s">
        <v>109</v>
      </c>
      <c r="C104" t="s">
        <v>110</v>
      </c>
      <c r="G104"/>
    </row>
    <row r="105" spans="2:9" x14ac:dyDescent="0.25">
      <c r="B105" s="21" t="s">
        <v>111</v>
      </c>
      <c r="C105" t="s">
        <v>112</v>
      </c>
      <c r="G105"/>
    </row>
    <row r="106" spans="2:9" x14ac:dyDescent="0.25">
      <c r="B106" s="28" t="s">
        <v>27</v>
      </c>
    </row>
    <row r="107" spans="2:9" x14ac:dyDescent="0.25">
      <c r="B107" s="21" t="s">
        <v>28</v>
      </c>
      <c r="C107" t="s">
        <v>29</v>
      </c>
      <c r="G107"/>
    </row>
    <row r="108" spans="2:9" x14ac:dyDescent="0.25">
      <c r="B108" s="21" t="s">
        <v>30</v>
      </c>
      <c r="C108" t="s">
        <v>31</v>
      </c>
      <c r="G108"/>
    </row>
    <row r="109" spans="2:9" x14ac:dyDescent="0.25">
      <c r="B109" s="21" t="s">
        <v>32</v>
      </c>
      <c r="C109" t="s">
        <v>33</v>
      </c>
      <c r="G109"/>
    </row>
    <row r="110" spans="2:9" x14ac:dyDescent="0.25">
      <c r="B110" s="28" t="s">
        <v>34</v>
      </c>
      <c r="G110"/>
    </row>
    <row r="111" spans="2:9" x14ac:dyDescent="0.25">
      <c r="B111" s="28"/>
      <c r="G111"/>
    </row>
    <row r="112" spans="2:9" x14ac:dyDescent="0.25">
      <c r="B112" s="28" t="s">
        <v>35</v>
      </c>
      <c r="D112" s="21" t="s">
        <v>36</v>
      </c>
      <c r="E112" s="10">
        <v>20</v>
      </c>
      <c r="F112" s="8" t="s">
        <v>37</v>
      </c>
      <c r="G112"/>
    </row>
    <row r="113" spans="2:14" x14ac:dyDescent="0.25">
      <c r="B113" s="7" t="s">
        <v>38</v>
      </c>
      <c r="D113" s="21" t="s">
        <v>39</v>
      </c>
      <c r="E113" s="10">
        <v>50</v>
      </c>
      <c r="F113" s="8" t="s">
        <v>40</v>
      </c>
      <c r="I113" s="83">
        <f>E113</f>
        <v>50</v>
      </c>
      <c r="J113" s="29" t="s">
        <v>40</v>
      </c>
      <c r="K113" s="29"/>
    </row>
    <row r="114" spans="2:14" x14ac:dyDescent="0.25">
      <c r="B114" s="7" t="s">
        <v>41</v>
      </c>
      <c r="D114" s="21" t="s">
        <v>42</v>
      </c>
      <c r="E114" s="10">
        <v>90</v>
      </c>
      <c r="F114" s="8" t="s">
        <v>40</v>
      </c>
      <c r="I114" s="83">
        <f>E114</f>
        <v>90</v>
      </c>
      <c r="J114" s="29" t="s">
        <v>40</v>
      </c>
      <c r="K114" s="29"/>
    </row>
    <row r="115" spans="2:14" ht="18" x14ac:dyDescent="0.35">
      <c r="B115" s="7" t="s">
        <v>43</v>
      </c>
      <c r="D115" s="30" t="s">
        <v>44</v>
      </c>
      <c r="E115" s="31">
        <v>0.9</v>
      </c>
      <c r="F115" s="5"/>
      <c r="H115" s="30" t="s">
        <v>45</v>
      </c>
      <c r="I115" s="31">
        <v>1.5</v>
      </c>
      <c r="L115" s="29"/>
    </row>
    <row r="116" spans="2:14" ht="18" x14ac:dyDescent="0.35">
      <c r="B116" s="7"/>
      <c r="D116" s="32" t="s">
        <v>46</v>
      </c>
      <c r="E116" s="33">
        <v>0.75</v>
      </c>
      <c r="F116" s="5"/>
      <c r="H116" s="30" t="s">
        <v>45</v>
      </c>
      <c r="I116" s="31">
        <v>2</v>
      </c>
      <c r="L116" s="29"/>
    </row>
    <row r="117" spans="2:14" x14ac:dyDescent="0.25">
      <c r="B117" s="7" t="s">
        <v>47</v>
      </c>
      <c r="E117" s="34">
        <v>2</v>
      </c>
      <c r="F117" s="11" t="s">
        <v>83</v>
      </c>
      <c r="I117" s="21"/>
      <c r="M117"/>
    </row>
    <row r="118" spans="2:14" x14ac:dyDescent="0.25">
      <c r="B118" s="7" t="s">
        <v>113</v>
      </c>
      <c r="E118" s="34">
        <v>6</v>
      </c>
      <c r="F118" s="11" t="s">
        <v>21</v>
      </c>
      <c r="I118" s="21"/>
      <c r="L118" s="5" t="s">
        <v>10</v>
      </c>
      <c r="M118"/>
      <c r="N118" s="35" t="s">
        <v>11</v>
      </c>
    </row>
    <row r="119" spans="2:14" x14ac:dyDescent="0.25">
      <c r="B119" s="7"/>
      <c r="E119" s="11"/>
      <c r="F119" s="11"/>
      <c r="I119" s="21"/>
      <c r="L119" s="37" t="s">
        <v>12</v>
      </c>
      <c r="N119" s="84" t="s">
        <v>13</v>
      </c>
    </row>
    <row r="120" spans="2:14" ht="15.75" thickBot="1" x14ac:dyDescent="0.3">
      <c r="B120" s="1" t="s">
        <v>114</v>
      </c>
      <c r="C120" s="2"/>
      <c r="D120" s="2"/>
      <c r="E120" s="3"/>
      <c r="F120" s="3"/>
      <c r="G120" s="3"/>
      <c r="H120" s="2"/>
      <c r="I120" s="85"/>
      <c r="J120" s="2"/>
      <c r="K120" s="2"/>
      <c r="L120" s="2" t="s">
        <v>15</v>
      </c>
    </row>
    <row r="121" spans="2:14" ht="15.75" thickTop="1" x14ac:dyDescent="0.25">
      <c r="B121" s="28"/>
      <c r="C121" s="5"/>
      <c r="D121" s="5"/>
      <c r="E121" s="5"/>
      <c r="F121" s="5"/>
      <c r="H121" s="5"/>
      <c r="I121" s="5"/>
    </row>
    <row r="122" spans="2:14" ht="15.75" thickBot="1" x14ac:dyDescent="0.3">
      <c r="C122" s="20" t="s">
        <v>49</v>
      </c>
      <c r="D122" s="2"/>
      <c r="E122" s="2"/>
      <c r="F122" s="5"/>
      <c r="H122" s="20" t="s">
        <v>50</v>
      </c>
      <c r="I122" s="2"/>
      <c r="J122" s="2"/>
      <c r="K122" s="2"/>
      <c r="L122" s="20"/>
      <c r="M122"/>
    </row>
    <row r="123" spans="2:14" ht="15.75" thickTop="1" x14ac:dyDescent="0.25">
      <c r="B123" s="28"/>
      <c r="C123" s="5"/>
      <c r="D123" s="5"/>
      <c r="E123" s="5"/>
      <c r="F123" s="5"/>
      <c r="H123" s="5"/>
      <c r="I123" s="5"/>
    </row>
    <row r="124" spans="2:14" ht="15.75" thickBot="1" x14ac:dyDescent="0.3">
      <c r="B124" s="39" t="s">
        <v>51</v>
      </c>
      <c r="C124" s="4" t="s">
        <v>52</v>
      </c>
      <c r="D124" s="5"/>
      <c r="E124" s="5"/>
      <c r="F124" s="5"/>
      <c r="H124" s="4" t="s">
        <v>52</v>
      </c>
      <c r="L124" s="40"/>
      <c r="M124" s="16"/>
    </row>
    <row r="125" spans="2:14" ht="15.75" thickBot="1" x14ac:dyDescent="0.3">
      <c r="B125" s="41" t="s">
        <v>53</v>
      </c>
      <c r="D125" s="42" t="s">
        <v>54</v>
      </c>
      <c r="E125" s="43">
        <f>1.2*E113+1.6*E114</f>
        <v>204</v>
      </c>
      <c r="F125" s="44" t="str">
        <f>F113</f>
        <v>kip</v>
      </c>
      <c r="H125" s="42" t="s">
        <v>55</v>
      </c>
      <c r="I125" s="43">
        <f>I113+I114</f>
        <v>140</v>
      </c>
      <c r="J125" s="44" t="str">
        <f>F125</f>
        <v>kip</v>
      </c>
      <c r="K125" s="16"/>
    </row>
    <row r="126" spans="2:14" x14ac:dyDescent="0.25">
      <c r="B126" s="35" t="s">
        <v>115</v>
      </c>
    </row>
    <row r="127" spans="2:14" x14ac:dyDescent="0.25">
      <c r="B127" t="s">
        <v>116</v>
      </c>
      <c r="D127" s="21" t="s">
        <v>117</v>
      </c>
      <c r="E127" s="10">
        <v>1</v>
      </c>
      <c r="H127" s="21" t="s">
        <v>117</v>
      </c>
      <c r="I127" s="10">
        <v>1</v>
      </c>
    </row>
    <row r="128" spans="2:14" x14ac:dyDescent="0.25">
      <c r="D128" s="21" t="s">
        <v>118</v>
      </c>
      <c r="E128" s="10">
        <f>E127*12*E112/3</f>
        <v>80</v>
      </c>
      <c r="H128" s="21" t="s">
        <v>118</v>
      </c>
      <c r="I128" s="10">
        <f>I127*12*E112/3</f>
        <v>80</v>
      </c>
    </row>
    <row r="129" spans="2:15" ht="18" x14ac:dyDescent="0.35">
      <c r="D129" s="86" t="s">
        <v>119</v>
      </c>
      <c r="E129" s="65">
        <v>25</v>
      </c>
      <c r="F129" t="s">
        <v>3</v>
      </c>
      <c r="H129" s="86" t="s">
        <v>119</v>
      </c>
      <c r="I129" s="65">
        <v>25</v>
      </c>
      <c r="J129" t="s">
        <v>3</v>
      </c>
      <c r="L129" t="s">
        <v>72</v>
      </c>
      <c r="N129" t="s">
        <v>73</v>
      </c>
      <c r="O129" s="52" t="s">
        <v>120</v>
      </c>
    </row>
    <row r="130" spans="2:15" ht="15.95" customHeight="1" x14ac:dyDescent="0.25">
      <c r="B130" t="s">
        <v>121</v>
      </c>
      <c r="D130" s="30" t="s">
        <v>57</v>
      </c>
      <c r="E130" s="40">
        <f>E125/(E129)</f>
        <v>8.16</v>
      </c>
      <c r="F130" s="16" t="s">
        <v>58</v>
      </c>
      <c r="H130" s="30" t="s">
        <v>57</v>
      </c>
      <c r="I130" s="40">
        <f>I125/(I129)</f>
        <v>5.6</v>
      </c>
      <c r="J130" s="16" t="s">
        <v>58</v>
      </c>
      <c r="K130" s="16"/>
    </row>
    <row r="131" spans="2:15" ht="15.75" x14ac:dyDescent="0.25">
      <c r="B131" t="s">
        <v>59</v>
      </c>
      <c r="D131" s="30" t="s">
        <v>60</v>
      </c>
      <c r="E131" s="40">
        <f>E130/E117</f>
        <v>4.08</v>
      </c>
      <c r="F131" s="16" t="s">
        <v>58</v>
      </c>
      <c r="G131" s="5"/>
      <c r="H131" s="30" t="s">
        <v>60</v>
      </c>
      <c r="I131" s="40">
        <f>I130/E117</f>
        <v>2.8</v>
      </c>
      <c r="J131" s="16" t="s">
        <v>58</v>
      </c>
      <c r="K131" s="16"/>
    </row>
    <row r="132" spans="2:15" x14ac:dyDescent="0.25">
      <c r="D132" s="30"/>
      <c r="E132" s="40"/>
      <c r="F132" s="16"/>
      <c r="G132" s="5"/>
      <c r="H132" s="30"/>
      <c r="I132" s="40"/>
      <c r="J132" s="16"/>
      <c r="K132" s="16"/>
    </row>
    <row r="133" spans="2:15" x14ac:dyDescent="0.25">
      <c r="B133" s="39" t="s">
        <v>61</v>
      </c>
      <c r="C133" s="45" t="s">
        <v>62</v>
      </c>
      <c r="D133" s="31"/>
      <c r="G133" s="5"/>
      <c r="H133" s="45" t="s">
        <v>62</v>
      </c>
    </row>
    <row r="134" spans="2:15" x14ac:dyDescent="0.25">
      <c r="G134" s="5"/>
    </row>
    <row r="135" spans="2:15" x14ac:dyDescent="0.25">
      <c r="B135" s="35" t="s">
        <v>63</v>
      </c>
      <c r="D135" s="31"/>
      <c r="E135" s="46" t="s">
        <v>122</v>
      </c>
      <c r="F135" s="31"/>
      <c r="G135" s="5"/>
      <c r="H135" s="31"/>
      <c r="I135" s="46" t="s">
        <v>122</v>
      </c>
      <c r="J135" s="31"/>
      <c r="K135" s="31"/>
      <c r="L135" t="s">
        <v>72</v>
      </c>
      <c r="N135" t="s">
        <v>73</v>
      </c>
      <c r="O135" s="52" t="s">
        <v>123</v>
      </c>
    </row>
    <row r="136" spans="2:15" x14ac:dyDescent="0.25">
      <c r="G136" s="5"/>
    </row>
    <row r="137" spans="2:15" ht="15.75" x14ac:dyDescent="0.3">
      <c r="B137" s="12" t="s">
        <v>65</v>
      </c>
      <c r="C137" s="47"/>
      <c r="D137" s="48" t="s">
        <v>66</v>
      </c>
      <c r="E137" s="49">
        <f>VLOOKUP(E135, C_PROP, 11, FALSE)</f>
        <v>0.28499999999999998</v>
      </c>
      <c r="F137" s="47" t="s">
        <v>21</v>
      </c>
      <c r="G137" s="5"/>
      <c r="H137" s="48" t="s">
        <v>66</v>
      </c>
      <c r="I137" s="49">
        <f>VLOOKUP(I135, C_PROP, 11, FALSE)</f>
        <v>0.28499999999999998</v>
      </c>
      <c r="J137" s="47" t="s">
        <v>21</v>
      </c>
      <c r="K137" s="47"/>
      <c r="L137" t="s">
        <v>72</v>
      </c>
      <c r="N137" t="s">
        <v>73</v>
      </c>
      <c r="O137" s="52" t="s">
        <v>123</v>
      </c>
    </row>
    <row r="138" spans="2:15" ht="15.75" x14ac:dyDescent="0.3">
      <c r="D138" s="48" t="s">
        <v>67</v>
      </c>
      <c r="E138" s="49">
        <f>VLOOKUP(E135, C_PROP, 4, FALSE)</f>
        <v>4.41</v>
      </c>
      <c r="F138" s="12" t="s">
        <v>68</v>
      </c>
      <c r="G138" s="5"/>
      <c r="H138" s="48" t="s">
        <v>67</v>
      </c>
      <c r="I138" s="49">
        <f>VLOOKUP(I135, C_PROP, 4, FALSE)</f>
        <v>4.41</v>
      </c>
      <c r="J138" s="12" t="s">
        <v>68</v>
      </c>
      <c r="K138" s="12"/>
      <c r="L138" t="s">
        <v>72</v>
      </c>
      <c r="N138" t="s">
        <v>73</v>
      </c>
      <c r="O138" s="52" t="s">
        <v>123</v>
      </c>
    </row>
    <row r="139" spans="2:15" x14ac:dyDescent="0.25">
      <c r="B139" s="47" t="s">
        <v>69</v>
      </c>
      <c r="C139" s="47"/>
      <c r="D139" s="50" t="s">
        <v>70</v>
      </c>
      <c r="E139" s="49">
        <f>VLOOKUP(E135, C_PROP, 19, FALSE)</f>
        <v>0.58599999999999997</v>
      </c>
      <c r="F139" s="47" t="s">
        <v>21</v>
      </c>
      <c r="G139" s="5"/>
      <c r="H139" s="50" t="s">
        <v>70</v>
      </c>
      <c r="I139" s="49">
        <f>VLOOKUP(I135, C_PROP, 19, FALSE)</f>
        <v>0.58599999999999997</v>
      </c>
      <c r="J139" s="47" t="s">
        <v>21</v>
      </c>
      <c r="K139" s="47"/>
      <c r="L139" t="s">
        <v>72</v>
      </c>
      <c r="N139" t="s">
        <v>73</v>
      </c>
      <c r="O139" s="52" t="s">
        <v>123</v>
      </c>
    </row>
    <row r="140" spans="2:15" ht="15.75" x14ac:dyDescent="0.3">
      <c r="B140" s="47" t="s">
        <v>124</v>
      </c>
      <c r="C140" s="47"/>
      <c r="D140" s="48" t="s">
        <v>125</v>
      </c>
      <c r="E140" s="49">
        <f>VLOOKUP(E135, C_PROP, 29, FALSE)</f>
        <v>51</v>
      </c>
      <c r="F140" s="12" t="s">
        <v>126</v>
      </c>
      <c r="G140" s="5"/>
      <c r="H140" s="48" t="s">
        <v>125</v>
      </c>
      <c r="I140" s="49">
        <f>VLOOKUP(I135, C_PROP, 29, FALSE)</f>
        <v>51</v>
      </c>
      <c r="J140" s="12" t="s">
        <v>126</v>
      </c>
      <c r="K140" s="12"/>
      <c r="L140" t="s">
        <v>72</v>
      </c>
      <c r="N140" t="s">
        <v>73</v>
      </c>
      <c r="O140" s="52" t="s">
        <v>123</v>
      </c>
    </row>
    <row r="141" spans="2:15" ht="15.75" x14ac:dyDescent="0.3">
      <c r="B141" s="47" t="s">
        <v>127</v>
      </c>
      <c r="C141" s="47"/>
      <c r="D141" s="48" t="s">
        <v>128</v>
      </c>
      <c r="E141" s="49">
        <f>VLOOKUP(E135, C_PROP, 33, FALSE)</f>
        <v>1.91</v>
      </c>
      <c r="F141" s="12" t="s">
        <v>126</v>
      </c>
      <c r="G141" s="5"/>
      <c r="H141" s="48" t="s">
        <v>128</v>
      </c>
      <c r="I141" s="49">
        <f>VLOOKUP(I135, C_PROP, 33, FALSE)</f>
        <v>1.91</v>
      </c>
      <c r="J141" s="12" t="s">
        <v>126</v>
      </c>
      <c r="K141" s="12"/>
      <c r="L141" t="s">
        <v>72</v>
      </c>
      <c r="N141" t="s">
        <v>73</v>
      </c>
      <c r="O141" s="52" t="s">
        <v>123</v>
      </c>
    </row>
    <row r="142" spans="2:15" ht="18" x14ac:dyDescent="0.35">
      <c r="B142" s="12" t="s">
        <v>129</v>
      </c>
      <c r="C142" s="47"/>
      <c r="D142" s="13" t="s">
        <v>130</v>
      </c>
      <c r="E142" s="87">
        <f>VLOOKUP(E135, C_PROP, 32, FALSE)</f>
        <v>3.4</v>
      </c>
      <c r="F142" s="15" t="s">
        <v>21</v>
      </c>
      <c r="H142" s="13" t="s">
        <v>130</v>
      </c>
      <c r="I142" s="87">
        <f>VLOOKUP(I135, C_PROP, 32, FALSE)</f>
        <v>3.4</v>
      </c>
      <c r="J142" s="15" t="s">
        <v>21</v>
      </c>
      <c r="K142" s="15"/>
      <c r="L142" t="s">
        <v>72</v>
      </c>
      <c r="N142" t="s">
        <v>73</v>
      </c>
      <c r="O142" s="52" t="s">
        <v>123</v>
      </c>
    </row>
    <row r="143" spans="2:15" ht="18" x14ac:dyDescent="0.35">
      <c r="B143" s="12" t="s">
        <v>131</v>
      </c>
      <c r="C143" s="47"/>
      <c r="D143" s="88" t="s">
        <v>132</v>
      </c>
      <c r="E143" s="87">
        <f>VLOOKUP(E135, C_PROP, 36, FALSE)</f>
        <v>0.65900000000000003</v>
      </c>
      <c r="F143" s="15" t="s">
        <v>21</v>
      </c>
      <c r="G143" s="5"/>
      <c r="H143" s="88" t="s">
        <v>132</v>
      </c>
      <c r="I143" s="87">
        <f>VLOOKUP(I135, C_PROP, 36, FALSE)</f>
        <v>0.65900000000000003</v>
      </c>
      <c r="J143" s="15" t="s">
        <v>21</v>
      </c>
      <c r="K143" s="15"/>
      <c r="L143" t="s">
        <v>72</v>
      </c>
      <c r="N143" t="s">
        <v>73</v>
      </c>
      <c r="O143" s="52" t="s">
        <v>123</v>
      </c>
    </row>
    <row r="144" spans="2:15" x14ac:dyDescent="0.25">
      <c r="B144" s="47"/>
      <c r="C144" s="47"/>
      <c r="D144" s="50"/>
      <c r="E144" s="51"/>
      <c r="F144" s="47"/>
      <c r="G144" s="5"/>
      <c r="H144" s="50"/>
      <c r="I144" s="51"/>
      <c r="J144" s="47"/>
      <c r="K144" s="47"/>
    </row>
    <row r="145" spans="2:15" x14ac:dyDescent="0.25">
      <c r="B145" s="89" t="s">
        <v>133</v>
      </c>
      <c r="C145" s="47"/>
      <c r="D145" s="50"/>
      <c r="E145" s="51"/>
      <c r="F145" s="47"/>
      <c r="G145" s="5"/>
      <c r="H145" s="89" t="s">
        <v>133</v>
      </c>
      <c r="I145" s="47"/>
      <c r="J145" s="50"/>
      <c r="K145" s="50"/>
      <c r="L145" s="51"/>
      <c r="M145" s="47"/>
    </row>
    <row r="146" spans="2:15" x14ac:dyDescent="0.25">
      <c r="B146" t="s">
        <v>134</v>
      </c>
      <c r="D146" s="21" t="s">
        <v>135</v>
      </c>
      <c r="E146" s="90">
        <v>0</v>
      </c>
      <c r="F146" t="s">
        <v>21</v>
      </c>
      <c r="H146" s="21" t="s">
        <v>135</v>
      </c>
      <c r="I146" s="90">
        <v>0</v>
      </c>
      <c r="J146" t="s">
        <v>21</v>
      </c>
    </row>
    <row r="147" spans="2:15" x14ac:dyDescent="0.25">
      <c r="B147" t="s">
        <v>134</v>
      </c>
      <c r="D147" s="21" t="s">
        <v>136</v>
      </c>
      <c r="E147" s="91">
        <f>E139+E118/2</f>
        <v>3.5859999999999999</v>
      </c>
      <c r="F147" t="str">
        <f>F146</f>
        <v>in</v>
      </c>
      <c r="H147" s="21" t="s">
        <v>136</v>
      </c>
      <c r="I147" s="91">
        <f>I139+E118/2</f>
        <v>3.5859999999999999</v>
      </c>
      <c r="J147" t="str">
        <f>J146</f>
        <v>in</v>
      </c>
    </row>
    <row r="148" spans="2:15" ht="15.75" x14ac:dyDescent="0.3">
      <c r="B148" s="47" t="s">
        <v>124</v>
      </c>
      <c r="C148" s="47"/>
      <c r="D148" s="48" t="s">
        <v>125</v>
      </c>
      <c r="E148" s="51">
        <f>$E$117*(E140+E$138*(E$146)^2)</f>
        <v>102</v>
      </c>
      <c r="F148" s="12" t="s">
        <v>126</v>
      </c>
      <c r="G148" s="5"/>
      <c r="H148" s="48" t="s">
        <v>125</v>
      </c>
      <c r="I148" s="51">
        <f>$E$117*(I140+I$138*(I$146)^2)</f>
        <v>102</v>
      </c>
      <c r="J148" s="12" t="s">
        <v>126</v>
      </c>
      <c r="K148" s="12"/>
    </row>
    <row r="149" spans="2:15" ht="15.75" x14ac:dyDescent="0.3">
      <c r="B149" s="47" t="s">
        <v>127</v>
      </c>
      <c r="C149" s="47"/>
      <c r="D149" s="48" t="s">
        <v>128</v>
      </c>
      <c r="E149" s="51">
        <f>$E$117*(E$141+E$138*(E$147)^2)</f>
        <v>117.23987271999998</v>
      </c>
      <c r="F149" s="12" t="s">
        <v>126</v>
      </c>
      <c r="G149" s="5"/>
      <c r="H149" s="48" t="s">
        <v>128</v>
      </c>
      <c r="I149" s="51">
        <f>$E$117*(I$141+I$138*(I$147)^2)</f>
        <v>117.23987271999998</v>
      </c>
      <c r="J149" s="12" t="s">
        <v>126</v>
      </c>
      <c r="K149" s="12"/>
    </row>
    <row r="150" spans="2:15" x14ac:dyDescent="0.25">
      <c r="B150" s="89" t="s">
        <v>137</v>
      </c>
      <c r="C150" s="47"/>
      <c r="D150" s="48" t="s">
        <v>138</v>
      </c>
      <c r="E150" s="92">
        <f>MIN(E148:E149)</f>
        <v>102</v>
      </c>
      <c r="F150" s="12" t="s">
        <v>126</v>
      </c>
      <c r="G150" s="5"/>
      <c r="H150" s="48" t="s">
        <v>138</v>
      </c>
      <c r="I150" s="92">
        <f>MIN(I148:I149)</f>
        <v>102</v>
      </c>
      <c r="J150" s="12" t="s">
        <v>126</v>
      </c>
      <c r="K150" s="12"/>
    </row>
    <row r="151" spans="2:15" x14ac:dyDescent="0.25">
      <c r="B151" s="47"/>
      <c r="C151" s="47"/>
      <c r="D151" s="50" t="s">
        <v>139</v>
      </c>
      <c r="E151" s="51">
        <f>SQRT(E150/(E117*E138))</f>
        <v>3.4006802040680237</v>
      </c>
      <c r="F151" s="47" t="s">
        <v>21</v>
      </c>
      <c r="G151" s="5"/>
      <c r="H151" s="50" t="s">
        <v>139</v>
      </c>
      <c r="I151" s="51">
        <f>SQRT(I150/(E117*I138))</f>
        <v>3.4006802040680237</v>
      </c>
      <c r="J151" s="47" t="s">
        <v>21</v>
      </c>
      <c r="K151" s="47"/>
    </row>
    <row r="152" spans="2:15" x14ac:dyDescent="0.25">
      <c r="D152" s="21" t="s">
        <v>118</v>
      </c>
      <c r="E152" s="93">
        <f>E127*12*$E$112/E151</f>
        <v>70.574116235011701</v>
      </c>
      <c r="H152" s="21" t="s">
        <v>118</v>
      </c>
      <c r="I152" s="93">
        <f>I127*12*$E$112/I151</f>
        <v>70.574116235011701</v>
      </c>
      <c r="L152" t="s">
        <v>72</v>
      </c>
      <c r="N152" t="s">
        <v>73</v>
      </c>
      <c r="O152" s="52" t="s">
        <v>120</v>
      </c>
    </row>
    <row r="153" spans="2:15" ht="18.75" thickBot="1" x14ac:dyDescent="0.4">
      <c r="D153" s="86" t="s">
        <v>119</v>
      </c>
      <c r="E153" s="65">
        <v>24.88</v>
      </c>
      <c r="F153" t="s">
        <v>3</v>
      </c>
      <c r="H153" s="86" t="s">
        <v>140</v>
      </c>
      <c r="I153" s="65">
        <v>16.579999999999998</v>
      </c>
      <c r="J153" t="s">
        <v>3</v>
      </c>
      <c r="L153" s="94" t="s">
        <v>141</v>
      </c>
    </row>
    <row r="154" spans="2:15" ht="15.75" thickBot="1" x14ac:dyDescent="0.3">
      <c r="B154" s="47"/>
      <c r="C154" s="47"/>
      <c r="D154" s="42" t="s">
        <v>142</v>
      </c>
      <c r="E154" s="55">
        <f>E153*E138*$E$117</f>
        <v>219.44159999999999</v>
      </c>
      <c r="F154" s="56" t="s">
        <v>40</v>
      </c>
      <c r="H154" s="42" t="s">
        <v>143</v>
      </c>
      <c r="I154" s="55">
        <f>I153*E117*I138</f>
        <v>146.23559999999998</v>
      </c>
      <c r="J154" s="56" t="s">
        <v>40</v>
      </c>
      <c r="K154" s="5"/>
    </row>
    <row r="155" spans="2:15" x14ac:dyDescent="0.25">
      <c r="B155" s="47"/>
      <c r="C155" s="47"/>
      <c r="D155" s="50"/>
      <c r="E155" s="51"/>
      <c r="F155" s="47"/>
      <c r="G155" s="5"/>
      <c r="H155" s="50"/>
      <c r="I155" s="51"/>
      <c r="J155" s="47"/>
      <c r="K155" s="47"/>
    </row>
    <row r="156" spans="2:15" x14ac:dyDescent="0.25">
      <c r="B156" s="39" t="s">
        <v>32</v>
      </c>
      <c r="C156" s="28" t="s">
        <v>98</v>
      </c>
      <c r="F156" s="5"/>
      <c r="G156"/>
      <c r="H156" s="28" t="s">
        <v>98</v>
      </c>
      <c r="J156" s="5"/>
      <c r="K156" s="5"/>
      <c r="L156" s="28" t="s">
        <v>99</v>
      </c>
    </row>
    <row r="157" spans="2:15" x14ac:dyDescent="0.25">
      <c r="B157" t="s">
        <v>144</v>
      </c>
      <c r="E157" s="65" t="str">
        <f>IF(E154&gt;E125, "OK", "N/G")</f>
        <v>OK</v>
      </c>
      <c r="G157"/>
      <c r="I157" s="65" t="str">
        <f>IF(I154&gt;I125, "OK", "N/G")</f>
        <v>OK</v>
      </c>
    </row>
    <row r="158" spans="2:15" ht="15.75" thickBot="1" x14ac:dyDescent="0.3">
      <c r="B158" s="21"/>
      <c r="E158" s="5"/>
      <c r="F158" s="5"/>
      <c r="G158" s="6"/>
      <c r="I158" s="5"/>
      <c r="J158" s="5"/>
      <c r="K158" s="5"/>
    </row>
    <row r="159" spans="2:15" ht="15.75" thickBot="1" x14ac:dyDescent="0.3">
      <c r="B159" s="45"/>
      <c r="C159" s="66" t="s">
        <v>102</v>
      </c>
      <c r="D159" s="67" t="s">
        <v>103</v>
      </c>
      <c r="E159" s="68" t="str">
        <f>E135</f>
        <v>C9X15</v>
      </c>
      <c r="F159" s="5"/>
      <c r="G159" s="69" t="s">
        <v>104</v>
      </c>
      <c r="H159" s="67" t="s">
        <v>103</v>
      </c>
      <c r="I159" s="68" t="str">
        <f>I135</f>
        <v>C9X15</v>
      </c>
      <c r="J159" s="5"/>
      <c r="K159" s="5"/>
      <c r="L159" s="28" t="s">
        <v>105</v>
      </c>
    </row>
    <row r="160" spans="2:15" x14ac:dyDescent="0.25">
      <c r="B160" s="45"/>
      <c r="C160" s="70"/>
      <c r="D160" s="45"/>
      <c r="E160" s="31"/>
      <c r="F160" s="5"/>
      <c r="G160" s="71"/>
      <c r="H160" s="45"/>
      <c r="I160" s="31"/>
      <c r="J160" s="5"/>
      <c r="K160" s="5"/>
    </row>
    <row r="161" spans="1:15" ht="15.75" thickBot="1" x14ac:dyDescent="0.3">
      <c r="B161" s="1" t="s">
        <v>145</v>
      </c>
      <c r="C161" s="2"/>
      <c r="D161" s="2"/>
      <c r="E161" s="3"/>
      <c r="F161" s="3"/>
      <c r="G161" s="3"/>
      <c r="H161" s="2"/>
      <c r="I161" s="85"/>
      <c r="J161" s="2"/>
      <c r="K161" s="2"/>
      <c r="L161" s="2"/>
    </row>
    <row r="162" spans="1:15" ht="15.75" thickTop="1" x14ac:dyDescent="0.25">
      <c r="B162" s="45"/>
      <c r="C162" s="70"/>
      <c r="D162" s="45"/>
      <c r="E162" s="31"/>
      <c r="F162" s="5"/>
      <c r="G162" s="71"/>
      <c r="H162" s="45"/>
      <c r="I162" s="31"/>
      <c r="J162" s="5"/>
      <c r="K162" s="5"/>
    </row>
    <row r="163" spans="1:15" x14ac:dyDescent="0.25">
      <c r="B163" s="95" t="s">
        <v>146</v>
      </c>
      <c r="C163" s="70"/>
      <c r="D163" s="45"/>
      <c r="E163" s="31"/>
      <c r="F163" s="5"/>
      <c r="G163" s="71"/>
      <c r="H163" s="45"/>
      <c r="I163" s="31"/>
      <c r="J163" s="5"/>
      <c r="K163" s="5"/>
    </row>
    <row r="164" spans="1:15" x14ac:dyDescent="0.25">
      <c r="B164" t="s">
        <v>147</v>
      </c>
      <c r="C164" s="70"/>
      <c r="D164" s="45"/>
      <c r="E164" s="62">
        <v>1.25</v>
      </c>
      <c r="F164" s="5" t="s">
        <v>21</v>
      </c>
      <c r="G164" s="71"/>
      <c r="H164" s="96" t="s">
        <v>148</v>
      </c>
      <c r="I164" s="62">
        <v>1.25</v>
      </c>
      <c r="J164" s="5" t="s">
        <v>21</v>
      </c>
      <c r="K164" s="5"/>
      <c r="L164" t="s">
        <v>149</v>
      </c>
      <c r="N164" t="s">
        <v>73</v>
      </c>
      <c r="O164" t="s">
        <v>150</v>
      </c>
    </row>
    <row r="165" spans="1:15" x14ac:dyDescent="0.25">
      <c r="B165" t="s">
        <v>151</v>
      </c>
      <c r="C165" s="70"/>
      <c r="D165" s="45"/>
      <c r="E165" s="97">
        <f>$E$118+$E$117*E164</f>
        <v>8.5</v>
      </c>
      <c r="F165" s="5" t="s">
        <v>21</v>
      </c>
      <c r="G165" s="71"/>
      <c r="H165" s="96" t="s">
        <v>152</v>
      </c>
      <c r="I165" s="97">
        <f>$E$118+$E$117*I164</f>
        <v>8.5</v>
      </c>
      <c r="J165" s="5" t="s">
        <v>21</v>
      </c>
      <c r="K165" s="5"/>
    </row>
    <row r="166" spans="1:15" x14ac:dyDescent="0.25">
      <c r="B166" t="s">
        <v>153</v>
      </c>
      <c r="E166" s="10">
        <v>60</v>
      </c>
      <c r="F166" t="s">
        <v>154</v>
      </c>
      <c r="H166" s="9" t="s">
        <v>155</v>
      </c>
      <c r="I166" s="10">
        <v>60</v>
      </c>
      <c r="J166" t="s">
        <v>154</v>
      </c>
    </row>
    <row r="167" spans="1:15" x14ac:dyDescent="0.25">
      <c r="B167" s="98" t="s">
        <v>156</v>
      </c>
      <c r="C167" s="70"/>
      <c r="D167" s="45"/>
      <c r="E167" s="31">
        <v>9.8000000000000007</v>
      </c>
      <c r="F167" s="5" t="str">
        <f>F165</f>
        <v>in</v>
      </c>
      <c r="G167" s="71"/>
      <c r="H167" s="96" t="s">
        <v>157</v>
      </c>
      <c r="I167" s="31">
        <v>9.8000000000000007</v>
      </c>
      <c r="J167" s="5" t="str">
        <f>J165</f>
        <v>in</v>
      </c>
      <c r="K167" s="5"/>
    </row>
    <row r="168" spans="1:15" x14ac:dyDescent="0.25">
      <c r="B168" s="98" t="s">
        <v>158</v>
      </c>
      <c r="C168" s="70"/>
      <c r="D168" s="45"/>
      <c r="E168" s="31">
        <f>MIN(E142:E143)</f>
        <v>0.65900000000000003</v>
      </c>
      <c r="F168" s="5" t="str">
        <f>F167</f>
        <v>in</v>
      </c>
      <c r="G168" s="71"/>
      <c r="H168" s="96" t="s">
        <v>159</v>
      </c>
      <c r="I168" s="31">
        <f>MIN(I142:I143)</f>
        <v>0.65900000000000003</v>
      </c>
      <c r="J168" s="5" t="str">
        <f>J167</f>
        <v>in</v>
      </c>
      <c r="K168" s="5"/>
    </row>
    <row r="169" spans="1:15" x14ac:dyDescent="0.25">
      <c r="B169" s="98" t="s">
        <v>160</v>
      </c>
      <c r="C169" s="96"/>
      <c r="D169" s="99"/>
      <c r="E169" s="100">
        <f>E167/E168</f>
        <v>14.871016691957513</v>
      </c>
      <c r="F169" s="5"/>
      <c r="G169" s="71"/>
      <c r="H169" s="96" t="s">
        <v>161</v>
      </c>
      <c r="I169" s="100">
        <f>I167/I168</f>
        <v>14.871016691957513</v>
      </c>
      <c r="J169" s="5"/>
      <c r="K169" s="5"/>
    </row>
    <row r="170" spans="1:15" x14ac:dyDescent="0.25">
      <c r="B170" s="98" t="s">
        <v>162</v>
      </c>
      <c r="C170" s="96"/>
      <c r="D170" s="99"/>
      <c r="E170" s="101">
        <f>E152</f>
        <v>70.574116235011701</v>
      </c>
      <c r="F170" s="5"/>
      <c r="G170" s="71"/>
      <c r="H170" s="96" t="s">
        <v>163</v>
      </c>
      <c r="I170" s="101">
        <f>I152</f>
        <v>70.574116235011701</v>
      </c>
      <c r="J170" s="5"/>
      <c r="K170" s="5"/>
    </row>
    <row r="171" spans="1:15" x14ac:dyDescent="0.25">
      <c r="B171" s="45" t="s">
        <v>164</v>
      </c>
      <c r="C171" s="96"/>
      <c r="D171" s="96" t="s">
        <v>165</v>
      </c>
      <c r="E171" s="65" t="str">
        <f>IF(E170&gt;E169, "OK", "N/G")</f>
        <v>OK</v>
      </c>
      <c r="F171" s="5"/>
      <c r="G171" s="71"/>
      <c r="H171" s="96"/>
      <c r="I171" s="65" t="str">
        <f>IF(I170&gt;I169, "OK", "N/G")</f>
        <v>OK</v>
      </c>
      <c r="J171" s="5"/>
      <c r="K171" s="5"/>
    </row>
    <row r="172" spans="1:15" x14ac:dyDescent="0.25">
      <c r="B172" s="45"/>
      <c r="C172" s="70"/>
      <c r="D172" s="45"/>
      <c r="E172" s="31"/>
      <c r="F172" s="5"/>
      <c r="G172" s="71"/>
      <c r="H172" s="45"/>
      <c r="I172" s="31"/>
      <c r="J172" s="5"/>
      <c r="K172" s="5"/>
    </row>
    <row r="173" spans="1:15" x14ac:dyDescent="0.25">
      <c r="A173" s="28" t="s">
        <v>166</v>
      </c>
      <c r="B173" s="95" t="s">
        <v>167</v>
      </c>
      <c r="C173" s="70"/>
      <c r="D173" s="45"/>
      <c r="E173" s="31"/>
      <c r="F173" s="5"/>
      <c r="G173" s="71"/>
      <c r="H173" s="45"/>
      <c r="I173" s="31"/>
      <c r="J173" s="5"/>
      <c r="K173" s="5"/>
    </row>
    <row r="174" spans="1:15" x14ac:dyDescent="0.25">
      <c r="B174" t="s">
        <v>168</v>
      </c>
      <c r="C174" s="70"/>
      <c r="D174" s="96" t="s">
        <v>169</v>
      </c>
      <c r="E174" s="40">
        <f>0.02*E154</f>
        <v>4.3888319999999998</v>
      </c>
      <c r="F174" s="5" t="str">
        <f>F154</f>
        <v>kip</v>
      </c>
      <c r="G174" s="71"/>
      <c r="H174" s="96" t="s">
        <v>170</v>
      </c>
      <c r="I174" s="40">
        <f>0.02*I154</f>
        <v>2.9247119999999995</v>
      </c>
      <c r="J174" s="5" t="str">
        <f>J154</f>
        <v>kip</v>
      </c>
      <c r="K174" s="5"/>
    </row>
    <row r="175" spans="1:15" x14ac:dyDescent="0.25">
      <c r="B175" t="s">
        <v>171</v>
      </c>
      <c r="C175" s="70"/>
      <c r="D175" s="99" t="s">
        <v>172</v>
      </c>
      <c r="E175" s="40">
        <f>E174/E117</f>
        <v>2.1944159999999999</v>
      </c>
      <c r="F175" s="5" t="str">
        <f>F174</f>
        <v>kip</v>
      </c>
      <c r="G175" s="71"/>
      <c r="H175" s="99" t="s">
        <v>172</v>
      </c>
      <c r="I175" s="40">
        <f>I174/E117</f>
        <v>1.4623559999999998</v>
      </c>
      <c r="J175" s="5" t="str">
        <f>J174</f>
        <v>kip</v>
      </c>
      <c r="K175" s="5"/>
    </row>
    <row r="176" spans="1:15" x14ac:dyDescent="0.25">
      <c r="B176" t="s">
        <v>173</v>
      </c>
      <c r="C176" s="70"/>
      <c r="D176" s="96" t="s">
        <v>174</v>
      </c>
      <c r="E176" s="40">
        <f>E167*E175/E165</f>
        <v>2.5300325647058823</v>
      </c>
      <c r="F176" s="5"/>
      <c r="G176" s="71"/>
      <c r="H176" s="96" t="s">
        <v>174</v>
      </c>
      <c r="I176" s="40">
        <f>I167*I175/I165</f>
        <v>1.6860104470588233</v>
      </c>
      <c r="J176" s="5"/>
      <c r="K176" s="5"/>
      <c r="L176" t="s">
        <v>175</v>
      </c>
    </row>
    <row r="177" spans="1:15" x14ac:dyDescent="0.25">
      <c r="C177" s="70"/>
      <c r="D177" s="45"/>
      <c r="E177" s="31"/>
      <c r="F177" s="5"/>
      <c r="G177" s="71"/>
      <c r="H177" s="45"/>
      <c r="I177" s="31"/>
      <c r="J177" s="5"/>
      <c r="K177" s="5"/>
    </row>
    <row r="178" spans="1:15" x14ac:dyDescent="0.25">
      <c r="A178" s="28" t="s">
        <v>176</v>
      </c>
      <c r="B178" s="28" t="s">
        <v>96</v>
      </c>
      <c r="C178" s="70"/>
      <c r="D178" s="45"/>
      <c r="E178" s="31"/>
      <c r="F178" s="5"/>
      <c r="G178" s="71"/>
      <c r="H178" s="45"/>
      <c r="I178" s="31"/>
      <c r="J178" s="5"/>
      <c r="K178" s="5"/>
    </row>
    <row r="179" spans="1:15" x14ac:dyDescent="0.25">
      <c r="B179" s="95" t="s">
        <v>177</v>
      </c>
      <c r="C179" s="70"/>
      <c r="D179" s="45"/>
      <c r="E179" s="31"/>
      <c r="F179" s="5"/>
      <c r="G179" s="71"/>
      <c r="H179" s="45"/>
      <c r="I179" s="31"/>
      <c r="J179" s="5"/>
      <c r="K179" s="5"/>
    </row>
    <row r="180" spans="1:15" ht="15.75" thickBot="1" x14ac:dyDescent="0.3">
      <c r="B180" s="98" t="s">
        <v>178</v>
      </c>
      <c r="C180" s="70"/>
      <c r="D180" s="21" t="s">
        <v>179</v>
      </c>
      <c r="E180" s="31">
        <v>1</v>
      </c>
      <c r="F180" s="5" t="str">
        <f>F168</f>
        <v>in</v>
      </c>
      <c r="G180" s="71"/>
      <c r="H180" s="21" t="s">
        <v>179</v>
      </c>
      <c r="I180" s="31">
        <v>1</v>
      </c>
      <c r="J180" s="5" t="str">
        <f>J168</f>
        <v>in</v>
      </c>
      <c r="K180" s="5"/>
    </row>
    <row r="181" spans="1:15" ht="15.75" thickBot="1" x14ac:dyDescent="0.3">
      <c r="B181" s="95" t="s">
        <v>180</v>
      </c>
      <c r="C181" s="70"/>
      <c r="D181" s="66" t="s">
        <v>181</v>
      </c>
      <c r="E181" s="102">
        <v>0.25</v>
      </c>
      <c r="F181" s="56" t="str">
        <f>F180</f>
        <v>in</v>
      </c>
      <c r="G181" s="71"/>
      <c r="H181" s="66" t="s">
        <v>181</v>
      </c>
      <c r="I181" s="102">
        <v>0.25</v>
      </c>
      <c r="J181" s="56" t="str">
        <f>J180</f>
        <v>in</v>
      </c>
      <c r="K181" s="5"/>
      <c r="L181" t="s">
        <v>182</v>
      </c>
    </row>
    <row r="182" spans="1:15" x14ac:dyDescent="0.25">
      <c r="B182" s="103" t="s">
        <v>183</v>
      </c>
      <c r="D182" s="21" t="s">
        <v>184</v>
      </c>
      <c r="E182" s="97">
        <f>E180*E181</f>
        <v>0.25</v>
      </c>
      <c r="F182" s="12" t="s">
        <v>68</v>
      </c>
      <c r="G182" s="71"/>
      <c r="H182" s="21" t="s">
        <v>184</v>
      </c>
      <c r="I182" s="97">
        <f>I180*I181</f>
        <v>0.25</v>
      </c>
      <c r="J182" s="12" t="s">
        <v>68</v>
      </c>
      <c r="K182" s="12"/>
    </row>
    <row r="183" spans="1:15" x14ac:dyDescent="0.25">
      <c r="B183" s="98" t="s">
        <v>185</v>
      </c>
      <c r="C183" s="70"/>
      <c r="D183" s="70" t="s">
        <v>186</v>
      </c>
      <c r="E183" s="40">
        <f>E180*(E181^3)/12</f>
        <v>1.3020833333333333E-3</v>
      </c>
      <c r="F183" s="12" t="s">
        <v>126</v>
      </c>
      <c r="G183" s="71"/>
      <c r="H183" s="70" t="s">
        <v>186</v>
      </c>
      <c r="I183" s="40">
        <f>I180*(I181^3)/12</f>
        <v>1.3020833333333333E-3</v>
      </c>
      <c r="J183" s="12" t="s">
        <v>126</v>
      </c>
      <c r="K183" s="12"/>
    </row>
    <row r="184" spans="1:15" x14ac:dyDescent="0.25">
      <c r="B184" s="98" t="s">
        <v>187</v>
      </c>
      <c r="C184" s="70"/>
      <c r="D184" s="70" t="s">
        <v>188</v>
      </c>
      <c r="E184" s="40">
        <f>SQRT(E183/E182)</f>
        <v>7.2168783648703216E-2</v>
      </c>
      <c r="F184" s="5" t="str">
        <f>F180</f>
        <v>in</v>
      </c>
      <c r="G184" s="71"/>
      <c r="H184" s="70" t="s">
        <v>188</v>
      </c>
      <c r="I184" s="40">
        <f>SQRT(I183/I182)</f>
        <v>7.2168783648703216E-2</v>
      </c>
      <c r="J184" s="5" t="str">
        <f>J180</f>
        <v>in</v>
      </c>
      <c r="K184" s="5"/>
    </row>
    <row r="185" spans="1:15" x14ac:dyDescent="0.25">
      <c r="B185" t="s">
        <v>116</v>
      </c>
      <c r="D185" s="21" t="s">
        <v>117</v>
      </c>
      <c r="E185" s="10">
        <v>1</v>
      </c>
      <c r="H185" s="21" t="s">
        <v>117</v>
      </c>
      <c r="I185" s="10">
        <v>1</v>
      </c>
    </row>
    <row r="186" spans="1:15" x14ac:dyDescent="0.25">
      <c r="D186" s="21" t="s">
        <v>118</v>
      </c>
      <c r="E186" s="104">
        <f>E185*E167/E184</f>
        <v>135.79278331340001</v>
      </c>
      <c r="H186" s="21" t="s">
        <v>118</v>
      </c>
      <c r="I186" s="10">
        <f>I185*12*E167/3</f>
        <v>39.200000000000003</v>
      </c>
      <c r="L186" t="s">
        <v>72</v>
      </c>
      <c r="N186" t="s">
        <v>73</v>
      </c>
      <c r="O186" s="52" t="s">
        <v>120</v>
      </c>
    </row>
    <row r="187" spans="1:15" ht="18" x14ac:dyDescent="0.35">
      <c r="B187" s="95" t="s">
        <v>189</v>
      </c>
      <c r="C187" s="70"/>
      <c r="D187" s="86" t="s">
        <v>119</v>
      </c>
      <c r="E187" s="65">
        <v>12.21</v>
      </c>
      <c r="F187" t="s">
        <v>3</v>
      </c>
      <c r="H187" s="86" t="s">
        <v>140</v>
      </c>
      <c r="I187" s="65">
        <v>16.579999999999998</v>
      </c>
      <c r="J187" t="s">
        <v>3</v>
      </c>
      <c r="L187" t="s">
        <v>96</v>
      </c>
      <c r="N187" s="94" t="s">
        <v>141</v>
      </c>
    </row>
    <row r="188" spans="1:15" ht="15.75" x14ac:dyDescent="0.25">
      <c r="B188" t="s">
        <v>121</v>
      </c>
      <c r="D188" s="30" t="s">
        <v>57</v>
      </c>
      <c r="E188" s="105">
        <f>E176/(E187)</f>
        <v>0.207209874259286</v>
      </c>
      <c r="F188" s="16" t="s">
        <v>58</v>
      </c>
      <c r="H188" s="30" t="s">
        <v>57</v>
      </c>
      <c r="I188" s="40">
        <f>I176/(I187)</f>
        <v>0.10168941176470588</v>
      </c>
      <c r="J188" s="16" t="s">
        <v>58</v>
      </c>
      <c r="K188" s="16"/>
    </row>
    <row r="189" spans="1:15" x14ac:dyDescent="0.25">
      <c r="B189" s="98" t="s">
        <v>190</v>
      </c>
      <c r="C189" s="70"/>
      <c r="D189" s="96" t="s">
        <v>191</v>
      </c>
      <c r="E189" s="105">
        <f>E188/E181</f>
        <v>0.82883949703714399</v>
      </c>
      <c r="F189" s="5" t="str">
        <f>F180</f>
        <v>in</v>
      </c>
      <c r="G189" s="71"/>
      <c r="H189" s="96" t="s">
        <v>191</v>
      </c>
      <c r="I189" s="105">
        <f>I188/I181</f>
        <v>0.4067576470588235</v>
      </c>
      <c r="J189" s="5" t="str">
        <f>J180</f>
        <v>in</v>
      </c>
      <c r="K189" s="5"/>
    </row>
    <row r="190" spans="1:15" ht="15.75" thickBot="1" x14ac:dyDescent="0.3">
      <c r="B190" s="98" t="s">
        <v>192</v>
      </c>
      <c r="C190" s="70"/>
      <c r="D190" s="96" t="s">
        <v>193</v>
      </c>
      <c r="E190" s="100">
        <f>E117*E164</f>
        <v>2.5</v>
      </c>
      <c r="F190" s="5" t="str">
        <f>F180</f>
        <v>in</v>
      </c>
      <c r="G190" s="71"/>
      <c r="H190" s="96" t="s">
        <v>193</v>
      </c>
      <c r="I190" s="100">
        <f>E117*E164</f>
        <v>2.5</v>
      </c>
      <c r="J190" s="5" t="str">
        <f>J180</f>
        <v>in</v>
      </c>
      <c r="K190" s="5"/>
    </row>
    <row r="191" spans="1:15" ht="15.75" thickBot="1" x14ac:dyDescent="0.3">
      <c r="B191" s="95" t="s">
        <v>194</v>
      </c>
      <c r="C191" s="70"/>
      <c r="D191" s="106" t="s">
        <v>179</v>
      </c>
      <c r="E191" s="107">
        <f>IF(E189&gt;E190,E189,E190)</f>
        <v>2.5</v>
      </c>
      <c r="F191" s="56" t="str">
        <f>F190</f>
        <v>in</v>
      </c>
      <c r="G191" s="71"/>
      <c r="H191" s="106" t="s">
        <v>179</v>
      </c>
      <c r="I191" s="107">
        <f>IF(I189&gt;I190,I189,I190)</f>
        <v>2.5</v>
      </c>
      <c r="J191" s="56" t="str">
        <f>J190</f>
        <v>in</v>
      </c>
      <c r="K191" s="5"/>
    </row>
    <row r="192" spans="1:15" ht="15.75" thickBot="1" x14ac:dyDescent="0.3">
      <c r="B192" s="98" t="s">
        <v>195</v>
      </c>
      <c r="C192" s="70"/>
      <c r="D192" s="96" t="s">
        <v>36</v>
      </c>
      <c r="E192" s="100">
        <f>E167+E117*E164</f>
        <v>12.3</v>
      </c>
      <c r="F192" s="5" t="str">
        <f>F180</f>
        <v>in</v>
      </c>
      <c r="G192" s="71"/>
      <c r="H192" s="96" t="s">
        <v>36</v>
      </c>
      <c r="I192" s="100">
        <f>I167+I117*I164</f>
        <v>9.8000000000000007</v>
      </c>
      <c r="J192" s="5" t="str">
        <f>J180</f>
        <v>in</v>
      </c>
      <c r="K192" s="5"/>
    </row>
    <row r="193" spans="2:13" ht="15.75" thickBot="1" x14ac:dyDescent="0.3">
      <c r="B193" s="95" t="s">
        <v>196</v>
      </c>
      <c r="C193" s="70"/>
      <c r="D193" s="106" t="s">
        <v>36</v>
      </c>
      <c r="E193" s="107">
        <v>12.5</v>
      </c>
      <c r="F193" s="56" t="str">
        <f>F180</f>
        <v>in</v>
      </c>
      <c r="G193" s="71"/>
      <c r="H193" s="106" t="s">
        <v>36</v>
      </c>
      <c r="I193" s="107">
        <v>12.5</v>
      </c>
      <c r="J193" s="56" t="str">
        <f>J180</f>
        <v>in</v>
      </c>
      <c r="K193" s="5"/>
    </row>
    <row r="194" spans="2:13" ht="15.75" thickBot="1" x14ac:dyDescent="0.3">
      <c r="C194" s="95" t="s">
        <v>102</v>
      </c>
      <c r="D194" s="108"/>
      <c r="E194" s="109"/>
      <c r="F194" s="5"/>
      <c r="G194" s="95" t="s">
        <v>50</v>
      </c>
      <c r="H194" s="108"/>
      <c r="I194" s="109"/>
      <c r="J194" s="5"/>
      <c r="K194" s="5"/>
    </row>
    <row r="195" spans="2:13" ht="15.75" thickBot="1" x14ac:dyDescent="0.3">
      <c r="C195" s="110">
        <f>E181</f>
        <v>0.25</v>
      </c>
      <c r="D195" s="111">
        <f>E191</f>
        <v>2.5</v>
      </c>
      <c r="E195" s="112">
        <f>E193</f>
        <v>12.5</v>
      </c>
      <c r="F195" s="113" t="str">
        <f>F180</f>
        <v>in</v>
      </c>
      <c r="G195" s="110">
        <f>I181</f>
        <v>0.25</v>
      </c>
      <c r="H195" s="111">
        <f>I191</f>
        <v>2.5</v>
      </c>
      <c r="I195" s="112">
        <f>I193</f>
        <v>12.5</v>
      </c>
      <c r="J195" s="113" t="str">
        <f>J180</f>
        <v>in</v>
      </c>
      <c r="K195" s="97"/>
      <c r="L195" s="28" t="s">
        <v>105</v>
      </c>
    </row>
    <row r="197" spans="2:13" ht="15.75" thickBot="1" x14ac:dyDescent="0.3">
      <c r="B197" s="1" t="s">
        <v>197</v>
      </c>
      <c r="C197" s="2"/>
      <c r="D197" s="2"/>
      <c r="E197" s="3"/>
      <c r="F197" s="3"/>
      <c r="G197" s="3"/>
      <c r="H197" s="2"/>
      <c r="I197" s="85"/>
      <c r="J197" s="2"/>
      <c r="K197" s="2"/>
      <c r="L197" s="2"/>
    </row>
    <row r="198" spans="2:13" ht="15.75" thickTop="1" x14ac:dyDescent="0.25">
      <c r="B198" s="45"/>
      <c r="C198" s="70"/>
      <c r="D198" s="45"/>
      <c r="E198" s="31"/>
      <c r="F198" s="5"/>
      <c r="G198" s="71"/>
      <c r="H198" s="45"/>
      <c r="I198" s="31"/>
      <c r="J198" s="5"/>
      <c r="K198" s="5"/>
    </row>
    <row r="199" spans="2:13" x14ac:dyDescent="0.25">
      <c r="B199" s="95" t="s">
        <v>198</v>
      </c>
      <c r="C199" s="70"/>
      <c r="D199" s="45"/>
      <c r="E199" s="97">
        <f>E165</f>
        <v>8.5</v>
      </c>
      <c r="F199" s="114" t="str">
        <f>F195</f>
        <v>in</v>
      </c>
      <c r="G199" s="71"/>
      <c r="H199" s="45"/>
      <c r="I199" s="97">
        <f>I165</f>
        <v>8.5</v>
      </c>
      <c r="J199" s="114" t="str">
        <f>J195</f>
        <v>in</v>
      </c>
      <c r="K199" s="114"/>
    </row>
    <row r="200" spans="2:13" x14ac:dyDescent="0.25">
      <c r="B200" s="95" t="s">
        <v>199</v>
      </c>
      <c r="C200" s="70"/>
      <c r="D200" s="45"/>
      <c r="E200" s="40">
        <f>E199/50</f>
        <v>0.17</v>
      </c>
      <c r="F200" s="114" t="str">
        <f>F199</f>
        <v>in</v>
      </c>
      <c r="G200" s="71"/>
      <c r="H200" s="45"/>
      <c r="I200" s="40">
        <f>I199/50</f>
        <v>0.17</v>
      </c>
      <c r="J200" s="114" t="str">
        <f>J199</f>
        <v>in</v>
      </c>
      <c r="K200" s="114"/>
    </row>
    <row r="201" spans="2:13" x14ac:dyDescent="0.25">
      <c r="B201" s="95" t="s">
        <v>200</v>
      </c>
      <c r="C201" s="70"/>
      <c r="D201" s="45"/>
      <c r="E201" s="115">
        <f>E199+E164*E117</f>
        <v>11</v>
      </c>
      <c r="F201" s="114" t="str">
        <f>F200</f>
        <v>in</v>
      </c>
      <c r="G201" s="71"/>
      <c r="H201" s="45"/>
      <c r="I201" s="115">
        <f>I199+I164*I117</f>
        <v>8.5</v>
      </c>
      <c r="J201" s="114" t="str">
        <f>J200</f>
        <v>in</v>
      </c>
      <c r="K201" s="114"/>
    </row>
    <row r="202" spans="2:13" ht="15.75" thickBot="1" x14ac:dyDescent="0.3">
      <c r="B202" s="45"/>
      <c r="C202" s="95" t="s">
        <v>102</v>
      </c>
      <c r="D202" s="96"/>
      <c r="E202" s="100"/>
      <c r="F202" s="5"/>
      <c r="G202" s="95" t="s">
        <v>50</v>
      </c>
      <c r="H202" s="96"/>
      <c r="I202" s="100"/>
      <c r="J202" s="5"/>
      <c r="K202" s="5"/>
    </row>
    <row r="203" spans="2:13" ht="15.75" thickBot="1" x14ac:dyDescent="0.3">
      <c r="B203" s="45"/>
      <c r="C203" s="116" t="s">
        <v>201</v>
      </c>
      <c r="D203" s="117">
        <f>E199</f>
        <v>8.5</v>
      </c>
      <c r="E203" s="118">
        <v>12</v>
      </c>
      <c r="F203" s="119" t="str">
        <f>F188</f>
        <v>in2</v>
      </c>
      <c r="G203" s="116" t="s">
        <v>201</v>
      </c>
      <c r="H203" s="117">
        <f>I199</f>
        <v>8.5</v>
      </c>
      <c r="I203" s="118">
        <v>12</v>
      </c>
      <c r="J203" s="119" t="str">
        <f>J188</f>
        <v>in2</v>
      </c>
      <c r="K203" s="120"/>
      <c r="L203" s="28" t="s">
        <v>105</v>
      </c>
    </row>
    <row r="204" spans="2:13" ht="15.75" thickBot="1" x14ac:dyDescent="0.3">
      <c r="B204" s="72" t="s">
        <v>202</v>
      </c>
      <c r="C204" s="72"/>
      <c r="D204" s="72"/>
      <c r="E204" s="73"/>
      <c r="F204" s="73"/>
      <c r="G204" s="74"/>
      <c r="H204" s="73"/>
      <c r="I204" s="73"/>
      <c r="J204" s="73"/>
      <c r="K204" s="73"/>
      <c r="L204" s="73"/>
      <c r="M204" s="73"/>
    </row>
    <row r="205" spans="2:13" ht="15.75" thickTop="1" x14ac:dyDescent="0.25">
      <c r="B205" s="75"/>
      <c r="C205" s="75"/>
      <c r="D205" s="76"/>
      <c r="E205" s="76"/>
      <c r="F205" s="76"/>
      <c r="G205" s="77"/>
      <c r="H205" s="76"/>
      <c r="I205" s="76"/>
      <c r="J205" s="76"/>
      <c r="K205" s="76"/>
      <c r="L205" s="76"/>
      <c r="M205" s="76"/>
    </row>
    <row r="206" spans="2:13" x14ac:dyDescent="0.25">
      <c r="B206" s="76" t="s">
        <v>1</v>
      </c>
      <c r="C206" s="76"/>
      <c r="D206" s="78" t="s">
        <v>2</v>
      </c>
      <c r="E206" s="79">
        <v>29000</v>
      </c>
      <c r="F206" s="77" t="s">
        <v>3</v>
      </c>
      <c r="G206" s="77"/>
      <c r="H206" s="76"/>
      <c r="I206" s="76"/>
      <c r="J206" s="76"/>
      <c r="K206" s="76"/>
      <c r="L206" s="76"/>
      <c r="M206" s="76"/>
    </row>
    <row r="207" spans="2:13" ht="14.1" customHeight="1" x14ac:dyDescent="0.25">
      <c r="B207" s="76"/>
      <c r="C207" s="76"/>
      <c r="D207" s="78" t="s">
        <v>5</v>
      </c>
      <c r="E207" s="79">
        <v>11200</v>
      </c>
      <c r="F207" s="77" t="s">
        <v>3</v>
      </c>
      <c r="G207" s="77"/>
      <c r="H207" s="76"/>
      <c r="I207" s="76"/>
      <c r="J207" s="76"/>
      <c r="K207" s="76"/>
      <c r="L207" s="76"/>
      <c r="M207" s="76"/>
    </row>
    <row r="208" spans="2:13" ht="18" x14ac:dyDescent="0.35">
      <c r="B208" s="23" t="s">
        <v>6</v>
      </c>
      <c r="C208" s="23"/>
      <c r="D208" s="80" t="s">
        <v>7</v>
      </c>
      <c r="E208" s="81">
        <v>50</v>
      </c>
      <c r="F208" s="82" t="s">
        <v>3</v>
      </c>
      <c r="G208" s="77"/>
      <c r="H208" s="76"/>
      <c r="I208" s="76"/>
      <c r="J208" s="76"/>
      <c r="K208" s="76"/>
      <c r="L208" s="76"/>
      <c r="M208" s="76"/>
    </row>
    <row r="209" spans="2:13" ht="18" x14ac:dyDescent="0.35">
      <c r="B209" s="23"/>
      <c r="C209" s="23"/>
      <c r="D209" s="80" t="s">
        <v>9</v>
      </c>
      <c r="E209" s="81">
        <v>70</v>
      </c>
      <c r="F209" s="77" t="s">
        <v>3</v>
      </c>
      <c r="G209" s="82"/>
      <c r="H209" s="76"/>
      <c r="I209" s="76"/>
      <c r="J209" s="76"/>
      <c r="K209" s="76"/>
      <c r="L209" s="76"/>
      <c r="M209" s="76"/>
    </row>
    <row r="210" spans="2:13" x14ac:dyDescent="0.25">
      <c r="B210" s="4"/>
      <c r="C210" s="4"/>
      <c r="D210" s="5"/>
      <c r="E210" s="5"/>
      <c r="F210" s="5"/>
      <c r="G210" s="6"/>
      <c r="H210" s="5"/>
      <c r="I210" s="5"/>
    </row>
    <row r="211" spans="2:13" ht="15.75" thickBot="1" x14ac:dyDescent="0.3">
      <c r="B211" s="1" t="s">
        <v>203</v>
      </c>
      <c r="C211" s="1"/>
      <c r="D211" s="2"/>
      <c r="E211" s="2"/>
      <c r="F211" s="2"/>
      <c r="G211" s="3"/>
      <c r="H211" s="2"/>
      <c r="I211" s="2"/>
    </row>
    <row r="212" spans="2:13" ht="15.75" thickTop="1" x14ac:dyDescent="0.25">
      <c r="B212" s="4"/>
      <c r="C212" s="4"/>
      <c r="D212" s="5"/>
      <c r="E212" s="5"/>
      <c r="F212" s="5"/>
      <c r="G212" s="6"/>
      <c r="H212" s="5"/>
      <c r="I212" s="5"/>
    </row>
    <row r="213" spans="2:13" x14ac:dyDescent="0.25">
      <c r="B213" s="4"/>
      <c r="C213" s="4"/>
      <c r="D213" s="5"/>
      <c r="E213" s="5"/>
      <c r="F213" s="5"/>
      <c r="G213" s="6"/>
      <c r="H213" s="5"/>
      <c r="I213" s="5"/>
    </row>
    <row r="214" spans="2:13" x14ac:dyDescent="0.25">
      <c r="B214" s="4"/>
      <c r="C214" s="4"/>
      <c r="D214" s="5"/>
      <c r="E214" s="5"/>
      <c r="F214" s="5"/>
      <c r="G214" s="6"/>
      <c r="H214" s="5"/>
      <c r="I214" s="5"/>
    </row>
    <row r="215" spans="2:13" x14ac:dyDescent="0.25">
      <c r="B215" s="4"/>
      <c r="C215" s="4"/>
      <c r="D215" s="5"/>
      <c r="E215" s="5"/>
      <c r="F215" s="5"/>
      <c r="G215" s="6"/>
      <c r="H215" s="5"/>
      <c r="I215" s="5"/>
    </row>
    <row r="216" spans="2:13" x14ac:dyDescent="0.25">
      <c r="B216" s="4"/>
      <c r="C216" s="4"/>
      <c r="D216" s="5"/>
      <c r="E216" s="5"/>
      <c r="F216" s="5"/>
      <c r="G216" s="6"/>
      <c r="H216" s="5"/>
      <c r="I216" s="5"/>
    </row>
    <row r="217" spans="2:13" x14ac:dyDescent="0.25">
      <c r="B217" s="4"/>
      <c r="C217" s="4"/>
      <c r="D217" s="5"/>
      <c r="E217" s="5"/>
      <c r="F217" s="5"/>
      <c r="G217" s="6"/>
      <c r="H217" s="5"/>
      <c r="I217" s="5"/>
    </row>
    <row r="218" spans="2:13" x14ac:dyDescent="0.25">
      <c r="B218" s="4"/>
      <c r="C218" s="4"/>
      <c r="D218" s="5"/>
      <c r="E218" s="5"/>
      <c r="F218" s="5"/>
      <c r="G218" s="6"/>
      <c r="H218" s="5"/>
      <c r="I218" s="5"/>
    </row>
    <row r="219" spans="2:13" x14ac:dyDescent="0.25">
      <c r="B219" s="4"/>
      <c r="C219" s="4"/>
      <c r="D219" s="5"/>
      <c r="E219" s="5"/>
      <c r="F219" s="5"/>
      <c r="G219" s="6"/>
      <c r="H219" s="5"/>
      <c r="I219" s="5"/>
    </row>
    <row r="220" spans="2:13" x14ac:dyDescent="0.25">
      <c r="B220" s="4"/>
      <c r="C220" s="4"/>
      <c r="D220" s="5"/>
      <c r="E220" s="5"/>
      <c r="F220" s="5"/>
      <c r="G220" s="6"/>
      <c r="H220" s="5"/>
      <c r="I220" s="5"/>
    </row>
    <row r="221" spans="2:13" x14ac:dyDescent="0.25">
      <c r="B221" s="4"/>
      <c r="C221" s="4"/>
      <c r="D221" s="5"/>
      <c r="E221" s="5"/>
      <c r="F221" s="5"/>
      <c r="G221" s="6"/>
      <c r="H221" s="5"/>
      <c r="I221" s="5"/>
    </row>
    <row r="222" spans="2:13" x14ac:dyDescent="0.25">
      <c r="B222" s="4"/>
      <c r="C222" s="4"/>
      <c r="D222" s="5"/>
      <c r="E222" s="5"/>
      <c r="F222" s="5"/>
      <c r="G222" s="6"/>
      <c r="H222" s="5"/>
      <c r="I222" s="5"/>
    </row>
    <row r="223" spans="2:13" x14ac:dyDescent="0.25">
      <c r="B223" s="4"/>
      <c r="C223" s="4"/>
      <c r="D223" s="5"/>
      <c r="E223" s="5"/>
      <c r="F223" s="5"/>
      <c r="G223" s="6"/>
      <c r="H223" s="5"/>
      <c r="I223" s="5"/>
    </row>
    <row r="224" spans="2:13" x14ac:dyDescent="0.25">
      <c r="B224" s="4"/>
      <c r="C224" s="4"/>
      <c r="D224" s="5"/>
      <c r="E224" s="5"/>
      <c r="F224" s="5"/>
      <c r="G224" s="6"/>
      <c r="H224" s="5"/>
      <c r="I224" s="5"/>
    </row>
    <row r="225" spans="2:26" x14ac:dyDescent="0.25">
      <c r="B225" s="4"/>
      <c r="C225" s="4"/>
      <c r="D225" s="5"/>
      <c r="E225" s="5"/>
      <c r="F225" s="5"/>
      <c r="G225" s="6"/>
      <c r="H225" s="5"/>
      <c r="I225" s="5"/>
    </row>
    <row r="226" spans="2:26" x14ac:dyDescent="0.25">
      <c r="B226" s="4"/>
      <c r="C226" s="4"/>
      <c r="D226" s="5"/>
      <c r="E226" s="5"/>
      <c r="F226" s="5"/>
      <c r="G226" s="6"/>
      <c r="H226" s="5"/>
      <c r="I226" s="5"/>
    </row>
    <row r="227" spans="2:26" x14ac:dyDescent="0.25">
      <c r="B227" s="28" t="s">
        <v>24</v>
      </c>
    </row>
    <row r="228" spans="2:26" x14ac:dyDescent="0.25">
      <c r="B228" s="21" t="s">
        <v>25</v>
      </c>
      <c r="C228" t="s">
        <v>204</v>
      </c>
    </row>
    <row r="229" spans="2:26" x14ac:dyDescent="0.25">
      <c r="B229" s="21" t="s">
        <v>109</v>
      </c>
      <c r="C229" t="s">
        <v>205</v>
      </c>
    </row>
    <row r="230" spans="2:26" x14ac:dyDescent="0.25">
      <c r="B230" s="28" t="s">
        <v>27</v>
      </c>
    </row>
    <row r="231" spans="2:26" x14ac:dyDescent="0.25">
      <c r="B231" s="21" t="s">
        <v>28</v>
      </c>
      <c r="C231" t="s">
        <v>206</v>
      </c>
    </row>
    <row r="232" spans="2:26" x14ac:dyDescent="0.25">
      <c r="B232" s="21" t="s">
        <v>30</v>
      </c>
      <c r="C232" t="s">
        <v>207</v>
      </c>
      <c r="G232"/>
    </row>
    <row r="233" spans="2:26" x14ac:dyDescent="0.25">
      <c r="B233" s="21" t="s">
        <v>32</v>
      </c>
      <c r="C233" t="s">
        <v>208</v>
      </c>
      <c r="G233"/>
    </row>
    <row r="234" spans="2:26" x14ac:dyDescent="0.25">
      <c r="B234" s="28" t="s">
        <v>34</v>
      </c>
      <c r="G234"/>
    </row>
    <row r="235" spans="2:26" x14ac:dyDescent="0.25">
      <c r="G235"/>
    </row>
    <row r="236" spans="2:26" ht="15.75" thickBot="1" x14ac:dyDescent="0.3">
      <c r="B236" s="1" t="s">
        <v>209</v>
      </c>
      <c r="C236" s="2"/>
      <c r="D236" s="2"/>
      <c r="E236" s="2"/>
      <c r="F236" s="2"/>
      <c r="G236" s="2"/>
      <c r="H236" s="2"/>
      <c r="I236" s="2"/>
    </row>
    <row r="237" spans="2:26" ht="17.100000000000001" customHeight="1" thickTop="1" x14ac:dyDescent="0.25">
      <c r="G237"/>
      <c r="R237" s="121"/>
      <c r="S237" s="121"/>
      <c r="T237" s="121"/>
      <c r="U237" s="121"/>
      <c r="V237" s="122"/>
      <c r="W237" s="122"/>
      <c r="X237" s="121"/>
      <c r="Y237" s="122"/>
      <c r="Z237" s="123"/>
    </row>
    <row r="238" spans="2:26" ht="30.75" thickBot="1" x14ac:dyDescent="0.3">
      <c r="B238" s="124" t="s">
        <v>210</v>
      </c>
      <c r="C238" s="125" t="s">
        <v>211</v>
      </c>
      <c r="D238" s="125" t="s">
        <v>12</v>
      </c>
      <c r="E238" s="125" t="s">
        <v>212</v>
      </c>
      <c r="F238" s="126" t="s">
        <v>213</v>
      </c>
      <c r="G238" s="126" t="s">
        <v>15</v>
      </c>
      <c r="H238" s="125" t="s">
        <v>214</v>
      </c>
      <c r="I238" s="126" t="s">
        <v>215</v>
      </c>
      <c r="J238" s="127" t="s">
        <v>216</v>
      </c>
      <c r="K238" s="128"/>
      <c r="R238" s="121"/>
      <c r="S238" s="121"/>
      <c r="T238" s="121"/>
      <c r="U238" s="121"/>
      <c r="V238" s="122"/>
      <c r="W238" s="122"/>
      <c r="X238" s="121"/>
      <c r="Y238" s="122"/>
      <c r="Z238" s="123"/>
    </row>
    <row r="239" spans="2:26" ht="16.5" thickTop="1" thickBot="1" x14ac:dyDescent="0.3">
      <c r="B239" s="129"/>
      <c r="C239" s="129"/>
      <c r="D239" s="130" t="s">
        <v>217</v>
      </c>
      <c r="E239" s="130" t="s">
        <v>218</v>
      </c>
      <c r="F239" s="130" t="s">
        <v>219</v>
      </c>
      <c r="G239" s="131" t="s">
        <v>220</v>
      </c>
      <c r="H239" s="132"/>
      <c r="I239" s="131" t="s">
        <v>221</v>
      </c>
      <c r="J239" s="131" t="s">
        <v>221</v>
      </c>
      <c r="K239" s="133"/>
      <c r="R239" s="121"/>
      <c r="S239" s="121"/>
      <c r="T239" s="121"/>
      <c r="U239" s="121"/>
      <c r="V239" s="122"/>
      <c r="W239" s="122"/>
      <c r="X239" s="121"/>
      <c r="Y239" s="122"/>
      <c r="Z239" s="123"/>
    </row>
    <row r="240" spans="2:26" ht="15.75" thickTop="1" x14ac:dyDescent="0.25">
      <c r="B240" s="134">
        <v>0</v>
      </c>
      <c r="C240" s="135" t="s">
        <v>222</v>
      </c>
      <c r="D240" s="136">
        <v>0</v>
      </c>
      <c r="E240" s="135">
        <v>0</v>
      </c>
      <c r="F240" s="137">
        <v>0</v>
      </c>
      <c r="G240" s="138">
        <v>0</v>
      </c>
      <c r="H240" s="139">
        <v>0</v>
      </c>
      <c r="I240" s="139">
        <v>0</v>
      </c>
      <c r="J240" s="139">
        <v>0</v>
      </c>
      <c r="K240" s="31"/>
      <c r="R240" s="121"/>
      <c r="S240" s="121"/>
      <c r="T240" s="121"/>
      <c r="U240" s="121"/>
      <c r="V240" s="122"/>
      <c r="W240" s="122"/>
      <c r="X240" s="121"/>
      <c r="Y240" s="122"/>
      <c r="Z240" s="123"/>
    </row>
    <row r="241" spans="2:26" x14ac:dyDescent="0.25">
      <c r="B241" s="134">
        <v>1</v>
      </c>
      <c r="C241" s="135" t="s">
        <v>223</v>
      </c>
      <c r="D241" s="136" t="s">
        <v>224</v>
      </c>
      <c r="E241" s="135">
        <v>14</v>
      </c>
      <c r="F241" s="137">
        <f>VLOOKUP(D241, W_PROP, 29, FALSE)</f>
        <v>1110</v>
      </c>
      <c r="G241" s="138">
        <f>$E$206/1000</f>
        <v>29</v>
      </c>
      <c r="H241" s="139" t="s">
        <v>225</v>
      </c>
      <c r="I241" s="139" t="s">
        <v>226</v>
      </c>
      <c r="J241" s="139">
        <f>F241*G241*1000/(E241)</f>
        <v>2299285.7142857141</v>
      </c>
      <c r="K241" s="31"/>
      <c r="R241" s="121"/>
      <c r="S241" s="121"/>
      <c r="T241" s="121"/>
      <c r="U241" s="121"/>
      <c r="V241" s="122"/>
      <c r="W241" s="122"/>
      <c r="X241" s="121"/>
      <c r="Y241" s="122"/>
      <c r="Z241" s="123"/>
    </row>
    <row r="242" spans="2:26" x14ac:dyDescent="0.25">
      <c r="B242" s="99">
        <v>2</v>
      </c>
      <c r="C242" s="99" t="s">
        <v>227</v>
      </c>
      <c r="D242" s="140" t="s">
        <v>224</v>
      </c>
      <c r="E242" s="99">
        <v>14</v>
      </c>
      <c r="F242" s="141">
        <f>VLOOKUP(D242, W_PROP, 29, FALSE)</f>
        <v>1110</v>
      </c>
      <c r="G242" s="5">
        <f>E206/1000</f>
        <v>29</v>
      </c>
      <c r="H242" s="31" t="s">
        <v>225</v>
      </c>
      <c r="I242" s="31" t="s">
        <v>226</v>
      </c>
      <c r="J242" s="31">
        <f>F242*G242*1000/(E242)</f>
        <v>2299285.7142857141</v>
      </c>
      <c r="K242" s="31"/>
    </row>
    <row r="243" spans="2:26" x14ac:dyDescent="0.25">
      <c r="B243" s="99">
        <v>3</v>
      </c>
      <c r="C243" s="99" t="s">
        <v>228</v>
      </c>
      <c r="D243" s="140" t="s">
        <v>229</v>
      </c>
      <c r="E243" s="99">
        <v>30</v>
      </c>
      <c r="F243" s="141">
        <f>VLOOKUP(D243, W_PROP, 29, FALSE)</f>
        <v>2100</v>
      </c>
      <c r="G243" s="5">
        <f>E206/1000</f>
        <v>29</v>
      </c>
      <c r="H243" s="31" t="s">
        <v>225</v>
      </c>
      <c r="I243" s="31" t="s">
        <v>226</v>
      </c>
      <c r="J243" s="31">
        <f>F243*G243*1000/(E243)</f>
        <v>2030000</v>
      </c>
      <c r="K243" s="31"/>
      <c r="R243" s="121"/>
      <c r="S243" s="121"/>
      <c r="T243" s="121"/>
      <c r="U243" s="121"/>
      <c r="V243" s="122"/>
      <c r="W243" s="122"/>
      <c r="X243" s="121"/>
      <c r="Y243" s="122"/>
      <c r="Z243" s="123"/>
    </row>
    <row r="244" spans="2:26" ht="15.75" thickBot="1" x14ac:dyDescent="0.3">
      <c r="B244" s="142">
        <v>4</v>
      </c>
      <c r="C244" s="142" t="s">
        <v>230</v>
      </c>
      <c r="D244" s="143" t="s">
        <v>229</v>
      </c>
      <c r="E244" s="142">
        <v>30</v>
      </c>
      <c r="F244" s="144">
        <f>VLOOKUP(D244, W_PROP, 29, FALSE)</f>
        <v>2100</v>
      </c>
      <c r="G244" s="2">
        <f>E206/1000</f>
        <v>29</v>
      </c>
      <c r="H244" s="145" t="s">
        <v>225</v>
      </c>
      <c r="I244" s="145" t="s">
        <v>226</v>
      </c>
      <c r="J244" s="145">
        <f>F244*G244*1000/(E244)</f>
        <v>2030000</v>
      </c>
      <c r="K244" s="31"/>
      <c r="R244" s="121"/>
      <c r="S244" s="121"/>
      <c r="T244" s="121"/>
      <c r="U244" s="121"/>
      <c r="V244" s="122"/>
      <c r="W244" s="122"/>
      <c r="X244" s="121"/>
      <c r="Y244" s="122"/>
      <c r="Z244" s="123"/>
    </row>
    <row r="245" spans="2:26" ht="15.75" thickTop="1" x14ac:dyDescent="0.25">
      <c r="B245" s="99"/>
      <c r="C245" s="31"/>
      <c r="D245" s="31"/>
      <c r="E245" s="31"/>
      <c r="F245" s="31"/>
      <c r="G245" s="31"/>
      <c r="H245" s="31"/>
      <c r="I245" s="31"/>
      <c r="J245" s="31"/>
      <c r="K245" s="31"/>
      <c r="R245" s="121"/>
      <c r="S245" s="121"/>
      <c r="T245" s="121"/>
      <c r="U245" s="121"/>
      <c r="V245" s="122"/>
      <c r="W245" s="122"/>
      <c r="X245" s="121"/>
      <c r="Y245" s="122"/>
      <c r="Z245" s="123"/>
    </row>
    <row r="246" spans="2:26" ht="15.75" thickBot="1" x14ac:dyDescent="0.3">
      <c r="B246" s="1" t="s">
        <v>231</v>
      </c>
      <c r="C246" s="2"/>
      <c r="D246" s="2"/>
      <c r="E246" s="2"/>
      <c r="F246" s="2"/>
      <c r="G246" s="2"/>
      <c r="H246" s="2"/>
      <c r="I246" s="2"/>
      <c r="R246" s="121"/>
      <c r="S246" s="121"/>
      <c r="T246" s="121"/>
      <c r="U246" s="121"/>
      <c r="V246" s="122"/>
      <c r="W246" s="122"/>
      <c r="X246" s="121"/>
      <c r="Y246" s="122"/>
      <c r="Z246" s="123"/>
    </row>
    <row r="247" spans="2:26" ht="15.75" thickTop="1" x14ac:dyDescent="0.25">
      <c r="R247" s="121"/>
      <c r="S247" s="121"/>
      <c r="T247" s="121"/>
      <c r="U247" s="121"/>
      <c r="V247" s="122"/>
      <c r="W247" s="122"/>
      <c r="X247" s="121"/>
      <c r="Y247" s="122"/>
      <c r="Z247" s="123"/>
    </row>
    <row r="248" spans="2:26" ht="39" thickBot="1" x14ac:dyDescent="0.3">
      <c r="B248" s="125" t="s">
        <v>210</v>
      </c>
      <c r="C248" s="125" t="s">
        <v>232</v>
      </c>
      <c r="D248" s="146" t="s">
        <v>233</v>
      </c>
      <c r="E248" s="125" t="s">
        <v>234</v>
      </c>
      <c r="F248" s="125" t="s">
        <v>235</v>
      </c>
      <c r="G248" s="126" t="s">
        <v>236</v>
      </c>
      <c r="H248" s="126" t="s">
        <v>237</v>
      </c>
      <c r="I248" s="126" t="s">
        <v>238</v>
      </c>
      <c r="J248" s="147" t="s">
        <v>239</v>
      </c>
      <c r="K248" s="148"/>
      <c r="R248" s="121"/>
      <c r="S248" s="121"/>
      <c r="T248" s="121"/>
      <c r="U248" s="121"/>
      <c r="V248" s="122"/>
      <c r="W248" s="122"/>
      <c r="X248" s="121"/>
      <c r="Y248" s="122"/>
      <c r="Z248" s="123"/>
    </row>
    <row r="249" spans="2:26" ht="16.5" thickTop="1" thickBot="1" x14ac:dyDescent="0.3">
      <c r="B249" s="149" t="s">
        <v>240</v>
      </c>
      <c r="C249" s="150" t="s">
        <v>241</v>
      </c>
      <c r="D249" s="130" t="s">
        <v>83</v>
      </c>
      <c r="E249" s="130"/>
      <c r="F249" s="130" t="s">
        <v>217</v>
      </c>
      <c r="G249" s="130" t="s">
        <v>218</v>
      </c>
      <c r="H249" s="131" t="s">
        <v>219</v>
      </c>
      <c r="I249" s="131" t="s">
        <v>221</v>
      </c>
      <c r="J249" s="151"/>
      <c r="K249" s="152"/>
      <c r="R249" s="121"/>
      <c r="S249" s="121"/>
      <c r="T249" s="121"/>
      <c r="U249" s="121"/>
      <c r="V249" s="122"/>
      <c r="W249" s="122"/>
      <c r="X249" s="121"/>
      <c r="Y249" s="122"/>
      <c r="Z249" s="123"/>
    </row>
    <row r="250" spans="2:26" ht="15.75" thickTop="1" x14ac:dyDescent="0.25">
      <c r="B250" s="153">
        <f>Q199</f>
        <v>0</v>
      </c>
      <c r="C250" s="153" t="s">
        <v>242</v>
      </c>
      <c r="D250" s="139" t="str">
        <f>H241</f>
        <v>Pin</v>
      </c>
      <c r="E250" s="153"/>
      <c r="F250" s="153"/>
      <c r="G250" s="153"/>
      <c r="H250" s="154"/>
      <c r="I250" s="155">
        <f>IF(D250="Pin",10,1)</f>
        <v>10</v>
      </c>
      <c r="J250">
        <v>1.81</v>
      </c>
      <c r="L250" s="41" t="s">
        <v>243</v>
      </c>
      <c r="N250" t="s">
        <v>244</v>
      </c>
      <c r="O250" t="s">
        <v>245</v>
      </c>
      <c r="R250" s="121"/>
      <c r="S250" s="121"/>
      <c r="T250" s="121"/>
      <c r="U250" s="121"/>
      <c r="V250" s="122"/>
      <c r="W250" s="122"/>
      <c r="X250" s="121"/>
      <c r="Y250" s="122"/>
      <c r="Z250" s="123"/>
    </row>
    <row r="251" spans="2:26" ht="15.75" thickBot="1" x14ac:dyDescent="0.3">
      <c r="B251" s="145"/>
      <c r="C251" s="145" t="s">
        <v>246</v>
      </c>
      <c r="D251" s="145" t="str">
        <f>I241</f>
        <v>Normal</v>
      </c>
      <c r="E251" s="145">
        <v>1</v>
      </c>
      <c r="F251" s="145">
        <v>0</v>
      </c>
      <c r="G251" s="145">
        <v>3</v>
      </c>
      <c r="H251" s="145">
        <v>4</v>
      </c>
      <c r="I251" s="156">
        <f>(VLOOKUP(E251,B240:J244,9,FALSE)+VLOOKUP(F251,B240:J244,9,FALSE))/(VLOOKUP(G251,B240:J244,9,FALSE)+VLOOKUP(H251,B240:J244,9,FALSE))</f>
        <v>0.56632653061224481</v>
      </c>
      <c r="J251" s="145"/>
      <c r="K251" s="31"/>
      <c r="R251" s="121"/>
      <c r="S251" s="121"/>
      <c r="T251" s="121"/>
      <c r="U251" s="121"/>
      <c r="V251" s="122"/>
      <c r="W251" s="122"/>
      <c r="X251" s="121"/>
      <c r="Y251" s="122"/>
      <c r="Z251" s="123"/>
    </row>
    <row r="252" spans="2:26" ht="16.5" thickTop="1" thickBot="1" x14ac:dyDescent="0.3">
      <c r="C252" s="20" t="s">
        <v>49</v>
      </c>
      <c r="D252" s="2"/>
      <c r="E252" s="2"/>
      <c r="F252" s="5"/>
      <c r="H252" s="20" t="s">
        <v>50</v>
      </c>
      <c r="I252" s="2"/>
      <c r="J252" s="2"/>
      <c r="K252" s="2"/>
      <c r="L252" s="20"/>
      <c r="M252"/>
      <c r="R252" s="121"/>
      <c r="S252" s="121"/>
      <c r="T252" s="121"/>
      <c r="U252" s="121"/>
      <c r="V252" s="122"/>
      <c r="W252" s="122"/>
      <c r="X252" s="121"/>
      <c r="Y252" s="122"/>
      <c r="Z252" s="123"/>
    </row>
    <row r="253" spans="2:26" ht="15.75" thickTop="1" x14ac:dyDescent="0.25">
      <c r="B253" s="28"/>
      <c r="C253" s="5"/>
      <c r="D253" s="5"/>
      <c r="E253" s="5"/>
      <c r="F253" s="5"/>
      <c r="H253" s="5"/>
      <c r="I253" s="5"/>
      <c r="R253" s="121"/>
      <c r="S253" s="121"/>
      <c r="T253" s="121"/>
      <c r="U253" s="121"/>
      <c r="V253" s="122"/>
      <c r="W253" s="122"/>
      <c r="X253" s="121"/>
      <c r="Y253" s="122"/>
      <c r="Z253" s="123"/>
    </row>
    <row r="254" spans="2:26" x14ac:dyDescent="0.25">
      <c r="B254" s="39" t="s">
        <v>51</v>
      </c>
      <c r="C254" s="4" t="s">
        <v>52</v>
      </c>
      <c r="D254" s="5"/>
      <c r="E254" s="5"/>
      <c r="F254" s="5"/>
      <c r="H254" s="4" t="s">
        <v>52</v>
      </c>
      <c r="L254" s="40"/>
      <c r="M254" s="16"/>
      <c r="W254" s="122"/>
      <c r="X254" s="121"/>
      <c r="Y254" s="122"/>
      <c r="Z254" s="123"/>
    </row>
    <row r="255" spans="2:26" x14ac:dyDescent="0.25">
      <c r="B255" s="31"/>
      <c r="C255" s="31"/>
      <c r="D255" s="21" t="s">
        <v>117</v>
      </c>
      <c r="E255" s="10">
        <f>$J$250</f>
        <v>1.81</v>
      </c>
      <c r="H255" s="21" t="s">
        <v>117</v>
      </c>
      <c r="I255" s="10">
        <f>$J$250</f>
        <v>1.81</v>
      </c>
      <c r="L255" t="s">
        <v>247</v>
      </c>
      <c r="W255" s="122"/>
      <c r="X255" s="121"/>
      <c r="Y255" s="122"/>
      <c r="Z255" s="123"/>
    </row>
    <row r="256" spans="2:26" x14ac:dyDescent="0.25">
      <c r="D256" s="21" t="s">
        <v>248</v>
      </c>
      <c r="E256" s="157">
        <v>1.66</v>
      </c>
      <c r="H256" s="21" t="s">
        <v>248</v>
      </c>
      <c r="I256" s="157">
        <v>1.66</v>
      </c>
      <c r="X256" s="121"/>
      <c r="Y256" s="122"/>
      <c r="Z256" s="123"/>
    </row>
    <row r="257" spans="2:26" ht="15.75" thickBot="1" x14ac:dyDescent="0.3">
      <c r="D257" s="21" t="s">
        <v>118</v>
      </c>
      <c r="E257" s="158">
        <f>E255*$E$241/E256</f>
        <v>15.265060240963857</v>
      </c>
      <c r="F257" t="s">
        <v>37</v>
      </c>
      <c r="H257" s="21" t="s">
        <v>118</v>
      </c>
      <c r="I257" s="158">
        <f>I255*$E$241/I256</f>
        <v>15.265060240963857</v>
      </c>
      <c r="J257" t="s">
        <v>37</v>
      </c>
      <c r="X257" s="121"/>
      <c r="Y257" s="122"/>
      <c r="Z257" s="123"/>
    </row>
    <row r="258" spans="2:26" ht="18.75" thickBot="1" x14ac:dyDescent="0.4">
      <c r="B258" s="28" t="s">
        <v>96</v>
      </c>
      <c r="D258" s="42" t="s">
        <v>79</v>
      </c>
      <c r="E258" s="55">
        <v>1095</v>
      </c>
      <c r="F258" s="56" t="str">
        <f>F257</f>
        <v>ft</v>
      </c>
      <c r="G258"/>
      <c r="H258" s="42" t="s">
        <v>97</v>
      </c>
      <c r="I258" s="55">
        <v>729</v>
      </c>
      <c r="J258" s="56" t="str">
        <f>F258</f>
        <v>ft</v>
      </c>
      <c r="L258" s="75" t="s">
        <v>105</v>
      </c>
      <c r="N258" t="s">
        <v>73</v>
      </c>
      <c r="O258" s="52" t="s">
        <v>249</v>
      </c>
      <c r="X258" s="121"/>
      <c r="Y258" s="122"/>
      <c r="Z258" s="123"/>
    </row>
    <row r="259" spans="2:26" x14ac:dyDescent="0.25">
      <c r="G259"/>
      <c r="X259" s="121"/>
      <c r="Y259" s="122"/>
      <c r="Z259" s="123"/>
    </row>
    <row r="260" spans="2:26" ht="15.75" thickBot="1" x14ac:dyDescent="0.3">
      <c r="B260" s="1" t="s">
        <v>250</v>
      </c>
      <c r="C260" s="2"/>
      <c r="D260" s="2"/>
      <c r="E260" s="3"/>
      <c r="F260" s="3"/>
      <c r="G260" s="3"/>
      <c r="H260" s="2"/>
      <c r="I260" s="85"/>
      <c r="J260" s="2"/>
      <c r="K260" s="2"/>
      <c r="L260" s="2" t="s">
        <v>15</v>
      </c>
      <c r="X260" s="121"/>
      <c r="Y260" s="122"/>
      <c r="Z260" s="123"/>
    </row>
    <row r="261" spans="2:26" ht="15.75" thickTop="1" x14ac:dyDescent="0.25">
      <c r="G261"/>
      <c r="X261" s="121"/>
      <c r="Y261" s="122"/>
      <c r="Z261" s="123"/>
    </row>
    <row r="262" spans="2:26" x14ac:dyDescent="0.25">
      <c r="B262" s="7" t="s">
        <v>38</v>
      </c>
      <c r="D262" s="21" t="s">
        <v>39</v>
      </c>
      <c r="E262" s="10">
        <v>240</v>
      </c>
      <c r="F262" s="8" t="s">
        <v>40</v>
      </c>
      <c r="I262" s="83">
        <f>E262</f>
        <v>240</v>
      </c>
      <c r="J262" s="29" t="s">
        <v>40</v>
      </c>
      <c r="K262" s="29"/>
      <c r="X262" s="121"/>
      <c r="Y262" s="122"/>
      <c r="Z262" s="123"/>
    </row>
    <row r="263" spans="2:26" x14ac:dyDescent="0.25">
      <c r="B263" s="7" t="s">
        <v>41</v>
      </c>
      <c r="D263" s="21" t="s">
        <v>42</v>
      </c>
      <c r="E263" s="10">
        <v>450</v>
      </c>
      <c r="F263" s="8" t="s">
        <v>40</v>
      </c>
      <c r="I263" s="83">
        <f>E263</f>
        <v>450</v>
      </c>
      <c r="J263" s="29" t="s">
        <v>40</v>
      </c>
      <c r="K263" s="29"/>
      <c r="X263" s="121"/>
      <c r="Y263" s="122"/>
      <c r="Z263" s="123"/>
    </row>
    <row r="264" spans="2:26" ht="18" x14ac:dyDescent="0.35">
      <c r="B264" s="7" t="s">
        <v>43</v>
      </c>
      <c r="D264" s="30" t="s">
        <v>44</v>
      </c>
      <c r="E264" s="31">
        <v>0.9</v>
      </c>
      <c r="F264" s="5"/>
      <c r="H264" s="30" t="s">
        <v>45</v>
      </c>
      <c r="I264" s="31">
        <v>1.5</v>
      </c>
      <c r="L264" s="29"/>
    </row>
    <row r="265" spans="2:26" ht="18" x14ac:dyDescent="0.35">
      <c r="B265" s="7"/>
      <c r="D265" s="32" t="s">
        <v>46</v>
      </c>
      <c r="E265" s="33">
        <v>0.75</v>
      </c>
      <c r="F265" s="5"/>
      <c r="H265" s="30" t="s">
        <v>45</v>
      </c>
      <c r="I265" s="31">
        <v>2</v>
      </c>
      <c r="L265" s="29"/>
    </row>
    <row r="266" spans="2:26" x14ac:dyDescent="0.25">
      <c r="C266" s="21"/>
      <c r="F266" s="21"/>
      <c r="G266"/>
      <c r="I266" s="21"/>
      <c r="M266"/>
    </row>
    <row r="267" spans="2:26" ht="15.75" thickBot="1" x14ac:dyDescent="0.3">
      <c r="C267" s="20" t="s">
        <v>49</v>
      </c>
      <c r="D267" s="2"/>
      <c r="E267" s="2"/>
      <c r="F267" s="5"/>
      <c r="H267" s="20" t="s">
        <v>50</v>
      </c>
      <c r="I267" s="2"/>
      <c r="J267" s="2"/>
      <c r="K267" s="2"/>
      <c r="L267" s="20"/>
      <c r="M267"/>
    </row>
    <row r="268" spans="2:26" ht="15.75" thickTop="1" x14ac:dyDescent="0.25">
      <c r="B268" s="28"/>
      <c r="C268" s="5"/>
      <c r="D268" s="5"/>
      <c r="E268" s="5"/>
      <c r="F268" s="5"/>
      <c r="H268" s="5"/>
      <c r="I268" s="5"/>
    </row>
    <row r="269" spans="2:26" ht="15.75" thickBot="1" x14ac:dyDescent="0.3">
      <c r="B269" s="39" t="s">
        <v>51</v>
      </c>
      <c r="C269" s="4" t="s">
        <v>52</v>
      </c>
      <c r="D269" s="5"/>
      <c r="E269" s="5"/>
      <c r="F269" s="5"/>
      <c r="H269" s="4" t="s">
        <v>52</v>
      </c>
      <c r="L269" s="40"/>
      <c r="M269" s="16"/>
    </row>
    <row r="270" spans="2:26" ht="15.75" thickBot="1" x14ac:dyDescent="0.3">
      <c r="B270" s="41" t="s">
        <v>53</v>
      </c>
      <c r="D270" s="42" t="s">
        <v>54</v>
      </c>
      <c r="E270" s="43">
        <f>1.2*E262+1.6*E263</f>
        <v>1008</v>
      </c>
      <c r="F270" s="44" t="str">
        <f>F262</f>
        <v>kip</v>
      </c>
      <c r="H270" s="42" t="s">
        <v>55</v>
      </c>
      <c r="I270" s="43">
        <f>I262+I263</f>
        <v>690</v>
      </c>
      <c r="J270" s="44" t="str">
        <f>F270</f>
        <v>kip</v>
      </c>
      <c r="K270" s="16"/>
    </row>
    <row r="271" spans="2:26" x14ac:dyDescent="0.25">
      <c r="B271" s="41"/>
      <c r="D271" s="30"/>
      <c r="E271" s="31"/>
      <c r="F271" s="16"/>
      <c r="H271" s="30"/>
      <c r="I271" s="31"/>
      <c r="J271" s="16"/>
      <c r="K271" s="16"/>
    </row>
    <row r="272" spans="2:26" x14ac:dyDescent="0.25">
      <c r="B272" s="159" t="s">
        <v>251</v>
      </c>
      <c r="F272" s="16"/>
      <c r="H272" s="30"/>
      <c r="I272" s="31"/>
      <c r="J272" s="16"/>
      <c r="K272" s="16"/>
    </row>
    <row r="273" spans="2:15" x14ac:dyDescent="0.25">
      <c r="F273" s="16"/>
      <c r="H273" s="30"/>
      <c r="I273" s="31"/>
      <c r="J273" s="16"/>
      <c r="K273" s="16"/>
    </row>
    <row r="274" spans="2:15" x14ac:dyDescent="0.25">
      <c r="B274" s="12" t="s">
        <v>252</v>
      </c>
      <c r="C274" s="12"/>
      <c r="D274" s="59" t="s">
        <v>253</v>
      </c>
      <c r="E274" s="46" t="s">
        <v>224</v>
      </c>
      <c r="H274" s="59" t="s">
        <v>253</v>
      </c>
      <c r="I274" s="46" t="s">
        <v>224</v>
      </c>
      <c r="K274" s="16"/>
    </row>
    <row r="275" spans="2:15" x14ac:dyDescent="0.25">
      <c r="K275" s="16"/>
    </row>
    <row r="276" spans="2:15" x14ac:dyDescent="0.25">
      <c r="D276" s="65" t="s">
        <v>76</v>
      </c>
      <c r="E276" s="65">
        <f>VLOOKUP(E274, W_PROP, 4, FALSE)</f>
        <v>29.1</v>
      </c>
      <c r="F276" s="12" t="s">
        <v>68</v>
      </c>
      <c r="H276" s="65" t="s">
        <v>76</v>
      </c>
      <c r="I276" s="65">
        <f>VLOOKUP(I274, W_PROP, 4, FALSE)</f>
        <v>29.1</v>
      </c>
      <c r="J276" s="12" t="s">
        <v>68</v>
      </c>
      <c r="K276" s="16"/>
    </row>
    <row r="277" spans="2:15" x14ac:dyDescent="0.25">
      <c r="D277" s="65" t="s">
        <v>254</v>
      </c>
      <c r="E277" s="65">
        <f>E208</f>
        <v>50</v>
      </c>
      <c r="F277" s="41" t="str">
        <f>F208</f>
        <v>ksi</v>
      </c>
      <c r="H277" s="65" t="s">
        <v>254</v>
      </c>
      <c r="I277" s="65">
        <f>E277</f>
        <v>50</v>
      </c>
      <c r="J277" s="41" t="str">
        <f>F277</f>
        <v>ksi</v>
      </c>
      <c r="K277" s="16"/>
    </row>
    <row r="278" spans="2:15" x14ac:dyDescent="0.25">
      <c r="B278" s="65"/>
      <c r="C278" s="65"/>
      <c r="D278" s="65" t="s">
        <v>255</v>
      </c>
      <c r="E278" s="65">
        <f>E276*E277</f>
        <v>1455</v>
      </c>
      <c r="F278" t="s">
        <v>40</v>
      </c>
      <c r="H278" s="65" t="s">
        <v>255</v>
      </c>
      <c r="I278" s="65">
        <f>I276*I277</f>
        <v>1455</v>
      </c>
      <c r="J278" s="41" t="str">
        <f>F278</f>
        <v>kip</v>
      </c>
      <c r="K278" s="16"/>
    </row>
    <row r="279" spans="2:15" x14ac:dyDescent="0.25">
      <c r="D279" s="160" t="s">
        <v>256</v>
      </c>
      <c r="E279" s="65">
        <v>1</v>
      </c>
      <c r="H279" s="160" t="s">
        <v>256</v>
      </c>
      <c r="I279" s="65">
        <v>1.6</v>
      </c>
      <c r="J279" s="16"/>
      <c r="K279" s="16"/>
    </row>
    <row r="280" spans="2:15" x14ac:dyDescent="0.25">
      <c r="B280" s="65"/>
      <c r="F280" s="16"/>
      <c r="H280" s="30"/>
      <c r="I280" s="31"/>
      <c r="J280" s="16"/>
      <c r="K280" s="16"/>
    </row>
    <row r="281" spans="2:15" x14ac:dyDescent="0.25">
      <c r="B281" s="65" t="s">
        <v>257</v>
      </c>
      <c r="D281" s="160" t="s">
        <v>258</v>
      </c>
      <c r="E281" s="161">
        <f>E279*E270/E278</f>
        <v>0.69278350515463916</v>
      </c>
      <c r="F281" s="16"/>
      <c r="H281" s="160" t="s">
        <v>258</v>
      </c>
      <c r="I281" s="161">
        <f>I279*I270/I278</f>
        <v>0.75876288659793811</v>
      </c>
      <c r="J281" s="16"/>
      <c r="K281" s="16"/>
    </row>
    <row r="282" spans="2:15" x14ac:dyDescent="0.25">
      <c r="B282" s="28" t="s">
        <v>259</v>
      </c>
      <c r="D282" s="160" t="s">
        <v>260</v>
      </c>
      <c r="E282" s="161">
        <f>IF(E281&gt;0.5,4*E281*(1-E281),"NO FORMULA")</f>
        <v>0.85133808056116489</v>
      </c>
      <c r="F282" s="16"/>
      <c r="H282" s="160" t="s">
        <v>260</v>
      </c>
      <c r="I282" s="161">
        <f>IF(I281&gt;0.5,4*I281*(1-I281),"NO FORMULA")</f>
        <v>0.73216707407801052</v>
      </c>
      <c r="J282" s="16"/>
      <c r="K282" s="16"/>
    </row>
    <row r="283" spans="2:15" x14ac:dyDescent="0.25">
      <c r="F283" s="16"/>
      <c r="H283" s="30"/>
      <c r="I283" s="31"/>
      <c r="J283" s="16"/>
      <c r="K283" s="16"/>
    </row>
    <row r="284" spans="2:15" x14ac:dyDescent="0.25">
      <c r="B284" t="s">
        <v>238</v>
      </c>
      <c r="D284" s="21" t="s">
        <v>5</v>
      </c>
      <c r="E284" s="51">
        <f>E282*$I$251</f>
        <v>0.48213534154229226</v>
      </c>
      <c r="F284" s="16"/>
      <c r="H284" s="21" t="s">
        <v>5</v>
      </c>
      <c r="I284" s="51">
        <f>I282*$I$251</f>
        <v>0.41464563889111811</v>
      </c>
      <c r="J284" s="16"/>
      <c r="K284" s="16"/>
    </row>
    <row r="285" spans="2:15" x14ac:dyDescent="0.25">
      <c r="B285" s="31"/>
      <c r="C285" s="31"/>
      <c r="D285" s="21" t="s">
        <v>117</v>
      </c>
      <c r="E285" s="10">
        <v>1.79</v>
      </c>
      <c r="H285" s="21" t="s">
        <v>117</v>
      </c>
      <c r="I285" s="10">
        <v>1.77</v>
      </c>
      <c r="L285" t="s">
        <v>247</v>
      </c>
    </row>
    <row r="286" spans="2:15" x14ac:dyDescent="0.25">
      <c r="D286" s="21" t="s">
        <v>248</v>
      </c>
      <c r="E286" s="157">
        <v>1.66</v>
      </c>
      <c r="H286" s="21" t="s">
        <v>248</v>
      </c>
      <c r="I286" s="157">
        <v>1.66</v>
      </c>
    </row>
    <row r="287" spans="2:15" ht="15.75" thickBot="1" x14ac:dyDescent="0.3">
      <c r="D287" s="21" t="s">
        <v>118</v>
      </c>
      <c r="E287" s="158">
        <f>E285*$E$241/E286</f>
        <v>15.096385542168678</v>
      </c>
      <c r="F287" t="s">
        <v>37</v>
      </c>
      <c r="H287" s="21" t="s">
        <v>118</v>
      </c>
      <c r="I287" s="158">
        <f>I285*$E$241/I286</f>
        <v>14.927710843373495</v>
      </c>
      <c r="J287" t="s">
        <v>37</v>
      </c>
    </row>
    <row r="288" spans="2:15" ht="18.75" thickBot="1" x14ac:dyDescent="0.4">
      <c r="B288" s="28" t="s">
        <v>96</v>
      </c>
      <c r="D288" s="42" t="s">
        <v>79</v>
      </c>
      <c r="E288" s="55">
        <v>1098</v>
      </c>
      <c r="F288" s="56" t="str">
        <f>F287</f>
        <v>ft</v>
      </c>
      <c r="G288"/>
      <c r="H288" s="42" t="s">
        <v>97</v>
      </c>
      <c r="I288" s="55">
        <v>735</v>
      </c>
      <c r="J288" s="56" t="str">
        <f>F288</f>
        <v>ft</v>
      </c>
      <c r="L288" s="28" t="s">
        <v>105</v>
      </c>
      <c r="N288" t="s">
        <v>73</v>
      </c>
      <c r="O288" s="52" t="s">
        <v>249</v>
      </c>
    </row>
    <row r="289" spans="2:13" x14ac:dyDescent="0.25">
      <c r="B289" s="28"/>
      <c r="D289" s="30"/>
      <c r="E289" s="40"/>
      <c r="F289" s="5"/>
      <c r="G289"/>
      <c r="H289" s="30"/>
      <c r="I289" s="40"/>
      <c r="J289" s="5"/>
      <c r="L289" s="28"/>
    </row>
    <row r="290" spans="2:13" ht="15.75" thickBot="1" x14ac:dyDescent="0.3">
      <c r="B290" s="72" t="s">
        <v>261</v>
      </c>
      <c r="C290" s="72"/>
      <c r="D290" s="72"/>
      <c r="E290" s="73"/>
      <c r="F290" s="73"/>
      <c r="G290" s="74"/>
      <c r="H290" s="73"/>
      <c r="I290" s="73"/>
      <c r="J290" s="73"/>
      <c r="K290" s="73"/>
      <c r="L290" s="73"/>
      <c r="M290" s="73"/>
    </row>
    <row r="291" spans="2:13" ht="15.75" thickTop="1" x14ac:dyDescent="0.25">
      <c r="B291" s="75"/>
      <c r="C291" s="75"/>
      <c r="D291" s="76"/>
      <c r="E291" s="76"/>
      <c r="F291" s="76"/>
      <c r="G291" s="77"/>
      <c r="H291" s="76"/>
      <c r="I291" s="76"/>
      <c r="J291" s="76"/>
      <c r="K291" s="76"/>
      <c r="L291" s="76"/>
      <c r="M291" s="76"/>
    </row>
    <row r="292" spans="2:13" x14ac:dyDescent="0.25">
      <c r="B292" s="76" t="s">
        <v>1</v>
      </c>
      <c r="C292" s="76"/>
      <c r="D292" s="78" t="s">
        <v>2</v>
      </c>
      <c r="E292" s="79">
        <v>29000</v>
      </c>
      <c r="F292" s="77" t="s">
        <v>3</v>
      </c>
      <c r="G292" s="77"/>
      <c r="H292" s="76"/>
      <c r="I292" s="76"/>
      <c r="J292" s="76"/>
      <c r="K292" s="76"/>
      <c r="L292" s="76"/>
      <c r="M292" s="76"/>
    </row>
    <row r="293" spans="2:13" x14ac:dyDescent="0.25">
      <c r="B293" s="76"/>
      <c r="C293" s="76"/>
      <c r="D293" s="78" t="s">
        <v>5</v>
      </c>
      <c r="E293" s="79">
        <v>11200</v>
      </c>
      <c r="F293" s="77" t="s">
        <v>3</v>
      </c>
      <c r="G293" s="77"/>
      <c r="H293" s="76"/>
      <c r="I293" s="76"/>
      <c r="J293" s="76"/>
      <c r="K293" s="76"/>
      <c r="L293" s="76"/>
      <c r="M293" s="76"/>
    </row>
    <row r="294" spans="2:13" ht="18" x14ac:dyDescent="0.35">
      <c r="B294" s="23" t="s">
        <v>6</v>
      </c>
      <c r="C294" s="23"/>
      <c r="D294" s="80" t="s">
        <v>7</v>
      </c>
      <c r="E294" s="81">
        <v>50</v>
      </c>
      <c r="F294" s="82" t="s">
        <v>3</v>
      </c>
      <c r="G294" s="77"/>
      <c r="H294" s="76"/>
      <c r="I294" s="76"/>
      <c r="J294" s="76"/>
      <c r="K294" s="76"/>
      <c r="L294" s="76"/>
      <c r="M294" s="76"/>
    </row>
    <row r="295" spans="2:13" ht="18" x14ac:dyDescent="0.35">
      <c r="B295" s="23"/>
      <c r="C295" s="23"/>
      <c r="D295" s="80" t="s">
        <v>9</v>
      </c>
      <c r="E295" s="81">
        <v>70</v>
      </c>
      <c r="F295" s="77" t="s">
        <v>3</v>
      </c>
      <c r="G295" s="82"/>
      <c r="H295" s="76"/>
      <c r="I295" s="76"/>
      <c r="J295" s="76"/>
      <c r="K295" s="76"/>
      <c r="L295" s="76"/>
      <c r="M295" s="76"/>
    </row>
    <row r="296" spans="2:13" x14ac:dyDescent="0.25">
      <c r="B296" s="4"/>
      <c r="C296" s="4"/>
      <c r="D296" s="5"/>
      <c r="E296" s="5"/>
      <c r="F296" s="5"/>
      <c r="G296" s="6"/>
      <c r="H296" s="5"/>
      <c r="I296" s="5"/>
    </row>
    <row r="297" spans="2:13" ht="15.75" thickBot="1" x14ac:dyDescent="0.3">
      <c r="B297" s="1" t="s">
        <v>262</v>
      </c>
      <c r="C297" s="1"/>
      <c r="D297" s="2"/>
      <c r="E297" s="2"/>
      <c r="F297" s="2"/>
      <c r="G297" s="3"/>
      <c r="H297" s="2"/>
      <c r="I297" s="2"/>
    </row>
    <row r="298" spans="2:13" ht="15.75" thickTop="1" x14ac:dyDescent="0.25">
      <c r="B298" s="4"/>
      <c r="C298" s="4"/>
      <c r="D298" s="5"/>
      <c r="E298" s="5"/>
      <c r="F298" s="5"/>
      <c r="G298" s="6"/>
      <c r="H298" s="5"/>
      <c r="I298" s="5"/>
    </row>
    <row r="299" spans="2:13" x14ac:dyDescent="0.25">
      <c r="B299" s="4"/>
      <c r="C299" s="4"/>
      <c r="D299" s="5"/>
      <c r="E299" s="5"/>
      <c r="F299" s="5"/>
      <c r="G299" s="6"/>
      <c r="H299" s="5"/>
      <c r="I299" s="5"/>
    </row>
    <row r="300" spans="2:13" x14ac:dyDescent="0.25">
      <c r="B300" s="4"/>
      <c r="C300" s="4"/>
      <c r="D300" s="5"/>
      <c r="E300" s="5"/>
      <c r="F300" s="5"/>
      <c r="G300" s="6"/>
      <c r="H300" s="5"/>
      <c r="I300" s="5"/>
    </row>
    <row r="301" spans="2:13" x14ac:dyDescent="0.25">
      <c r="B301" s="4"/>
      <c r="C301" s="4"/>
      <c r="D301" s="5"/>
      <c r="E301" s="5"/>
      <c r="F301" s="5"/>
      <c r="G301" s="6"/>
      <c r="H301" s="5"/>
      <c r="I301" s="5"/>
    </row>
    <row r="302" spans="2:13" x14ac:dyDescent="0.25">
      <c r="B302" s="4"/>
      <c r="C302" s="4"/>
      <c r="D302" s="5"/>
      <c r="E302" s="5"/>
      <c r="F302" s="5"/>
      <c r="G302" s="6"/>
      <c r="H302" s="5"/>
      <c r="I302" s="5"/>
    </row>
    <row r="303" spans="2:13" x14ac:dyDescent="0.25">
      <c r="B303" s="28" t="s">
        <v>24</v>
      </c>
    </row>
    <row r="304" spans="2:13" x14ac:dyDescent="0.25">
      <c r="B304" s="21" t="s">
        <v>25</v>
      </c>
      <c r="C304" t="s">
        <v>204</v>
      </c>
    </row>
    <row r="305" spans="2:11" x14ac:dyDescent="0.25">
      <c r="B305" s="21" t="s">
        <v>109</v>
      </c>
      <c r="C305" t="s">
        <v>205</v>
      </c>
    </row>
    <row r="306" spans="2:11" x14ac:dyDescent="0.25">
      <c r="B306" s="28" t="s">
        <v>27</v>
      </c>
    </row>
    <row r="307" spans="2:11" x14ac:dyDescent="0.25">
      <c r="B307" s="21" t="s">
        <v>28</v>
      </c>
      <c r="C307" t="s">
        <v>206</v>
      </c>
    </row>
    <row r="308" spans="2:11" x14ac:dyDescent="0.25">
      <c r="B308" s="21" t="s">
        <v>30</v>
      </c>
      <c r="C308" t="s">
        <v>207</v>
      </c>
      <c r="G308"/>
    </row>
    <row r="309" spans="2:11" x14ac:dyDescent="0.25">
      <c r="B309" s="21" t="s">
        <v>32</v>
      </c>
      <c r="C309" t="s">
        <v>208</v>
      </c>
      <c r="G309"/>
    </row>
    <row r="310" spans="2:11" x14ac:dyDescent="0.25">
      <c r="B310" s="28" t="s">
        <v>34</v>
      </c>
      <c r="G310"/>
    </row>
    <row r="311" spans="2:11" x14ac:dyDescent="0.25">
      <c r="G311"/>
    </row>
    <row r="312" spans="2:11" ht="15.75" thickBot="1" x14ac:dyDescent="0.3">
      <c r="B312" s="1" t="s">
        <v>209</v>
      </c>
      <c r="C312" s="2"/>
      <c r="D312" s="2"/>
      <c r="E312" s="2"/>
      <c r="F312" s="2"/>
      <c r="G312" s="2"/>
      <c r="H312" s="2"/>
      <c r="I312" s="2"/>
    </row>
    <row r="313" spans="2:11" ht="15.75" thickTop="1" x14ac:dyDescent="0.25">
      <c r="G313"/>
    </row>
    <row r="314" spans="2:11" ht="30.75" thickBot="1" x14ac:dyDescent="0.3">
      <c r="B314" s="124" t="s">
        <v>210</v>
      </c>
      <c r="C314" s="125" t="s">
        <v>211</v>
      </c>
      <c r="D314" s="125" t="s">
        <v>12</v>
      </c>
      <c r="E314" s="125" t="s">
        <v>212</v>
      </c>
      <c r="F314" s="126" t="s">
        <v>213</v>
      </c>
      <c r="G314" s="126" t="s">
        <v>15</v>
      </c>
      <c r="H314" s="125" t="s">
        <v>214</v>
      </c>
      <c r="I314" s="126" t="s">
        <v>215</v>
      </c>
      <c r="J314" s="127" t="s">
        <v>216</v>
      </c>
      <c r="K314" s="128"/>
    </row>
    <row r="315" spans="2:11" ht="16.5" thickTop="1" thickBot="1" x14ac:dyDescent="0.3">
      <c r="B315" s="129"/>
      <c r="C315" s="129"/>
      <c r="D315" s="130" t="s">
        <v>217</v>
      </c>
      <c r="E315" s="130" t="s">
        <v>218</v>
      </c>
      <c r="F315" s="130" t="s">
        <v>219</v>
      </c>
      <c r="G315" s="131" t="s">
        <v>220</v>
      </c>
      <c r="H315" s="132"/>
      <c r="I315" s="131" t="s">
        <v>221</v>
      </c>
      <c r="J315" s="131" t="s">
        <v>221</v>
      </c>
      <c r="K315" s="133"/>
    </row>
    <row r="316" spans="2:11" ht="15.75" thickTop="1" x14ac:dyDescent="0.25">
      <c r="B316" s="134">
        <v>0</v>
      </c>
      <c r="C316" s="135" t="s">
        <v>222</v>
      </c>
      <c r="D316" s="136">
        <v>0</v>
      </c>
      <c r="E316" s="135">
        <v>0</v>
      </c>
      <c r="F316" s="137">
        <v>0</v>
      </c>
      <c r="G316" s="138">
        <v>0</v>
      </c>
      <c r="H316" s="139">
        <v>0</v>
      </c>
      <c r="I316" s="139">
        <v>0</v>
      </c>
      <c r="J316" s="139">
        <v>0</v>
      </c>
      <c r="K316" s="31"/>
    </row>
    <row r="317" spans="2:11" x14ac:dyDescent="0.25">
      <c r="B317" s="134">
        <v>1</v>
      </c>
      <c r="C317" s="135" t="s">
        <v>223</v>
      </c>
      <c r="D317" s="46" t="s">
        <v>263</v>
      </c>
      <c r="E317" s="135">
        <v>14</v>
      </c>
      <c r="F317" s="137">
        <f>VLOOKUP(D317, W_PROP, 29, FALSE)</f>
        <v>740</v>
      </c>
      <c r="G317" s="138">
        <f>$E$206/1000</f>
        <v>29</v>
      </c>
      <c r="H317" s="139" t="s">
        <v>225</v>
      </c>
      <c r="I317" s="139" t="s">
        <v>226</v>
      </c>
      <c r="J317" s="139">
        <f>F317*G317*1000/(E317)</f>
        <v>1532857.142857143</v>
      </c>
      <c r="K317" s="31"/>
    </row>
    <row r="318" spans="2:11" x14ac:dyDescent="0.25">
      <c r="B318" s="99">
        <v>2</v>
      </c>
      <c r="C318" s="99" t="s">
        <v>227</v>
      </c>
      <c r="D318" s="46" t="s">
        <v>263</v>
      </c>
      <c r="E318" s="99">
        <v>14</v>
      </c>
      <c r="F318" s="141">
        <f>VLOOKUP(D318, W_PROP, 29, FALSE)</f>
        <v>740</v>
      </c>
      <c r="G318" s="5">
        <f>E292/1000</f>
        <v>29</v>
      </c>
      <c r="H318" s="31" t="s">
        <v>225</v>
      </c>
      <c r="I318" s="31" t="s">
        <v>226</v>
      </c>
      <c r="J318" s="31">
        <f>F318*G318*1000/(E318)</f>
        <v>1532857.142857143</v>
      </c>
      <c r="K318" s="31"/>
    </row>
    <row r="319" spans="2:11" x14ac:dyDescent="0.25">
      <c r="B319" s="99">
        <v>3</v>
      </c>
      <c r="C319" s="99" t="s">
        <v>228</v>
      </c>
      <c r="D319" s="140" t="s">
        <v>229</v>
      </c>
      <c r="E319" s="99">
        <v>30</v>
      </c>
      <c r="F319" s="141">
        <f>VLOOKUP(D319, W_PROP, 29, FALSE)</f>
        <v>2100</v>
      </c>
      <c r="G319" s="5">
        <f>E292/1000</f>
        <v>29</v>
      </c>
      <c r="H319" s="31" t="s">
        <v>225</v>
      </c>
      <c r="I319" s="31" t="s">
        <v>226</v>
      </c>
      <c r="J319" s="31">
        <f>F319*G319*1000/(E319)</f>
        <v>2030000</v>
      </c>
      <c r="K319" s="31"/>
    </row>
    <row r="320" spans="2:11" ht="15.75" thickBot="1" x14ac:dyDescent="0.3">
      <c r="B320" s="142">
        <v>4</v>
      </c>
      <c r="C320" s="142" t="s">
        <v>230</v>
      </c>
      <c r="D320" s="143" t="s">
        <v>229</v>
      </c>
      <c r="E320" s="142">
        <v>30</v>
      </c>
      <c r="F320" s="144">
        <f>VLOOKUP(D320, W_PROP, 29, FALSE)</f>
        <v>2100</v>
      </c>
      <c r="G320" s="2">
        <f>E292/1000</f>
        <v>29</v>
      </c>
      <c r="H320" s="145" t="s">
        <v>225</v>
      </c>
      <c r="I320" s="145" t="s">
        <v>226</v>
      </c>
      <c r="J320" s="145">
        <f>F320*G320*1000/(E320)</f>
        <v>2030000</v>
      </c>
      <c r="K320" s="31"/>
    </row>
    <row r="321" spans="2:15" ht="15.75" thickTop="1" x14ac:dyDescent="0.25">
      <c r="B321" s="99"/>
      <c r="C321" s="31"/>
      <c r="D321" s="31"/>
      <c r="E321" s="31"/>
      <c r="F321" s="31"/>
      <c r="G321" s="31"/>
      <c r="H321" s="31"/>
      <c r="I321" s="31"/>
      <c r="J321" s="31"/>
      <c r="K321" s="31"/>
    </row>
    <row r="322" spans="2:15" ht="15.75" thickBot="1" x14ac:dyDescent="0.3">
      <c r="B322" s="1" t="s">
        <v>231</v>
      </c>
      <c r="C322" s="2"/>
      <c r="D322" s="2"/>
      <c r="E322" s="2"/>
      <c r="F322" s="2"/>
      <c r="G322" s="2"/>
      <c r="H322" s="2"/>
      <c r="I322" s="2"/>
    </row>
    <row r="323" spans="2:15" ht="15.75" thickTop="1" x14ac:dyDescent="0.25"/>
    <row r="324" spans="2:15" ht="39" thickBot="1" x14ac:dyDescent="0.3">
      <c r="B324" s="125" t="s">
        <v>210</v>
      </c>
      <c r="C324" s="125" t="s">
        <v>232</v>
      </c>
      <c r="D324" s="146" t="s">
        <v>233</v>
      </c>
      <c r="E324" s="125" t="s">
        <v>234</v>
      </c>
      <c r="F324" s="125" t="s">
        <v>235</v>
      </c>
      <c r="G324" s="126" t="s">
        <v>236</v>
      </c>
      <c r="H324" s="126" t="s">
        <v>237</v>
      </c>
      <c r="I324" s="126" t="s">
        <v>238</v>
      </c>
      <c r="J324" s="147" t="s">
        <v>239</v>
      </c>
      <c r="K324" s="148"/>
    </row>
    <row r="325" spans="2:15" ht="16.5" thickTop="1" thickBot="1" x14ac:dyDescent="0.3">
      <c r="B325" s="149" t="s">
        <v>240</v>
      </c>
      <c r="C325" s="150" t="s">
        <v>241</v>
      </c>
      <c r="D325" s="130" t="s">
        <v>83</v>
      </c>
      <c r="E325" s="130"/>
      <c r="F325" s="130" t="s">
        <v>217</v>
      </c>
      <c r="G325" s="130" t="s">
        <v>218</v>
      </c>
      <c r="H325" s="131" t="s">
        <v>219</v>
      </c>
      <c r="I325" s="131" t="s">
        <v>221</v>
      </c>
      <c r="J325" s="151"/>
      <c r="K325" s="152"/>
    </row>
    <row r="326" spans="2:15" ht="15.75" thickTop="1" x14ac:dyDescent="0.25">
      <c r="B326" s="153">
        <f>Q285</f>
        <v>0</v>
      </c>
      <c r="C326" s="153" t="s">
        <v>242</v>
      </c>
      <c r="D326" s="139" t="str">
        <f>H317</f>
        <v>Pin</v>
      </c>
      <c r="E326" s="153"/>
      <c r="F326" s="153"/>
      <c r="G326" s="153"/>
      <c r="H326" s="154"/>
      <c r="I326" s="155">
        <f>IF(D326="Pin",10,1)</f>
        <v>10</v>
      </c>
      <c r="J326">
        <v>1.76</v>
      </c>
      <c r="L326" s="41" t="s">
        <v>243</v>
      </c>
      <c r="N326" t="s">
        <v>244</v>
      </c>
      <c r="O326" t="s">
        <v>245</v>
      </c>
    </row>
    <row r="327" spans="2:15" ht="15.75" thickBot="1" x14ac:dyDescent="0.3">
      <c r="B327" s="145"/>
      <c r="C327" s="145" t="s">
        <v>246</v>
      </c>
      <c r="D327" s="145" t="str">
        <f>I317</f>
        <v>Normal</v>
      </c>
      <c r="E327" s="145">
        <v>1</v>
      </c>
      <c r="F327" s="145">
        <v>0</v>
      </c>
      <c r="G327" s="145">
        <v>3</v>
      </c>
      <c r="H327" s="145">
        <v>4</v>
      </c>
      <c r="I327" s="156">
        <f>(VLOOKUP(E327,B316:J320,9,FALSE)+VLOOKUP(F327,B316:J320,9,FALSE))/(VLOOKUP(G327,B316:J320,9,FALSE)+VLOOKUP(H327,B316:J320,9,FALSE))</f>
        <v>0.3775510204081633</v>
      </c>
      <c r="J327" s="145"/>
      <c r="K327" s="31"/>
    </row>
    <row r="328" spans="2:15" ht="16.5" thickTop="1" thickBot="1" x14ac:dyDescent="0.3">
      <c r="C328" s="20" t="s">
        <v>49</v>
      </c>
      <c r="D328" s="2"/>
      <c r="E328" s="2"/>
      <c r="F328" s="5"/>
      <c r="H328" s="20" t="s">
        <v>50</v>
      </c>
      <c r="I328" s="2"/>
      <c r="J328" s="2"/>
      <c r="K328" s="2"/>
      <c r="L328" s="20"/>
      <c r="M328"/>
    </row>
    <row r="329" spans="2:15" ht="15.75" thickTop="1" x14ac:dyDescent="0.25">
      <c r="B329" s="28"/>
      <c r="C329" s="5"/>
      <c r="D329" s="5"/>
      <c r="E329" s="5"/>
      <c r="F329" s="5"/>
      <c r="H329" s="5"/>
      <c r="I329" s="5"/>
    </row>
    <row r="330" spans="2:15" x14ac:dyDescent="0.25">
      <c r="B330" s="39" t="s">
        <v>51</v>
      </c>
      <c r="C330" s="4" t="s">
        <v>52</v>
      </c>
      <c r="D330" s="5"/>
      <c r="E330" s="5"/>
      <c r="F330" s="5"/>
      <c r="H330" s="4" t="s">
        <v>52</v>
      </c>
      <c r="L330" s="40"/>
      <c r="M330" s="16"/>
    </row>
    <row r="331" spans="2:15" x14ac:dyDescent="0.25">
      <c r="B331" s="31"/>
      <c r="C331" s="31"/>
      <c r="D331" s="21" t="s">
        <v>117</v>
      </c>
      <c r="E331" s="10">
        <f>J326</f>
        <v>1.76</v>
      </c>
      <c r="H331" s="21" t="s">
        <v>117</v>
      </c>
      <c r="I331" s="10">
        <v>1.76</v>
      </c>
      <c r="L331" t="s">
        <v>247</v>
      </c>
    </row>
    <row r="332" spans="2:15" x14ac:dyDescent="0.25">
      <c r="D332" s="21" t="s">
        <v>248</v>
      </c>
      <c r="E332" s="157">
        <v>1.75</v>
      </c>
      <c r="H332" s="21" t="s">
        <v>248</v>
      </c>
      <c r="I332" s="157">
        <f>E332</f>
        <v>1.75</v>
      </c>
    </row>
    <row r="333" spans="2:15" ht="15.75" thickBot="1" x14ac:dyDescent="0.3">
      <c r="D333" s="21" t="s">
        <v>118</v>
      </c>
      <c r="E333" s="158">
        <f>E331*$E$241/E332</f>
        <v>14.08</v>
      </c>
      <c r="F333" t="s">
        <v>37</v>
      </c>
      <c r="H333" s="21" t="s">
        <v>118</v>
      </c>
      <c r="I333" s="158">
        <f>I331*$E$241/I332</f>
        <v>14.08</v>
      </c>
      <c r="J333" t="s">
        <v>37</v>
      </c>
    </row>
    <row r="334" spans="2:15" ht="18.75" thickBot="1" x14ac:dyDescent="0.4">
      <c r="B334" s="28" t="s">
        <v>96</v>
      </c>
      <c r="D334" s="42" t="s">
        <v>79</v>
      </c>
      <c r="E334" s="55">
        <v>922</v>
      </c>
      <c r="F334" s="56" t="str">
        <f>F333</f>
        <v>ft</v>
      </c>
      <c r="G334"/>
      <c r="H334" s="42" t="s">
        <v>97</v>
      </c>
      <c r="I334" s="55">
        <v>614</v>
      </c>
      <c r="J334" s="56" t="str">
        <f>F334</f>
        <v>ft</v>
      </c>
      <c r="L334" s="75" t="s">
        <v>105</v>
      </c>
      <c r="N334" t="s">
        <v>73</v>
      </c>
      <c r="O334" s="52" t="s">
        <v>249</v>
      </c>
    </row>
    <row r="335" spans="2:15" x14ac:dyDescent="0.25">
      <c r="G335"/>
    </row>
    <row r="336" spans="2:15" ht="15.75" thickBot="1" x14ac:dyDescent="0.3">
      <c r="B336" s="1" t="s">
        <v>250</v>
      </c>
      <c r="C336" s="2"/>
      <c r="D336" s="2"/>
      <c r="E336" s="3"/>
      <c r="F336" s="3"/>
      <c r="G336" s="3"/>
      <c r="H336" s="2"/>
      <c r="I336" s="85"/>
      <c r="J336" s="2"/>
      <c r="K336" s="2"/>
      <c r="L336" s="2" t="s">
        <v>15</v>
      </c>
    </row>
    <row r="337" spans="2:13" ht="15.75" thickTop="1" x14ac:dyDescent="0.25">
      <c r="G337"/>
    </row>
    <row r="338" spans="2:13" x14ac:dyDescent="0.25">
      <c r="B338" s="7" t="s">
        <v>38</v>
      </c>
      <c r="D338" s="21" t="s">
        <v>39</v>
      </c>
      <c r="E338" s="10">
        <v>225</v>
      </c>
      <c r="F338" s="8" t="s">
        <v>40</v>
      </c>
      <c r="I338" s="83">
        <f>E338</f>
        <v>225</v>
      </c>
      <c r="J338" s="29" t="s">
        <v>40</v>
      </c>
      <c r="K338" s="29"/>
    </row>
    <row r="339" spans="2:13" x14ac:dyDescent="0.25">
      <c r="B339" s="7" t="s">
        <v>41</v>
      </c>
      <c r="D339" s="21" t="s">
        <v>42</v>
      </c>
      <c r="E339" s="10">
        <v>375</v>
      </c>
      <c r="F339" s="8" t="s">
        <v>40</v>
      </c>
      <c r="I339" s="83">
        <f>E339</f>
        <v>375</v>
      </c>
      <c r="J339" s="29" t="s">
        <v>40</v>
      </c>
      <c r="K339" s="29"/>
    </row>
    <row r="340" spans="2:13" ht="18" x14ac:dyDescent="0.35">
      <c r="B340" s="7" t="s">
        <v>43</v>
      </c>
      <c r="D340" s="30" t="s">
        <v>44</v>
      </c>
      <c r="E340" s="31">
        <v>0.9</v>
      </c>
      <c r="F340" s="5"/>
      <c r="H340" s="30" t="s">
        <v>45</v>
      </c>
      <c r="I340" s="31">
        <v>1.5</v>
      </c>
      <c r="L340" s="29"/>
    </row>
    <row r="341" spans="2:13" ht="18" x14ac:dyDescent="0.35">
      <c r="B341" s="7"/>
      <c r="D341" s="32" t="s">
        <v>46</v>
      </c>
      <c r="E341" s="33">
        <v>0.75</v>
      </c>
      <c r="F341" s="5"/>
      <c r="H341" s="30" t="s">
        <v>45</v>
      </c>
      <c r="I341" s="31">
        <v>2</v>
      </c>
      <c r="L341" s="29"/>
    </row>
    <row r="342" spans="2:13" x14ac:dyDescent="0.25">
      <c r="C342" s="21"/>
      <c r="F342" s="21"/>
      <c r="G342"/>
      <c r="I342" s="21"/>
      <c r="M342"/>
    </row>
    <row r="343" spans="2:13" ht="15.75" thickBot="1" x14ac:dyDescent="0.3">
      <c r="C343" s="20" t="s">
        <v>49</v>
      </c>
      <c r="D343" s="2"/>
      <c r="E343" s="2"/>
      <c r="F343" s="5"/>
      <c r="H343" s="20" t="s">
        <v>50</v>
      </c>
      <c r="I343" s="2"/>
      <c r="J343" s="2"/>
      <c r="K343" s="2"/>
      <c r="L343" s="20"/>
      <c r="M343"/>
    </row>
    <row r="344" spans="2:13" ht="15.75" thickTop="1" x14ac:dyDescent="0.25">
      <c r="B344" s="28"/>
      <c r="C344" s="5"/>
      <c r="D344" s="5"/>
      <c r="E344" s="5"/>
      <c r="F344" s="5"/>
      <c r="H344" s="5"/>
      <c r="I344" s="5"/>
    </row>
    <row r="345" spans="2:13" ht="15.75" thickBot="1" x14ac:dyDescent="0.3">
      <c r="B345" s="39" t="s">
        <v>51</v>
      </c>
      <c r="C345" s="4" t="s">
        <v>52</v>
      </c>
      <c r="D345" s="5"/>
      <c r="E345" s="5"/>
      <c r="F345" s="5"/>
      <c r="H345" s="4" t="s">
        <v>52</v>
      </c>
      <c r="L345" s="40"/>
      <c r="M345" s="16"/>
    </row>
    <row r="346" spans="2:13" ht="15.75" thickBot="1" x14ac:dyDescent="0.3">
      <c r="B346" s="41" t="s">
        <v>53</v>
      </c>
      <c r="D346" s="42" t="s">
        <v>54</v>
      </c>
      <c r="E346" s="43">
        <f>1.2*E338+1.6*E339</f>
        <v>870</v>
      </c>
      <c r="F346" s="44" t="str">
        <f>F338</f>
        <v>kip</v>
      </c>
      <c r="H346" s="42" t="s">
        <v>55</v>
      </c>
      <c r="I346" s="43">
        <f>I338+I339</f>
        <v>600</v>
      </c>
      <c r="J346" s="44" t="str">
        <f>F346</f>
        <v>kip</v>
      </c>
      <c r="K346" s="16"/>
    </row>
    <row r="347" spans="2:13" x14ac:dyDescent="0.25">
      <c r="B347" s="41"/>
      <c r="D347" s="30"/>
      <c r="E347" s="31"/>
      <c r="F347" s="16"/>
      <c r="H347" s="30"/>
      <c r="I347" s="31"/>
      <c r="J347" s="16"/>
      <c r="K347" s="16"/>
    </row>
    <row r="348" spans="2:13" x14ac:dyDescent="0.25">
      <c r="B348" s="159" t="s">
        <v>251</v>
      </c>
      <c r="F348" s="16"/>
      <c r="H348" s="30"/>
      <c r="I348" s="31"/>
      <c r="J348" s="16"/>
      <c r="K348" s="16"/>
    </row>
    <row r="349" spans="2:13" x14ac:dyDescent="0.25">
      <c r="F349" s="16"/>
      <c r="H349" s="30"/>
      <c r="I349" s="31"/>
      <c r="J349" s="16"/>
      <c r="K349" s="16"/>
    </row>
    <row r="350" spans="2:13" x14ac:dyDescent="0.25">
      <c r="B350" s="12" t="s">
        <v>252</v>
      </c>
      <c r="C350" s="12"/>
      <c r="D350" s="59" t="s">
        <v>253</v>
      </c>
      <c r="E350" s="46" t="str">
        <f>D317</f>
        <v>W12X87</v>
      </c>
      <c r="H350" s="59" t="s">
        <v>253</v>
      </c>
      <c r="I350" s="46" t="str">
        <f>E350</f>
        <v>W12X87</v>
      </c>
      <c r="K350" s="16"/>
    </row>
    <row r="351" spans="2:13" x14ac:dyDescent="0.25">
      <c r="K351" s="16"/>
    </row>
    <row r="352" spans="2:13" x14ac:dyDescent="0.25">
      <c r="D352" s="65" t="s">
        <v>76</v>
      </c>
      <c r="E352" s="65">
        <f>VLOOKUP(E350, W_PROP, 4, FALSE)</f>
        <v>25.6</v>
      </c>
      <c r="F352" s="12" t="s">
        <v>68</v>
      </c>
      <c r="H352" s="65" t="s">
        <v>76</v>
      </c>
      <c r="I352" s="65">
        <f>VLOOKUP(I350, W_PROP, 4, FALSE)</f>
        <v>25.6</v>
      </c>
      <c r="J352" s="12" t="s">
        <v>68</v>
      </c>
      <c r="K352" s="16"/>
    </row>
    <row r="353" spans="2:15" x14ac:dyDescent="0.25">
      <c r="D353" s="65" t="s">
        <v>254</v>
      </c>
      <c r="E353" s="65">
        <f>E294</f>
        <v>50</v>
      </c>
      <c r="F353" s="41" t="str">
        <f>F294</f>
        <v>ksi</v>
      </c>
      <c r="H353" s="65" t="s">
        <v>254</v>
      </c>
      <c r="I353" s="65">
        <f>E353</f>
        <v>50</v>
      </c>
      <c r="J353" s="41" t="str">
        <f>F353</f>
        <v>ksi</v>
      </c>
      <c r="K353" s="16"/>
    </row>
    <row r="354" spans="2:15" x14ac:dyDescent="0.25">
      <c r="B354" s="65"/>
      <c r="C354" s="65"/>
      <c r="D354" s="65" t="s">
        <v>255</v>
      </c>
      <c r="E354" s="65">
        <f>E352*E353</f>
        <v>1280</v>
      </c>
      <c r="F354" t="s">
        <v>40</v>
      </c>
      <c r="H354" s="65" t="s">
        <v>255</v>
      </c>
      <c r="I354" s="65">
        <f>I352*I353</f>
        <v>1280</v>
      </c>
      <c r="J354" t="s">
        <v>40</v>
      </c>
      <c r="K354" s="16"/>
    </row>
    <row r="355" spans="2:15" x14ac:dyDescent="0.25">
      <c r="D355" s="160" t="s">
        <v>256</v>
      </c>
      <c r="E355" s="65">
        <v>1</v>
      </c>
      <c r="H355" s="160" t="s">
        <v>256</v>
      </c>
      <c r="I355" s="65">
        <v>1.6</v>
      </c>
      <c r="J355" s="16"/>
      <c r="K355" s="16"/>
    </row>
    <row r="356" spans="2:15" x14ac:dyDescent="0.25">
      <c r="B356" s="65"/>
      <c r="F356" s="16"/>
      <c r="H356" s="30"/>
      <c r="I356" s="31"/>
      <c r="J356" s="16"/>
      <c r="K356" s="16"/>
    </row>
    <row r="357" spans="2:15" x14ac:dyDescent="0.25">
      <c r="B357" s="65" t="s">
        <v>257</v>
      </c>
      <c r="D357" s="160" t="s">
        <v>258</v>
      </c>
      <c r="E357" s="161">
        <f>E355*E346/E354</f>
        <v>0.6796875</v>
      </c>
      <c r="F357" s="16"/>
      <c r="H357" s="160" t="s">
        <v>258</v>
      </c>
      <c r="I357" s="161">
        <f>I355*I346/I354</f>
        <v>0.75</v>
      </c>
      <c r="J357" s="16"/>
      <c r="K357" s="16"/>
    </row>
    <row r="358" spans="2:15" x14ac:dyDescent="0.25">
      <c r="B358" s="28" t="s">
        <v>259</v>
      </c>
      <c r="D358" s="160" t="s">
        <v>260</v>
      </c>
      <c r="E358" s="161">
        <f>IF(E357&gt;0.5,4*E357*(1-E357),"NO FORMULA")</f>
        <v>0.870849609375</v>
      </c>
      <c r="F358" s="16"/>
      <c r="H358" s="160" t="s">
        <v>260</v>
      </c>
      <c r="I358" s="161">
        <f>IF(I357&gt;0.5,4*I357*(1-I357),"NO FORMULA")</f>
        <v>0.75</v>
      </c>
      <c r="J358" s="16"/>
      <c r="K358" s="16"/>
    </row>
    <row r="359" spans="2:15" x14ac:dyDescent="0.25">
      <c r="F359" s="16"/>
      <c r="H359" s="30"/>
      <c r="I359" s="31"/>
      <c r="J359" s="16"/>
      <c r="K359" s="16"/>
    </row>
    <row r="360" spans="2:15" x14ac:dyDescent="0.25">
      <c r="B360" t="s">
        <v>238</v>
      </c>
      <c r="D360" s="21" t="s">
        <v>5</v>
      </c>
      <c r="E360" s="51">
        <f>E358*I327</f>
        <v>0.32879015864158168</v>
      </c>
      <c r="F360" s="16"/>
      <c r="H360" s="21" t="s">
        <v>5</v>
      </c>
      <c r="I360" s="51">
        <f>I358*$I$251</f>
        <v>0.42474489795918358</v>
      </c>
      <c r="J360" s="16"/>
      <c r="K360" s="16"/>
    </row>
    <row r="361" spans="2:15" x14ac:dyDescent="0.25">
      <c r="B361" s="31"/>
      <c r="C361" s="31"/>
      <c r="D361" s="21" t="s">
        <v>117</v>
      </c>
      <c r="E361" s="10">
        <v>1.75</v>
      </c>
      <c r="H361" s="21" t="s">
        <v>117</v>
      </c>
      <c r="I361" s="10">
        <v>1.74</v>
      </c>
      <c r="L361" t="s">
        <v>247</v>
      </c>
    </row>
    <row r="362" spans="2:15" x14ac:dyDescent="0.25">
      <c r="D362" s="21" t="s">
        <v>248</v>
      </c>
      <c r="E362" s="157">
        <f>E332</f>
        <v>1.75</v>
      </c>
      <c r="H362" s="21" t="s">
        <v>248</v>
      </c>
      <c r="I362" s="157">
        <f>E362</f>
        <v>1.75</v>
      </c>
    </row>
    <row r="363" spans="2:15" ht="15.75" thickBot="1" x14ac:dyDescent="0.3">
      <c r="D363" s="21" t="s">
        <v>118</v>
      </c>
      <c r="E363" s="158">
        <f>E361*$E$241/E362</f>
        <v>14</v>
      </c>
      <c r="F363" t="s">
        <v>37</v>
      </c>
      <c r="H363" s="21" t="s">
        <v>118</v>
      </c>
      <c r="I363" s="158">
        <f>I361*$E$241/I362</f>
        <v>13.92</v>
      </c>
      <c r="J363" t="s">
        <v>37</v>
      </c>
    </row>
    <row r="364" spans="2:15" ht="18.75" thickBot="1" x14ac:dyDescent="0.4">
      <c r="B364" s="28" t="s">
        <v>96</v>
      </c>
      <c r="D364" s="42" t="s">
        <v>79</v>
      </c>
      <c r="E364" s="55">
        <v>925</v>
      </c>
      <c r="F364" s="56" t="str">
        <f>F363</f>
        <v>ft</v>
      </c>
      <c r="G364"/>
      <c r="H364" s="42" t="s">
        <v>97</v>
      </c>
      <c r="I364" s="55">
        <v>617</v>
      </c>
      <c r="J364" s="56" t="str">
        <f>F364</f>
        <v>ft</v>
      </c>
      <c r="L364" s="28" t="s">
        <v>105</v>
      </c>
      <c r="N364" t="s">
        <v>73</v>
      </c>
      <c r="O364" s="52" t="s">
        <v>249</v>
      </c>
    </row>
    <row r="365" spans="2:15" x14ac:dyDescent="0.25">
      <c r="B365" s="28"/>
      <c r="D365" s="30"/>
      <c r="E365" s="40"/>
      <c r="F365" s="5"/>
      <c r="G365"/>
      <c r="H365" s="30"/>
      <c r="I365" s="40"/>
      <c r="J365" s="5"/>
      <c r="L365" s="28"/>
    </row>
    <row r="366" spans="2:15" ht="15.75" thickBot="1" x14ac:dyDescent="0.3">
      <c r="B366" s="72" t="s">
        <v>264</v>
      </c>
      <c r="C366" s="72"/>
      <c r="D366" s="72"/>
      <c r="E366" s="73"/>
      <c r="F366" s="73"/>
      <c r="G366" s="74"/>
      <c r="H366" s="73"/>
      <c r="I366" s="73"/>
      <c r="J366" s="73"/>
      <c r="K366" s="73"/>
      <c r="L366" s="73"/>
      <c r="M366" s="73"/>
    </row>
    <row r="367" spans="2:15" ht="15.75" thickTop="1" x14ac:dyDescent="0.25">
      <c r="B367" s="75"/>
      <c r="C367" s="75"/>
      <c r="D367" s="76"/>
      <c r="E367" s="76"/>
      <c r="F367" s="76"/>
      <c r="G367" s="77"/>
      <c r="H367" s="76"/>
      <c r="I367" s="76"/>
      <c r="J367" s="76"/>
      <c r="K367" s="76"/>
      <c r="L367" s="76"/>
      <c r="M367" s="76"/>
    </row>
    <row r="368" spans="2:15" x14ac:dyDescent="0.25">
      <c r="B368" s="76" t="s">
        <v>1</v>
      </c>
      <c r="C368" s="76"/>
      <c r="D368" s="78" t="s">
        <v>2</v>
      </c>
      <c r="E368" s="79">
        <v>29000</v>
      </c>
      <c r="F368" s="77" t="s">
        <v>3</v>
      </c>
      <c r="G368" s="77"/>
      <c r="H368" s="76"/>
      <c r="I368" s="76"/>
      <c r="J368" s="76"/>
      <c r="K368" s="76"/>
      <c r="L368" s="76"/>
      <c r="M368" s="76"/>
    </row>
    <row r="369" spans="2:13" x14ac:dyDescent="0.25">
      <c r="B369" s="76"/>
      <c r="C369" s="76"/>
      <c r="D369" s="78" t="s">
        <v>5</v>
      </c>
      <c r="E369" s="79">
        <v>11200</v>
      </c>
      <c r="F369" s="77" t="s">
        <v>3</v>
      </c>
      <c r="G369" s="77"/>
      <c r="H369" s="76"/>
      <c r="I369" s="76"/>
      <c r="J369" s="76"/>
      <c r="K369" s="76"/>
      <c r="L369" s="76"/>
      <c r="M369" s="76"/>
    </row>
    <row r="370" spans="2:13" ht="18" x14ac:dyDescent="0.35">
      <c r="B370" s="23" t="s">
        <v>6</v>
      </c>
      <c r="C370" s="23"/>
      <c r="D370" s="80" t="s">
        <v>7</v>
      </c>
      <c r="E370" s="81">
        <v>50</v>
      </c>
      <c r="F370" s="82" t="s">
        <v>3</v>
      </c>
      <c r="G370" s="77"/>
      <c r="H370" s="76"/>
      <c r="I370" s="76"/>
      <c r="J370" s="76"/>
      <c r="K370" s="76"/>
      <c r="L370" s="76"/>
      <c r="M370" s="76"/>
    </row>
    <row r="371" spans="2:13" ht="18" x14ac:dyDescent="0.35">
      <c r="B371" s="23"/>
      <c r="C371" s="23"/>
      <c r="D371" s="80" t="s">
        <v>9</v>
      </c>
      <c r="E371" s="81">
        <v>70</v>
      </c>
      <c r="F371" s="77" t="s">
        <v>3</v>
      </c>
      <c r="G371" s="82"/>
      <c r="H371" s="76"/>
      <c r="I371" s="76"/>
      <c r="J371" s="76"/>
      <c r="K371" s="76"/>
      <c r="L371" s="76"/>
      <c r="M371" s="76"/>
    </row>
    <row r="372" spans="2:13" x14ac:dyDescent="0.25">
      <c r="B372" s="4"/>
      <c r="C372" s="4"/>
      <c r="D372" s="5"/>
      <c r="E372" s="5"/>
      <c r="F372" s="5"/>
      <c r="G372" s="6"/>
      <c r="H372" s="5"/>
      <c r="I372" s="5"/>
    </row>
    <row r="373" spans="2:13" ht="15.75" thickBot="1" x14ac:dyDescent="0.3">
      <c r="B373" s="28" t="s">
        <v>265</v>
      </c>
      <c r="C373" s="1"/>
      <c r="D373" s="2"/>
      <c r="E373" s="2"/>
      <c r="F373" s="2"/>
      <c r="G373" s="3"/>
      <c r="H373" s="2"/>
      <c r="I373" s="2"/>
    </row>
    <row r="374" spans="2:13" ht="15.75" thickTop="1" x14ac:dyDescent="0.25">
      <c r="B374" s="4"/>
      <c r="C374" s="4"/>
      <c r="D374" s="5"/>
      <c r="E374" s="5"/>
      <c r="F374" s="5"/>
      <c r="G374" s="6"/>
      <c r="H374" s="5"/>
      <c r="I374" s="5"/>
    </row>
    <row r="375" spans="2:13" x14ac:dyDescent="0.25">
      <c r="B375" s="4"/>
      <c r="C375" s="4"/>
      <c r="D375" s="5"/>
      <c r="E375" s="5"/>
      <c r="F375" s="5"/>
      <c r="G375" s="6"/>
      <c r="H375" s="5"/>
      <c r="I375" s="5"/>
    </row>
    <row r="376" spans="2:13" x14ac:dyDescent="0.25">
      <c r="B376" s="4"/>
      <c r="C376" s="4"/>
      <c r="D376" s="5"/>
      <c r="E376" s="5"/>
      <c r="F376" s="5"/>
      <c r="G376" s="6"/>
      <c r="H376" s="5"/>
      <c r="I376" s="5"/>
    </row>
    <row r="377" spans="2:13" x14ac:dyDescent="0.25">
      <c r="B377" s="4"/>
      <c r="C377" s="4"/>
      <c r="D377" s="5"/>
      <c r="E377" s="5"/>
      <c r="F377" s="5"/>
      <c r="G377" s="6"/>
      <c r="H377" s="5"/>
      <c r="I377" s="5"/>
    </row>
    <row r="378" spans="2:13" x14ac:dyDescent="0.25">
      <c r="B378" s="4"/>
      <c r="C378" s="4"/>
      <c r="D378" s="5"/>
      <c r="E378" s="5"/>
      <c r="F378" s="5"/>
      <c r="G378" s="6"/>
      <c r="H378" s="5"/>
      <c r="I378" s="5"/>
    </row>
    <row r="379" spans="2:13" x14ac:dyDescent="0.25">
      <c r="B379" s="4"/>
      <c r="C379" s="4"/>
      <c r="D379" s="5"/>
      <c r="E379" s="5"/>
      <c r="F379" s="5"/>
      <c r="G379" s="6"/>
      <c r="H379" s="5"/>
      <c r="I379" s="5"/>
    </row>
    <row r="380" spans="2:13" x14ac:dyDescent="0.25">
      <c r="B380" s="4"/>
      <c r="C380" s="4"/>
      <c r="D380" s="5"/>
      <c r="E380" s="5"/>
      <c r="F380" s="5"/>
      <c r="G380" s="6"/>
      <c r="H380" s="5"/>
      <c r="I380" s="5"/>
    </row>
    <row r="381" spans="2:13" x14ac:dyDescent="0.25">
      <c r="B381" s="4"/>
      <c r="C381" s="4"/>
      <c r="D381" s="5"/>
      <c r="E381" s="5"/>
      <c r="F381" s="5"/>
      <c r="G381" s="6"/>
      <c r="H381" s="5"/>
      <c r="I381" s="5"/>
    </row>
    <row r="382" spans="2:13" x14ac:dyDescent="0.25">
      <c r="B382" s="4"/>
      <c r="C382" s="4"/>
      <c r="D382" s="5"/>
      <c r="E382" s="5"/>
      <c r="F382" s="5"/>
      <c r="G382" s="6"/>
      <c r="H382" s="5"/>
      <c r="I382" s="5"/>
    </row>
    <row r="383" spans="2:13" x14ac:dyDescent="0.25">
      <c r="B383" s="4"/>
      <c r="C383" s="4"/>
      <c r="D383" s="5"/>
      <c r="E383" s="5"/>
      <c r="F383" s="5"/>
      <c r="G383" s="6"/>
      <c r="H383" s="5"/>
      <c r="I383" s="5"/>
    </row>
    <row r="384" spans="2:13" x14ac:dyDescent="0.25">
      <c r="B384" s="4"/>
      <c r="C384" s="4"/>
      <c r="D384" s="5"/>
      <c r="E384" s="5"/>
      <c r="F384" s="5"/>
      <c r="G384" s="6"/>
      <c r="H384" s="5"/>
      <c r="I384" s="5"/>
    </row>
    <row r="385" spans="2:9" x14ac:dyDescent="0.25">
      <c r="B385" s="4"/>
      <c r="C385" s="4"/>
      <c r="D385" s="5"/>
      <c r="E385" s="5"/>
      <c r="F385" s="5"/>
      <c r="G385" s="6"/>
      <c r="H385" s="5"/>
      <c r="I385" s="5"/>
    </row>
    <row r="386" spans="2:9" x14ac:dyDescent="0.25">
      <c r="B386" s="4"/>
      <c r="C386" s="4"/>
      <c r="D386" s="5"/>
      <c r="E386" s="5"/>
      <c r="F386" s="5"/>
      <c r="G386" s="6"/>
      <c r="H386" s="5"/>
      <c r="I386" s="5"/>
    </row>
    <row r="387" spans="2:9" x14ac:dyDescent="0.25">
      <c r="B387" s="4"/>
      <c r="C387" s="4"/>
      <c r="D387" s="5"/>
      <c r="E387" s="5"/>
      <c r="F387" s="5"/>
      <c r="G387" s="6"/>
      <c r="H387" s="5"/>
      <c r="I387" s="5"/>
    </row>
    <row r="388" spans="2:9" x14ac:dyDescent="0.25">
      <c r="B388" s="4"/>
      <c r="C388" s="4"/>
      <c r="D388" s="5"/>
      <c r="E388" s="5"/>
      <c r="F388" s="5"/>
      <c r="G388" s="6"/>
      <c r="H388" s="5"/>
      <c r="I388" s="5"/>
    </row>
    <row r="389" spans="2:9" x14ac:dyDescent="0.25">
      <c r="B389" s="4"/>
      <c r="C389" s="4"/>
      <c r="D389" s="5"/>
      <c r="E389" s="5"/>
      <c r="F389" s="5"/>
      <c r="G389" s="6"/>
      <c r="H389" s="5"/>
      <c r="I389" s="5"/>
    </row>
    <row r="390" spans="2:9" x14ac:dyDescent="0.25">
      <c r="B390" s="4"/>
      <c r="C390" s="4"/>
      <c r="D390" s="5"/>
      <c r="E390" s="5"/>
      <c r="F390" s="5"/>
      <c r="G390" s="6"/>
      <c r="H390" s="5"/>
      <c r="I390" s="5"/>
    </row>
    <row r="396" spans="2:9" x14ac:dyDescent="0.25">
      <c r="B396" s="28" t="s">
        <v>24</v>
      </c>
    </row>
    <row r="397" spans="2:9" x14ac:dyDescent="0.25">
      <c r="B397" s="21" t="s">
        <v>25</v>
      </c>
      <c r="C397" t="s">
        <v>266</v>
      </c>
    </row>
    <row r="398" spans="2:9" x14ac:dyDescent="0.25">
      <c r="B398" s="21" t="s">
        <v>109</v>
      </c>
      <c r="C398" t="s">
        <v>267</v>
      </c>
    </row>
    <row r="399" spans="2:9" x14ac:dyDescent="0.25">
      <c r="B399" s="28" t="s">
        <v>27</v>
      </c>
    </row>
    <row r="400" spans="2:9" x14ac:dyDescent="0.25">
      <c r="B400" s="21" t="s">
        <v>28</v>
      </c>
      <c r="C400" t="s">
        <v>206</v>
      </c>
    </row>
    <row r="401" spans="2:15" x14ac:dyDescent="0.25">
      <c r="B401" s="21" t="s">
        <v>30</v>
      </c>
      <c r="C401" t="s">
        <v>207</v>
      </c>
      <c r="G401"/>
    </row>
    <row r="402" spans="2:15" x14ac:dyDescent="0.25">
      <c r="B402" s="21" t="s">
        <v>32</v>
      </c>
      <c r="C402" t="s">
        <v>208</v>
      </c>
      <c r="G402"/>
    </row>
    <row r="403" spans="2:15" x14ac:dyDescent="0.25">
      <c r="B403" s="21"/>
      <c r="G403"/>
    </row>
    <row r="404" spans="2:15" x14ac:dyDescent="0.25">
      <c r="B404" s="28" t="s">
        <v>34</v>
      </c>
      <c r="G404"/>
    </row>
    <row r="405" spans="2:15" x14ac:dyDescent="0.25">
      <c r="G405"/>
    </row>
    <row r="406" spans="2:15" ht="15.75" thickBot="1" x14ac:dyDescent="0.3">
      <c r="B406" s="1" t="s">
        <v>268</v>
      </c>
      <c r="C406" s="2"/>
      <c r="D406" s="2"/>
      <c r="E406" s="2"/>
      <c r="F406" s="2"/>
      <c r="G406" s="2"/>
      <c r="H406" s="2"/>
      <c r="I406" s="2"/>
    </row>
    <row r="407" spans="2:15" ht="15.75" thickTop="1" x14ac:dyDescent="0.25">
      <c r="G407"/>
    </row>
    <row r="408" spans="2:15" ht="30.75" thickBot="1" x14ac:dyDescent="0.3">
      <c r="B408" s="124" t="s">
        <v>210</v>
      </c>
      <c r="C408" s="125" t="s">
        <v>211</v>
      </c>
      <c r="D408" s="125" t="s">
        <v>12</v>
      </c>
      <c r="E408" s="125" t="s">
        <v>212</v>
      </c>
      <c r="F408" s="126" t="s">
        <v>213</v>
      </c>
      <c r="G408" s="126" t="s">
        <v>15</v>
      </c>
      <c r="H408" s="125" t="s">
        <v>214</v>
      </c>
      <c r="I408" s="126" t="s">
        <v>215</v>
      </c>
      <c r="J408" s="127" t="s">
        <v>216</v>
      </c>
      <c r="K408" s="128"/>
    </row>
    <row r="409" spans="2:15" ht="16.5" thickTop="1" thickBot="1" x14ac:dyDescent="0.3">
      <c r="B409" s="129"/>
      <c r="C409" s="129"/>
      <c r="D409" s="130" t="s">
        <v>217</v>
      </c>
      <c r="E409" s="130" t="s">
        <v>218</v>
      </c>
      <c r="F409" s="130" t="s">
        <v>219</v>
      </c>
      <c r="G409" s="131" t="s">
        <v>220</v>
      </c>
      <c r="H409" s="132"/>
      <c r="I409" s="131" t="s">
        <v>221</v>
      </c>
      <c r="J409" s="131" t="s">
        <v>221</v>
      </c>
      <c r="K409" s="133"/>
    </row>
    <row r="410" spans="2:15" ht="15.75" thickTop="1" x14ac:dyDescent="0.25">
      <c r="B410" s="134">
        <v>0</v>
      </c>
      <c r="C410" s="135" t="s">
        <v>222</v>
      </c>
      <c r="D410" s="162">
        <v>0</v>
      </c>
      <c r="E410" s="135">
        <v>0</v>
      </c>
      <c r="F410" s="137">
        <v>0</v>
      </c>
      <c r="G410" s="138">
        <v>0</v>
      </c>
      <c r="H410" s="139">
        <v>0</v>
      </c>
      <c r="I410" s="139">
        <v>0</v>
      </c>
      <c r="J410" s="139">
        <v>0</v>
      </c>
      <c r="K410" s="31"/>
    </row>
    <row r="411" spans="2:15" ht="30" x14ac:dyDescent="0.25">
      <c r="B411" s="134">
        <v>1</v>
      </c>
      <c r="C411" s="135" t="s">
        <v>269</v>
      </c>
      <c r="D411" s="136" t="s">
        <v>270</v>
      </c>
      <c r="E411" s="135">
        <v>18</v>
      </c>
      <c r="F411" s="137">
        <f>VLOOKUP(D411, W_PROP, 29, FALSE)</f>
        <v>2140</v>
      </c>
      <c r="G411" s="138">
        <f>$E$206/1000</f>
        <v>29</v>
      </c>
      <c r="H411" s="139" t="s">
        <v>271</v>
      </c>
      <c r="I411" s="139" t="s">
        <v>226</v>
      </c>
      <c r="J411" s="139">
        <f>F411*G411*1000/(E411)</f>
        <v>3447777.777777778</v>
      </c>
      <c r="K411" s="31"/>
      <c r="L411" t="s">
        <v>272</v>
      </c>
    </row>
    <row r="412" spans="2:15" ht="30" x14ac:dyDescent="0.25">
      <c r="B412" s="99">
        <v>2</v>
      </c>
      <c r="C412" s="163" t="s">
        <v>273</v>
      </c>
      <c r="D412" s="140" t="s">
        <v>270</v>
      </c>
      <c r="E412" s="99">
        <v>18</v>
      </c>
      <c r="F412" s="141">
        <f>VLOOKUP(D412, W_PROP, 29, FALSE)</f>
        <v>2140</v>
      </c>
      <c r="G412" s="5">
        <f>$E$206/1000</f>
        <v>29</v>
      </c>
      <c r="H412" s="31" t="s">
        <v>225</v>
      </c>
      <c r="I412" s="31" t="s">
        <v>226</v>
      </c>
      <c r="J412" s="31">
        <f>F412*G412*1000/(E412)</f>
        <v>3447777.777777778</v>
      </c>
      <c r="K412" s="31"/>
      <c r="L412" t="s">
        <v>49</v>
      </c>
    </row>
    <row r="413" spans="2:15" ht="30" x14ac:dyDescent="0.25">
      <c r="B413" s="99">
        <v>3</v>
      </c>
      <c r="C413" s="163" t="s">
        <v>274</v>
      </c>
      <c r="D413" s="140" t="s">
        <v>275</v>
      </c>
      <c r="E413" s="99">
        <v>18</v>
      </c>
      <c r="F413" s="141">
        <f>VLOOKUP(D413, W_PROP, 29, FALSE)</f>
        <v>2400</v>
      </c>
      <c r="G413" s="5">
        <f>$E$206/1000</f>
        <v>29</v>
      </c>
      <c r="H413" s="31" t="s">
        <v>225</v>
      </c>
      <c r="I413" s="31" t="s">
        <v>226</v>
      </c>
      <c r="J413" s="31">
        <f>F413*G413*1000/(E413)</f>
        <v>3866666.6666666665</v>
      </c>
      <c r="K413" s="31"/>
      <c r="L413" t="s">
        <v>50</v>
      </c>
    </row>
    <row r="414" spans="2:15" x14ac:dyDescent="0.25">
      <c r="B414" s="99">
        <v>4</v>
      </c>
      <c r="C414" s="99" t="s">
        <v>228</v>
      </c>
      <c r="D414" s="140" t="s">
        <v>276</v>
      </c>
      <c r="E414" s="99">
        <v>28</v>
      </c>
      <c r="F414" s="141">
        <f>VLOOKUP(D414, W_PROP, 29, FALSE)</f>
        <v>4080</v>
      </c>
      <c r="G414" s="5">
        <f>$E$206/1000</f>
        <v>29</v>
      </c>
      <c r="H414" s="31" t="s">
        <v>225</v>
      </c>
      <c r="I414" s="31" t="s">
        <v>226</v>
      </c>
      <c r="J414" s="31">
        <f>F414*G414*1000/(2*E414)</f>
        <v>2112857.1428571427</v>
      </c>
      <c r="K414" s="31"/>
      <c r="L414" s="94" t="s">
        <v>277</v>
      </c>
    </row>
    <row r="415" spans="2:15" ht="15.75" thickBot="1" x14ac:dyDescent="0.3">
      <c r="B415" s="142">
        <v>5</v>
      </c>
      <c r="C415" s="142" t="s">
        <v>230</v>
      </c>
      <c r="D415" s="143" t="s">
        <v>276</v>
      </c>
      <c r="E415" s="142">
        <v>28</v>
      </c>
      <c r="F415" s="144">
        <f>VLOOKUP(D415, W_PROP, 29, FALSE)</f>
        <v>4080</v>
      </c>
      <c r="G415" s="2">
        <f>$E$206/1000</f>
        <v>29</v>
      </c>
      <c r="H415" s="145" t="s">
        <v>225</v>
      </c>
      <c r="I415" s="145" t="s">
        <v>226</v>
      </c>
      <c r="J415" s="145">
        <f>F415*G415*1000/(E415*2)</f>
        <v>2112857.1428571427</v>
      </c>
      <c r="K415" s="31"/>
      <c r="L415" s="94" t="s">
        <v>278</v>
      </c>
      <c r="N415" s="8" t="s">
        <v>279</v>
      </c>
      <c r="O415" s="8" t="s">
        <v>280</v>
      </c>
    </row>
    <row r="416" spans="2:15" ht="15.75" thickTop="1" x14ac:dyDescent="0.25">
      <c r="B416" s="99"/>
      <c r="C416" s="31"/>
      <c r="D416" s="31"/>
      <c r="E416" s="31"/>
      <c r="F416" s="31"/>
      <c r="G416" s="31"/>
      <c r="H416" s="31"/>
      <c r="I416" s="31"/>
      <c r="J416" s="31"/>
      <c r="K416" s="31"/>
    </row>
    <row r="417" spans="2:15" ht="15.75" thickBot="1" x14ac:dyDescent="0.3">
      <c r="B417" s="1" t="s">
        <v>281</v>
      </c>
      <c r="C417" s="2"/>
      <c r="D417" s="2"/>
      <c r="E417" s="2"/>
      <c r="F417" s="2"/>
      <c r="G417" s="2"/>
      <c r="H417" s="2"/>
      <c r="I417" s="2"/>
    </row>
    <row r="418" spans="2:15" ht="15.75" thickTop="1" x14ac:dyDescent="0.25"/>
    <row r="419" spans="2:15" ht="39" thickBot="1" x14ac:dyDescent="0.3">
      <c r="B419" s="125" t="s">
        <v>210</v>
      </c>
      <c r="C419" s="125" t="s">
        <v>232</v>
      </c>
      <c r="D419" s="146" t="s">
        <v>233</v>
      </c>
      <c r="E419" s="125" t="s">
        <v>234</v>
      </c>
      <c r="F419" s="125" t="s">
        <v>235</v>
      </c>
      <c r="G419" s="126" t="s">
        <v>236</v>
      </c>
      <c r="H419" s="126" t="s">
        <v>237</v>
      </c>
      <c r="I419" s="126" t="s">
        <v>238</v>
      </c>
      <c r="J419" s="147" t="s">
        <v>239</v>
      </c>
      <c r="K419" s="148"/>
    </row>
    <row r="420" spans="2:15" ht="16.5" thickTop="1" thickBot="1" x14ac:dyDescent="0.3">
      <c r="B420" s="149" t="s">
        <v>240</v>
      </c>
      <c r="C420" s="150" t="s">
        <v>241</v>
      </c>
      <c r="D420" s="130" t="s">
        <v>83</v>
      </c>
      <c r="E420" s="130"/>
      <c r="F420" s="130" t="s">
        <v>217</v>
      </c>
      <c r="G420" s="130" t="s">
        <v>218</v>
      </c>
      <c r="H420" s="131" t="s">
        <v>219</v>
      </c>
      <c r="I420" s="131" t="s">
        <v>221</v>
      </c>
      <c r="J420" s="151"/>
      <c r="K420" s="152"/>
    </row>
    <row r="421" spans="2:15" ht="15.75" thickTop="1" x14ac:dyDescent="0.25">
      <c r="B421" s="153" t="s">
        <v>282</v>
      </c>
      <c r="C421" s="153" t="s">
        <v>242</v>
      </c>
      <c r="D421" s="139" t="str">
        <f>H411</f>
        <v>Fixed</v>
      </c>
      <c r="E421" s="153"/>
      <c r="F421" s="153"/>
      <c r="G421" s="153"/>
      <c r="H421" s="154"/>
      <c r="I421" s="155">
        <f>IF(D421="Pin",10,1)</f>
        <v>1</v>
      </c>
      <c r="J421" s="65">
        <v>1.4</v>
      </c>
      <c r="L421" s="41" t="s">
        <v>243</v>
      </c>
      <c r="N421" t="s">
        <v>244</v>
      </c>
      <c r="O421" t="s">
        <v>283</v>
      </c>
    </row>
    <row r="422" spans="2:15" ht="15.75" thickBot="1" x14ac:dyDescent="0.3">
      <c r="B422" s="145"/>
      <c r="C422" s="145" t="s">
        <v>246</v>
      </c>
      <c r="D422" s="145" t="str">
        <f>I411</f>
        <v>Normal</v>
      </c>
      <c r="E422" s="145">
        <v>1</v>
      </c>
      <c r="F422" s="145">
        <v>0</v>
      </c>
      <c r="G422" s="145">
        <v>0</v>
      </c>
      <c r="H422" s="145">
        <v>5</v>
      </c>
      <c r="I422" s="164">
        <f>F411*E414/(E411*F414*0.5)</f>
        <v>1.6318082788671024</v>
      </c>
      <c r="J422" s="145">
        <v>1</v>
      </c>
      <c r="K422" s="31"/>
    </row>
    <row r="423" spans="2:15" ht="15.75" thickTop="1" x14ac:dyDescent="0.25">
      <c r="B423" s="153" t="s">
        <v>284</v>
      </c>
      <c r="C423" s="153" t="s">
        <v>242</v>
      </c>
      <c r="D423" s="139" t="str">
        <f>H412</f>
        <v>Pin</v>
      </c>
      <c r="E423" s="153"/>
      <c r="F423" s="153"/>
      <c r="G423" s="153"/>
      <c r="H423" s="154"/>
      <c r="I423" s="155">
        <f>IF(D423="Pin",10,1)</f>
        <v>10</v>
      </c>
      <c r="J423" s="65">
        <v>1</v>
      </c>
      <c r="L423" t="s">
        <v>285</v>
      </c>
    </row>
    <row r="424" spans="2:15" ht="15.75" thickBot="1" x14ac:dyDescent="0.3">
      <c r="B424" s="145"/>
      <c r="C424" s="145" t="s">
        <v>246</v>
      </c>
      <c r="D424" s="145" t="str">
        <f>I413</f>
        <v>Normal</v>
      </c>
      <c r="E424" s="145">
        <v>2</v>
      </c>
      <c r="F424" s="145">
        <v>0</v>
      </c>
      <c r="G424" s="145">
        <v>4</v>
      </c>
      <c r="H424" s="145">
        <v>5</v>
      </c>
      <c r="I424" s="156">
        <f>(VLOOKUP(E424,B410:J415,9,FALSE)+VLOOKUP(F424,B410:J415,9,FALSE))/(VLOOKUP(G424,B410:J415,9,FALSE)+VLOOKUP(H424,B410:J415,9,FALSE))</f>
        <v>0.81590413943355133</v>
      </c>
      <c r="J424" s="145">
        <v>1</v>
      </c>
      <c r="L424" t="s">
        <v>286</v>
      </c>
    </row>
    <row r="425" spans="2:15" ht="15.75" thickTop="1" x14ac:dyDescent="0.25">
      <c r="B425" s="153" t="s">
        <v>287</v>
      </c>
      <c r="C425" s="153" t="s">
        <v>242</v>
      </c>
      <c r="D425" s="139" t="str">
        <f>H413</f>
        <v>Pin</v>
      </c>
      <c r="E425" s="153"/>
      <c r="F425" s="153"/>
      <c r="G425" s="153"/>
      <c r="H425" s="154"/>
      <c r="I425" s="155">
        <f>IF(D425="Pin",10,1)</f>
        <v>10</v>
      </c>
      <c r="J425" s="65">
        <v>1</v>
      </c>
      <c r="L425" t="s">
        <v>285</v>
      </c>
    </row>
    <row r="426" spans="2:15" ht="15.75" thickBot="1" x14ac:dyDescent="0.3">
      <c r="B426" s="145"/>
      <c r="C426" s="145" t="s">
        <v>246</v>
      </c>
      <c r="D426" s="145" t="str">
        <f>I413</f>
        <v>Normal</v>
      </c>
      <c r="E426" s="145">
        <v>3</v>
      </c>
      <c r="F426" s="145">
        <v>0</v>
      </c>
      <c r="G426" s="145">
        <v>4</v>
      </c>
      <c r="H426" s="145">
        <v>5</v>
      </c>
      <c r="I426" s="156">
        <f>(VLOOKUP(E426,B410:J415,9,FALSE)+VLOOKUP(F426,B410:J415,9,FALSE))/(VLOOKUP(G426,B410:J415,9,FALSE)+VLOOKUP(H426,B410:J415,9,FALSE))</f>
        <v>0.91503267973856206</v>
      </c>
      <c r="J426" s="145">
        <v>1</v>
      </c>
      <c r="L426" t="s">
        <v>286</v>
      </c>
    </row>
    <row r="427" spans="2:15" ht="15.75" thickTop="1" x14ac:dyDescent="0.25">
      <c r="B427" s="31"/>
      <c r="C427" s="31"/>
      <c r="D427" s="31"/>
      <c r="E427" s="31"/>
      <c r="F427" s="31"/>
      <c r="G427" s="31"/>
      <c r="H427" s="31"/>
      <c r="I427" s="105"/>
      <c r="J427" s="31"/>
    </row>
    <row r="428" spans="2:15" ht="15.75" thickBot="1" x14ac:dyDescent="0.3">
      <c r="B428" s="1" t="s">
        <v>288</v>
      </c>
      <c r="C428" s="2"/>
      <c r="D428" s="2"/>
      <c r="E428" s="3"/>
      <c r="F428" s="3"/>
      <c r="G428" s="3"/>
      <c r="H428" s="2"/>
      <c r="I428" s="85"/>
      <c r="J428" s="2"/>
      <c r="K428" s="2"/>
      <c r="L428" s="2" t="s">
        <v>15</v>
      </c>
    </row>
    <row r="429" spans="2:15" ht="15.75" thickTop="1" x14ac:dyDescent="0.25">
      <c r="G429"/>
    </row>
    <row r="430" spans="2:15" x14ac:dyDescent="0.25">
      <c r="B430" s="7" t="s">
        <v>38</v>
      </c>
      <c r="D430" s="21" t="s">
        <v>39</v>
      </c>
      <c r="E430" s="10">
        <v>500</v>
      </c>
      <c r="F430" s="8" t="s">
        <v>40</v>
      </c>
      <c r="I430" s="83">
        <f>E430</f>
        <v>500</v>
      </c>
      <c r="J430" s="29" t="s">
        <v>40</v>
      </c>
      <c r="K430" s="29"/>
    </row>
    <row r="431" spans="2:15" x14ac:dyDescent="0.25">
      <c r="B431" s="7" t="s">
        <v>41</v>
      </c>
      <c r="D431" s="21" t="s">
        <v>42</v>
      </c>
      <c r="E431" s="10">
        <v>800</v>
      </c>
      <c r="F431" s="8" t="s">
        <v>40</v>
      </c>
      <c r="I431" s="83">
        <f>E431</f>
        <v>800</v>
      </c>
      <c r="J431" s="29" t="s">
        <v>40</v>
      </c>
      <c r="K431" s="29"/>
    </row>
    <row r="432" spans="2:15" ht="18" x14ac:dyDescent="0.35">
      <c r="B432" s="7" t="s">
        <v>43</v>
      </c>
      <c r="D432" s="30" t="s">
        <v>44</v>
      </c>
      <c r="E432" s="31">
        <v>0.9</v>
      </c>
      <c r="F432" s="5"/>
      <c r="H432" s="30" t="s">
        <v>45</v>
      </c>
      <c r="I432" s="31">
        <v>1.5</v>
      </c>
      <c r="L432" s="29"/>
    </row>
    <row r="433" spans="2:15" ht="18" x14ac:dyDescent="0.35">
      <c r="B433" s="7"/>
      <c r="D433" s="32" t="s">
        <v>46</v>
      </c>
      <c r="E433" s="33">
        <v>0.75</v>
      </c>
      <c r="F433" s="5"/>
      <c r="H433" s="30" t="s">
        <v>45</v>
      </c>
      <c r="I433" s="31">
        <v>2</v>
      </c>
      <c r="L433" s="29"/>
    </row>
    <row r="434" spans="2:15" x14ac:dyDescent="0.25">
      <c r="C434" s="21"/>
      <c r="F434" s="21"/>
      <c r="G434"/>
      <c r="I434" s="21"/>
      <c r="M434"/>
    </row>
    <row r="435" spans="2:15" ht="15.75" thickBot="1" x14ac:dyDescent="0.3">
      <c r="C435" s="20" t="s">
        <v>49</v>
      </c>
      <c r="D435" s="2"/>
      <c r="E435" s="2"/>
      <c r="F435" s="5"/>
      <c r="H435" s="20" t="s">
        <v>50</v>
      </c>
      <c r="I435" s="2"/>
      <c r="J435" s="2"/>
      <c r="K435" s="2"/>
      <c r="L435" s="20"/>
      <c r="M435"/>
    </row>
    <row r="436" spans="2:15" ht="15.75" thickTop="1" x14ac:dyDescent="0.25">
      <c r="B436" s="28"/>
      <c r="C436" s="5"/>
      <c r="D436" s="5"/>
      <c r="E436" s="5"/>
      <c r="F436" s="5"/>
      <c r="H436" s="5"/>
      <c r="I436" s="5"/>
      <c r="M436"/>
    </row>
    <row r="437" spans="2:15" ht="15.75" thickBot="1" x14ac:dyDescent="0.3">
      <c r="B437" s="39" t="s">
        <v>51</v>
      </c>
      <c r="C437" s="4" t="s">
        <v>52</v>
      </c>
      <c r="D437" s="5"/>
      <c r="E437" s="5"/>
      <c r="F437" s="5"/>
      <c r="H437" s="4" t="s">
        <v>52</v>
      </c>
      <c r="L437" s="40"/>
      <c r="M437"/>
    </row>
    <row r="438" spans="2:15" ht="15.75" thickBot="1" x14ac:dyDescent="0.3">
      <c r="B438" s="41" t="s">
        <v>53</v>
      </c>
      <c r="D438" s="42" t="s">
        <v>54</v>
      </c>
      <c r="E438" s="43">
        <f>1.2*E430+1.6*E431</f>
        <v>1880</v>
      </c>
      <c r="F438" s="44" t="str">
        <f>F430</f>
        <v>kip</v>
      </c>
      <c r="H438" s="42" t="s">
        <v>55</v>
      </c>
      <c r="I438" s="43">
        <f>I430+I431</f>
        <v>1300</v>
      </c>
      <c r="J438" s="44" t="str">
        <f>F438</f>
        <v>kip</v>
      </c>
      <c r="K438" s="16"/>
      <c r="L438" s="28" t="s">
        <v>289</v>
      </c>
      <c r="M438"/>
    </row>
    <row r="439" spans="2:15" ht="15.75" thickBot="1" x14ac:dyDescent="0.3">
      <c r="D439" s="21" t="s">
        <v>290</v>
      </c>
      <c r="E439" s="158">
        <f>J423*E412</f>
        <v>18</v>
      </c>
      <c r="F439" t="s">
        <v>37</v>
      </c>
      <c r="H439" s="21" t="s">
        <v>290</v>
      </c>
      <c r="I439" s="158">
        <f>J423*E413</f>
        <v>18</v>
      </c>
      <c r="J439" t="s">
        <v>37</v>
      </c>
      <c r="L439" s="165" t="s">
        <v>291</v>
      </c>
    </row>
    <row r="440" spans="2:15" ht="18.75" thickBot="1" x14ac:dyDescent="0.4">
      <c r="B440" s="39" t="s">
        <v>61</v>
      </c>
      <c r="C440" s="28" t="s">
        <v>96</v>
      </c>
      <c r="D440" s="42" t="s">
        <v>79</v>
      </c>
      <c r="E440" s="55">
        <v>1890</v>
      </c>
      <c r="F440" s="56" t="str">
        <f>F439</f>
        <v>ft</v>
      </c>
      <c r="G440"/>
      <c r="H440" s="42" t="s">
        <v>97</v>
      </c>
      <c r="I440" s="55">
        <v>1380</v>
      </c>
      <c r="J440" s="56" t="str">
        <f>F440</f>
        <v>ft</v>
      </c>
      <c r="L440" s="28" t="s">
        <v>96</v>
      </c>
      <c r="N440" t="s">
        <v>73</v>
      </c>
      <c r="O440" s="52" t="s">
        <v>249</v>
      </c>
    </row>
    <row r="441" spans="2:15" x14ac:dyDescent="0.25">
      <c r="B441" s="39" t="s">
        <v>292</v>
      </c>
      <c r="C441" s="28" t="s">
        <v>98</v>
      </c>
      <c r="F441" s="5"/>
      <c r="G441"/>
      <c r="H441" s="28" t="s">
        <v>98</v>
      </c>
      <c r="J441" s="5"/>
      <c r="K441" s="5"/>
      <c r="L441" s="28" t="s">
        <v>99</v>
      </c>
    </row>
    <row r="442" spans="2:15" x14ac:dyDescent="0.25">
      <c r="B442" t="s">
        <v>293</v>
      </c>
      <c r="E442" s="65" t="str">
        <f>IF(E440&gt;E438, "OK", "N/G")</f>
        <v>OK</v>
      </c>
      <c r="G442"/>
      <c r="I442" s="65" t="str">
        <f>IF(I440&gt;I438, "OK", "N/G")</f>
        <v>OK</v>
      </c>
    </row>
    <row r="443" spans="2:15" ht="15.75" thickBot="1" x14ac:dyDescent="0.3">
      <c r="B443" s="28"/>
      <c r="D443" s="30"/>
      <c r="E443" s="40"/>
      <c r="F443" s="5"/>
      <c r="G443"/>
      <c r="H443" s="30"/>
      <c r="I443" s="40"/>
      <c r="J443" s="5"/>
      <c r="L443" s="75"/>
    </row>
    <row r="444" spans="2:15" ht="15.75" thickBot="1" x14ac:dyDescent="0.3">
      <c r="B444" s="28" t="s">
        <v>294</v>
      </c>
      <c r="D444" s="66" t="s">
        <v>102</v>
      </c>
      <c r="E444" s="67" t="str">
        <f>D412</f>
        <v>W14X176</v>
      </c>
      <c r="F444" s="68"/>
      <c r="G444" s="5"/>
      <c r="H444" s="69" t="s">
        <v>104</v>
      </c>
      <c r="I444" s="67" t="str">
        <f>D413</f>
        <v>W14X193</v>
      </c>
      <c r="J444" s="68"/>
      <c r="L444" s="75" t="s">
        <v>105</v>
      </c>
    </row>
    <row r="445" spans="2:15" x14ac:dyDescent="0.25">
      <c r="B445" s="28"/>
      <c r="D445" s="30"/>
      <c r="E445" s="40"/>
      <c r="F445" s="5"/>
      <c r="G445"/>
      <c r="H445" s="30"/>
      <c r="I445" s="40"/>
      <c r="J445" s="5"/>
      <c r="L445" s="75"/>
    </row>
    <row r="446" spans="2:15" ht="15.75" thickBot="1" x14ac:dyDescent="0.3">
      <c r="B446" s="1" t="s">
        <v>295</v>
      </c>
      <c r="C446" s="2"/>
      <c r="D446" s="2"/>
      <c r="E446" s="3"/>
      <c r="F446" s="3"/>
      <c r="G446" s="3"/>
      <c r="H446" s="2"/>
      <c r="I446" s="85"/>
      <c r="J446" s="2"/>
      <c r="K446" s="2"/>
      <c r="L446" s="2" t="s">
        <v>15</v>
      </c>
    </row>
    <row r="447" spans="2:15" ht="15.75" thickTop="1" x14ac:dyDescent="0.25">
      <c r="G447"/>
    </row>
    <row r="448" spans="2:15" x14ac:dyDescent="0.25">
      <c r="B448" s="7" t="s">
        <v>38</v>
      </c>
      <c r="D448" s="21" t="s">
        <v>39</v>
      </c>
      <c r="E448" s="10">
        <v>250</v>
      </c>
      <c r="F448" s="8" t="s">
        <v>40</v>
      </c>
      <c r="H448" s="21" t="s">
        <v>39</v>
      </c>
      <c r="I448" s="166">
        <f>E448</f>
        <v>250</v>
      </c>
      <c r="J448" s="8" t="s">
        <v>40</v>
      </c>
      <c r="K448" s="29"/>
    </row>
    <row r="449" spans="2:13" x14ac:dyDescent="0.25">
      <c r="B449" s="7" t="s">
        <v>41</v>
      </c>
      <c r="D449" s="21" t="s">
        <v>42</v>
      </c>
      <c r="E449" s="10">
        <v>400</v>
      </c>
      <c r="F449" s="8" t="s">
        <v>40</v>
      </c>
      <c r="H449" s="21" t="s">
        <v>42</v>
      </c>
      <c r="I449" s="166">
        <f>E449</f>
        <v>400</v>
      </c>
      <c r="J449" s="8" t="s">
        <v>40</v>
      </c>
      <c r="K449" s="29"/>
    </row>
    <row r="450" spans="2:13" x14ac:dyDescent="0.25">
      <c r="B450" s="7" t="s">
        <v>296</v>
      </c>
      <c r="D450" s="21" t="s">
        <v>297</v>
      </c>
      <c r="E450" s="10">
        <f>(E438)/2</f>
        <v>940</v>
      </c>
      <c r="F450" s="8" t="str">
        <f>F448</f>
        <v>kip</v>
      </c>
      <c r="H450" s="21" t="s">
        <v>297</v>
      </c>
      <c r="I450" s="166">
        <f>I438/2</f>
        <v>650</v>
      </c>
      <c r="J450" s="8" t="str">
        <f>J448</f>
        <v>kip</v>
      </c>
      <c r="K450" s="29"/>
    </row>
    <row r="451" spans="2:13" ht="18" x14ac:dyDescent="0.35">
      <c r="B451" s="7" t="s">
        <v>43</v>
      </c>
      <c r="D451" s="30" t="s">
        <v>44</v>
      </c>
      <c r="E451" s="31">
        <v>0.9</v>
      </c>
      <c r="F451" s="5"/>
      <c r="H451" s="30" t="s">
        <v>45</v>
      </c>
      <c r="I451" s="31">
        <v>1.5</v>
      </c>
      <c r="L451" s="29"/>
    </row>
    <row r="452" spans="2:13" ht="18" x14ac:dyDescent="0.35">
      <c r="B452" s="7"/>
      <c r="D452" s="32" t="s">
        <v>46</v>
      </c>
      <c r="E452" s="33">
        <v>0.75</v>
      </c>
      <c r="F452" s="5"/>
      <c r="H452" s="30" t="s">
        <v>45</v>
      </c>
      <c r="I452" s="31">
        <v>2</v>
      </c>
      <c r="L452" s="29"/>
    </row>
    <row r="453" spans="2:13" x14ac:dyDescent="0.25">
      <c r="C453" s="21"/>
      <c r="F453" s="21"/>
      <c r="G453"/>
      <c r="I453" s="21"/>
      <c r="M453"/>
    </row>
    <row r="454" spans="2:13" ht="15.75" thickBot="1" x14ac:dyDescent="0.3">
      <c r="C454" s="20" t="s">
        <v>49</v>
      </c>
      <c r="D454" s="2"/>
      <c r="E454" s="2"/>
      <c r="F454" s="5"/>
      <c r="H454" s="20" t="s">
        <v>50</v>
      </c>
      <c r="I454" s="2"/>
      <c r="J454" s="2"/>
      <c r="K454" s="2"/>
      <c r="L454" s="20"/>
      <c r="M454"/>
    </row>
    <row r="455" spans="2:13" ht="15.75" thickTop="1" x14ac:dyDescent="0.25">
      <c r="B455" s="28"/>
      <c r="C455" s="5"/>
      <c r="D455" s="5"/>
      <c r="E455" s="5"/>
      <c r="F455" s="5"/>
      <c r="H455" s="5"/>
      <c r="I455" s="5"/>
    </row>
    <row r="456" spans="2:13" ht="15.75" thickBot="1" x14ac:dyDescent="0.3">
      <c r="B456" s="39" t="s">
        <v>51</v>
      </c>
      <c r="C456" s="4" t="s">
        <v>52</v>
      </c>
      <c r="D456" s="5"/>
      <c r="E456" s="5"/>
      <c r="F456" s="5"/>
      <c r="H456" s="4" t="s">
        <v>52</v>
      </c>
      <c r="L456" s="40"/>
      <c r="M456" s="16"/>
    </row>
    <row r="457" spans="2:13" x14ac:dyDescent="0.25">
      <c r="B457" s="41" t="s">
        <v>298</v>
      </c>
      <c r="D457" s="167" t="s">
        <v>54</v>
      </c>
      <c r="E457" s="168">
        <f>1.2*E448+1.6*E449+E450</f>
        <v>1880</v>
      </c>
      <c r="F457" s="169" t="str">
        <f>F448</f>
        <v>kip</v>
      </c>
      <c r="H457" s="167" t="s">
        <v>55</v>
      </c>
      <c r="I457" s="168">
        <f>I448+I449+I450</f>
        <v>1300</v>
      </c>
      <c r="J457" s="169" t="str">
        <f>F457</f>
        <v>kip</v>
      </c>
      <c r="K457" s="16"/>
    </row>
    <row r="458" spans="2:13" ht="15.75" thickBot="1" x14ac:dyDescent="0.3">
      <c r="B458" t="s">
        <v>299</v>
      </c>
      <c r="D458" s="170" t="s">
        <v>54</v>
      </c>
      <c r="E458" s="171">
        <f>1.2*E448+1.6*E449</f>
        <v>940</v>
      </c>
      <c r="F458" s="172" t="str">
        <f>F449</f>
        <v>kip</v>
      </c>
      <c r="H458" s="170" t="s">
        <v>55</v>
      </c>
      <c r="I458" s="171">
        <f>I449+I448</f>
        <v>650</v>
      </c>
      <c r="J458" s="172" t="str">
        <f>F458</f>
        <v>kip</v>
      </c>
      <c r="M458"/>
    </row>
    <row r="459" spans="2:13" x14ac:dyDescent="0.25">
      <c r="D459" s="30"/>
      <c r="E459" s="31"/>
      <c r="F459" s="16"/>
      <c r="H459" s="30"/>
      <c r="I459" s="31"/>
      <c r="J459" s="16"/>
      <c r="M459"/>
    </row>
    <row r="460" spans="2:13" x14ac:dyDescent="0.25">
      <c r="B460" s="95" t="s">
        <v>299</v>
      </c>
      <c r="C460" s="70"/>
      <c r="D460" s="45"/>
      <c r="E460" s="31"/>
      <c r="F460" s="5"/>
      <c r="G460" s="71"/>
      <c r="H460" s="45"/>
      <c r="I460" s="31"/>
      <c r="J460" s="5"/>
      <c r="K460" s="5"/>
      <c r="L460" s="28"/>
      <c r="M460"/>
    </row>
    <row r="461" spans="2:13" ht="15.75" thickBot="1" x14ac:dyDescent="0.3">
      <c r="D461" s="21" t="s">
        <v>290</v>
      </c>
      <c r="E461" s="158">
        <f>J443*E432</f>
        <v>0</v>
      </c>
      <c r="F461" t="s">
        <v>37</v>
      </c>
      <c r="H461" s="21" t="s">
        <v>290</v>
      </c>
      <c r="I461" s="158">
        <f>J443*E433</f>
        <v>0</v>
      </c>
      <c r="J461" t="s">
        <v>37</v>
      </c>
      <c r="L461" s="165" t="s">
        <v>291</v>
      </c>
      <c r="M461"/>
    </row>
    <row r="462" spans="2:13" ht="18.75" thickBot="1" x14ac:dyDescent="0.4">
      <c r="B462" s="39" t="s">
        <v>61</v>
      </c>
      <c r="C462" s="28" t="s">
        <v>96</v>
      </c>
      <c r="D462" s="42" t="s">
        <v>79</v>
      </c>
      <c r="E462" s="55">
        <v>1890</v>
      </c>
      <c r="F462" s="56" t="str">
        <f>F461</f>
        <v>ft</v>
      </c>
      <c r="G462"/>
      <c r="H462" s="42" t="s">
        <v>97</v>
      </c>
      <c r="I462" s="55">
        <v>1270</v>
      </c>
      <c r="J462" s="56" t="str">
        <f>F462</f>
        <v>ft</v>
      </c>
      <c r="L462" s="28" t="s">
        <v>96</v>
      </c>
      <c r="M462"/>
    </row>
    <row r="463" spans="2:13" x14ac:dyDescent="0.25">
      <c r="B463" s="39" t="s">
        <v>292</v>
      </c>
      <c r="C463" s="28" t="s">
        <v>98</v>
      </c>
      <c r="F463" s="5"/>
      <c r="G463"/>
      <c r="H463" s="28" t="s">
        <v>98</v>
      </c>
      <c r="J463" s="5"/>
      <c r="K463" s="5"/>
      <c r="L463" s="28" t="s">
        <v>99</v>
      </c>
      <c r="M463"/>
    </row>
    <row r="464" spans="2:13" x14ac:dyDescent="0.25">
      <c r="B464" t="s">
        <v>293</v>
      </c>
      <c r="E464" s="65" t="str">
        <f>IF(E462&gt;E458, "OK", "N/G")</f>
        <v>OK</v>
      </c>
      <c r="G464"/>
      <c r="I464" s="65" t="str">
        <f>IF(I462&gt;I458, "OK", "N/G")</f>
        <v>OK</v>
      </c>
      <c r="M464"/>
    </row>
    <row r="465" spans="2:15" x14ac:dyDescent="0.25">
      <c r="B465" s="28"/>
      <c r="D465" s="30"/>
      <c r="E465" s="40"/>
      <c r="F465" s="5"/>
      <c r="G465"/>
      <c r="H465" s="30"/>
      <c r="I465" s="40"/>
      <c r="J465" s="5"/>
      <c r="L465" s="75"/>
      <c r="M465"/>
    </row>
    <row r="466" spans="2:15" x14ac:dyDescent="0.25">
      <c r="B466" s="28" t="s">
        <v>298</v>
      </c>
      <c r="D466" s="30"/>
      <c r="E466" s="40"/>
      <c r="F466" s="5"/>
      <c r="G466"/>
      <c r="H466" s="30"/>
      <c r="I466" s="40"/>
      <c r="J466" s="5"/>
      <c r="L466" s="75"/>
      <c r="M466"/>
    </row>
    <row r="467" spans="2:15" x14ac:dyDescent="0.25">
      <c r="B467" s="28"/>
      <c r="D467" s="30" t="s">
        <v>300</v>
      </c>
      <c r="E467" s="173">
        <f>J421</f>
        <v>1.4</v>
      </c>
      <c r="F467" s="5"/>
      <c r="G467"/>
      <c r="H467" s="30" t="s">
        <v>300</v>
      </c>
      <c r="I467" s="173">
        <f>J421</f>
        <v>1.4</v>
      </c>
      <c r="J467" s="5"/>
      <c r="L467" s="75"/>
      <c r="M467"/>
    </row>
    <row r="468" spans="2:15" x14ac:dyDescent="0.25">
      <c r="D468" s="21" t="s">
        <v>248</v>
      </c>
      <c r="E468" s="157">
        <v>1.6</v>
      </c>
      <c r="H468" s="21" t="s">
        <v>248</v>
      </c>
      <c r="I468" s="157">
        <f>E468</f>
        <v>1.6</v>
      </c>
      <c r="M468"/>
    </row>
    <row r="469" spans="2:15" ht="15.75" thickBot="1" x14ac:dyDescent="0.3">
      <c r="B469" t="s">
        <v>301</v>
      </c>
      <c r="D469" s="21" t="s">
        <v>118</v>
      </c>
      <c r="E469" s="158">
        <f>E467*E461/E468</f>
        <v>0</v>
      </c>
      <c r="F469" t="s">
        <v>37</v>
      </c>
      <c r="H469" s="21" t="s">
        <v>118</v>
      </c>
      <c r="I469" s="158">
        <f>I467*I461/I468</f>
        <v>0</v>
      </c>
      <c r="J469" t="s">
        <v>37</v>
      </c>
      <c r="M469"/>
    </row>
    <row r="470" spans="2:15" ht="18.75" thickBot="1" x14ac:dyDescent="0.4">
      <c r="B470" s="39" t="s">
        <v>61</v>
      </c>
      <c r="C470" s="28" t="s">
        <v>96</v>
      </c>
      <c r="D470" s="42" t="s">
        <v>79</v>
      </c>
      <c r="E470" s="55">
        <v>1980</v>
      </c>
      <c r="F470" s="56" t="s">
        <v>40</v>
      </c>
      <c r="G470"/>
      <c r="H470" s="42" t="s">
        <v>97</v>
      </c>
      <c r="I470" s="55">
        <v>1317</v>
      </c>
      <c r="J470" s="56" t="s">
        <v>40</v>
      </c>
      <c r="L470" s="28" t="s">
        <v>96</v>
      </c>
      <c r="M470"/>
      <c r="N470" t="s">
        <v>73</v>
      </c>
      <c r="O470" s="52" t="s">
        <v>249</v>
      </c>
    </row>
    <row r="471" spans="2:15" x14ac:dyDescent="0.25">
      <c r="B471" s="39" t="s">
        <v>292</v>
      </c>
      <c r="C471" s="28" t="s">
        <v>98</v>
      </c>
      <c r="F471" s="5"/>
      <c r="G471"/>
      <c r="H471" s="28" t="s">
        <v>98</v>
      </c>
      <c r="J471" s="5"/>
      <c r="K471" s="5"/>
      <c r="L471" s="28" t="s">
        <v>99</v>
      </c>
      <c r="M471"/>
    </row>
    <row r="472" spans="2:15" x14ac:dyDescent="0.25">
      <c r="B472" t="s">
        <v>293</v>
      </c>
      <c r="E472" s="65" t="str">
        <f>IF(E470&gt;E457, "OK", "N/G")</f>
        <v>OK</v>
      </c>
      <c r="G472"/>
      <c r="I472" s="65" t="str">
        <f>IF(I470&gt;I457, "OK", "N/G")</f>
        <v>OK</v>
      </c>
      <c r="M472"/>
    </row>
    <row r="473" spans="2:15" ht="15.75" thickBot="1" x14ac:dyDescent="0.3">
      <c r="E473" s="65"/>
      <c r="G473"/>
      <c r="I473" s="65"/>
      <c r="M473"/>
    </row>
    <row r="474" spans="2:15" ht="15.75" thickBot="1" x14ac:dyDescent="0.3">
      <c r="B474" s="28" t="s">
        <v>294</v>
      </c>
      <c r="D474" s="66" t="s">
        <v>102</v>
      </c>
      <c r="E474" s="67" t="str">
        <f>D432</f>
        <v>ft=</v>
      </c>
      <c r="F474" s="68"/>
      <c r="G474" s="5"/>
      <c r="H474" s="69" t="s">
        <v>104</v>
      </c>
      <c r="I474" s="67" t="str">
        <f>E474</f>
        <v>ft=</v>
      </c>
      <c r="J474" s="68"/>
      <c r="L474" s="75" t="s">
        <v>105</v>
      </c>
      <c r="M474"/>
    </row>
    <row r="475" spans="2:15" x14ac:dyDescent="0.25">
      <c r="G475"/>
      <c r="M475"/>
    </row>
    <row r="476" spans="2:15" ht="15.75" thickBot="1" x14ac:dyDescent="0.3">
      <c r="B476" s="28" t="s">
        <v>302</v>
      </c>
      <c r="C476" s="1"/>
      <c r="D476" s="2"/>
      <c r="E476" s="2"/>
      <c r="F476" s="2"/>
      <c r="G476" s="3"/>
      <c r="H476" s="2"/>
      <c r="I476" s="2"/>
    </row>
    <row r="477" spans="2:15" ht="15.75" thickTop="1" x14ac:dyDescent="0.25">
      <c r="B477" s="4"/>
      <c r="C477" s="4"/>
      <c r="D477" s="5"/>
      <c r="E477" s="5"/>
      <c r="F477" s="5"/>
      <c r="G477" s="6"/>
      <c r="H477" s="5"/>
      <c r="I477" s="5"/>
    </row>
    <row r="478" spans="2:15" x14ac:dyDescent="0.25">
      <c r="B478" s="4"/>
      <c r="C478" s="4"/>
      <c r="D478" s="5"/>
      <c r="E478" s="5"/>
      <c r="F478" s="5"/>
      <c r="G478" s="6"/>
      <c r="H478" s="5"/>
      <c r="I478" s="5"/>
    </row>
    <row r="479" spans="2:15" x14ac:dyDescent="0.25">
      <c r="B479" s="4"/>
      <c r="C479" s="4"/>
      <c r="D479" s="5"/>
      <c r="E479" s="5"/>
      <c r="F479" s="5"/>
      <c r="G479" s="6"/>
      <c r="H479" s="5"/>
      <c r="I479" s="5"/>
    </row>
    <row r="480" spans="2:15" x14ac:dyDescent="0.25">
      <c r="B480" s="4"/>
      <c r="C480" s="4"/>
      <c r="D480" s="5"/>
      <c r="E480" s="5"/>
      <c r="F480" s="5"/>
      <c r="G480" s="6"/>
      <c r="H480" s="5"/>
      <c r="I480" s="5"/>
    </row>
    <row r="481" spans="2:9" x14ac:dyDescent="0.25">
      <c r="B481" s="4"/>
      <c r="C481" s="4"/>
      <c r="D481" s="5"/>
      <c r="E481" s="5"/>
      <c r="F481" s="5"/>
      <c r="G481" s="6"/>
      <c r="H481" s="5"/>
      <c r="I481" s="5"/>
    </row>
    <row r="482" spans="2:9" x14ac:dyDescent="0.25">
      <c r="B482" s="4"/>
      <c r="C482" s="4"/>
      <c r="D482" s="5"/>
      <c r="E482" s="5"/>
      <c r="F482" s="5"/>
      <c r="G482" s="6"/>
      <c r="H482" s="5"/>
      <c r="I482" s="5"/>
    </row>
    <row r="483" spans="2:9" x14ac:dyDescent="0.25">
      <c r="B483" s="4"/>
      <c r="C483" s="4"/>
      <c r="D483" s="5"/>
      <c r="E483" s="5"/>
      <c r="F483" s="5"/>
      <c r="G483" s="6"/>
      <c r="H483" s="5"/>
      <c r="I483" s="5"/>
    </row>
    <row r="484" spans="2:9" x14ac:dyDescent="0.25">
      <c r="B484" s="4"/>
      <c r="C484" s="4"/>
      <c r="D484" s="5"/>
      <c r="E484" s="5"/>
      <c r="F484" s="5"/>
      <c r="G484" s="6"/>
      <c r="H484" s="5"/>
      <c r="I484" s="5"/>
    </row>
    <row r="485" spans="2:9" x14ac:dyDescent="0.25">
      <c r="B485" s="4"/>
      <c r="C485" s="4"/>
      <c r="D485" s="5"/>
      <c r="E485" s="5"/>
      <c r="F485" s="5"/>
      <c r="G485" s="6"/>
      <c r="H485" s="5"/>
      <c r="I485" s="5"/>
    </row>
    <row r="486" spans="2:9" x14ac:dyDescent="0.25">
      <c r="B486" s="4"/>
      <c r="C486" s="4"/>
      <c r="D486" s="5"/>
      <c r="E486" s="5"/>
      <c r="F486" s="5"/>
      <c r="G486" s="6"/>
      <c r="H486" s="5"/>
      <c r="I486" s="5"/>
    </row>
    <row r="487" spans="2:9" x14ac:dyDescent="0.25">
      <c r="B487" s="4"/>
      <c r="C487" s="4"/>
      <c r="D487" s="5"/>
      <c r="E487" s="5"/>
      <c r="F487" s="5"/>
      <c r="G487" s="6"/>
      <c r="H487" s="5"/>
      <c r="I487" s="5"/>
    </row>
    <row r="488" spans="2:9" x14ac:dyDescent="0.25">
      <c r="B488" s="4"/>
      <c r="C488" s="4"/>
      <c r="D488" s="5"/>
      <c r="E488" s="5"/>
      <c r="F488" s="5"/>
      <c r="G488" s="6"/>
      <c r="H488" s="5"/>
      <c r="I488" s="5"/>
    </row>
    <row r="489" spans="2:9" x14ac:dyDescent="0.25">
      <c r="B489" s="28" t="s">
        <v>24</v>
      </c>
    </row>
    <row r="490" spans="2:9" x14ac:dyDescent="0.25">
      <c r="B490" s="21" t="s">
        <v>25</v>
      </c>
      <c r="C490" t="s">
        <v>266</v>
      </c>
    </row>
    <row r="491" spans="2:9" x14ac:dyDescent="0.25">
      <c r="B491" s="21" t="s">
        <v>109</v>
      </c>
      <c r="C491" t="s">
        <v>267</v>
      </c>
    </row>
    <row r="492" spans="2:9" x14ac:dyDescent="0.25">
      <c r="B492" s="28" t="s">
        <v>27</v>
      </c>
    </row>
    <row r="493" spans="2:9" x14ac:dyDescent="0.25">
      <c r="B493" s="21" t="s">
        <v>28</v>
      </c>
      <c r="C493" t="s">
        <v>206</v>
      </c>
    </row>
    <row r="494" spans="2:9" x14ac:dyDescent="0.25">
      <c r="B494" s="21" t="s">
        <v>30</v>
      </c>
      <c r="C494" t="s">
        <v>207</v>
      </c>
      <c r="G494"/>
    </row>
    <row r="495" spans="2:9" x14ac:dyDescent="0.25">
      <c r="B495" s="21" t="s">
        <v>32</v>
      </c>
      <c r="C495" t="s">
        <v>208</v>
      </c>
      <c r="G495"/>
    </row>
    <row r="496" spans="2:9" x14ac:dyDescent="0.25">
      <c r="B496" s="21"/>
      <c r="G496"/>
    </row>
    <row r="497" spans="2:12" x14ac:dyDescent="0.25">
      <c r="B497" s="28" t="s">
        <v>34</v>
      </c>
      <c r="G497"/>
    </row>
    <row r="498" spans="2:12" x14ac:dyDescent="0.25">
      <c r="G498"/>
    </row>
    <row r="499" spans="2:12" ht="15.75" thickBot="1" x14ac:dyDescent="0.3">
      <c r="B499" s="1" t="s">
        <v>268</v>
      </c>
      <c r="C499" s="2"/>
      <c r="D499" s="2"/>
      <c r="E499" s="2"/>
      <c r="F499" s="2"/>
      <c r="G499" s="2"/>
      <c r="H499" s="2"/>
      <c r="I499" s="2"/>
    </row>
    <row r="500" spans="2:12" ht="15.75" thickTop="1" x14ac:dyDescent="0.25">
      <c r="G500"/>
    </row>
    <row r="501" spans="2:12" ht="30.75" thickBot="1" x14ac:dyDescent="0.3">
      <c r="B501" s="124" t="s">
        <v>210</v>
      </c>
      <c r="C501" s="125" t="s">
        <v>211</v>
      </c>
      <c r="D501" s="125" t="s">
        <v>12</v>
      </c>
      <c r="E501" s="125" t="s">
        <v>212</v>
      </c>
      <c r="F501" s="126" t="s">
        <v>213</v>
      </c>
      <c r="G501" s="126" t="s">
        <v>15</v>
      </c>
      <c r="H501" s="125" t="s">
        <v>214</v>
      </c>
      <c r="I501" s="126" t="s">
        <v>215</v>
      </c>
      <c r="J501" s="127" t="s">
        <v>216</v>
      </c>
      <c r="K501" s="128"/>
    </row>
    <row r="502" spans="2:12" ht="16.5" thickTop="1" thickBot="1" x14ac:dyDescent="0.3">
      <c r="B502" s="129"/>
      <c r="C502" s="129"/>
      <c r="D502" s="130" t="s">
        <v>217</v>
      </c>
      <c r="E502" s="130" t="s">
        <v>218</v>
      </c>
      <c r="F502" s="130" t="s">
        <v>219</v>
      </c>
      <c r="G502" s="131" t="s">
        <v>220</v>
      </c>
      <c r="H502" s="132"/>
      <c r="I502" s="131" t="s">
        <v>221</v>
      </c>
      <c r="J502" s="131" t="s">
        <v>221</v>
      </c>
      <c r="K502" s="133"/>
    </row>
    <row r="503" spans="2:12" ht="15.75" thickTop="1" x14ac:dyDescent="0.25">
      <c r="B503" s="134">
        <v>0</v>
      </c>
      <c r="C503" s="135" t="s">
        <v>222</v>
      </c>
      <c r="D503" s="162">
        <v>0</v>
      </c>
      <c r="E503" s="135">
        <v>0</v>
      </c>
      <c r="F503" s="137">
        <v>0</v>
      </c>
      <c r="G503" s="138">
        <v>0</v>
      </c>
      <c r="H503" s="139">
        <v>0</v>
      </c>
      <c r="I503" s="139">
        <v>0</v>
      </c>
      <c r="J503" s="139">
        <v>0</v>
      </c>
      <c r="K503" s="31"/>
    </row>
    <row r="504" spans="2:12" ht="30" x14ac:dyDescent="0.25">
      <c r="B504" s="135">
        <v>1</v>
      </c>
      <c r="C504" s="135" t="s">
        <v>303</v>
      </c>
      <c r="D504" s="136" t="s">
        <v>304</v>
      </c>
      <c r="E504" s="135">
        <v>15</v>
      </c>
      <c r="F504" s="137">
        <f>VLOOKUP(D504, W_PROP, 29, FALSE)</f>
        <v>1240</v>
      </c>
      <c r="G504" s="138">
        <f>$E$206/1000</f>
        <v>29</v>
      </c>
      <c r="H504" s="139" t="s">
        <v>271</v>
      </c>
      <c r="I504" s="139" t="s">
        <v>226</v>
      </c>
      <c r="J504" s="139">
        <f>F504*G504*1000/(E504)</f>
        <v>2397333.3333333335</v>
      </c>
      <c r="K504" s="31"/>
    </row>
    <row r="505" spans="2:12" x14ac:dyDescent="0.25">
      <c r="B505" s="99">
        <v>2</v>
      </c>
      <c r="C505" s="163" t="s">
        <v>305</v>
      </c>
      <c r="D505" s="140" t="s">
        <v>306</v>
      </c>
      <c r="E505" s="99">
        <v>13</v>
      </c>
      <c r="F505" s="141">
        <f>VLOOKUP(D505, W_PROP, 29, FALSE)</f>
        <v>999</v>
      </c>
      <c r="G505" s="5">
        <f>$E$206/1000</f>
        <v>29</v>
      </c>
      <c r="H505" s="31" t="s">
        <v>225</v>
      </c>
      <c r="I505" s="31" t="s">
        <v>226</v>
      </c>
      <c r="J505" s="31">
        <f>F505*G505*1000/(E505)</f>
        <v>2228538.4615384615</v>
      </c>
      <c r="K505" s="31"/>
    </row>
    <row r="506" spans="2:12" x14ac:dyDescent="0.25">
      <c r="B506" s="99">
        <v>3</v>
      </c>
      <c r="C506" s="99" t="s">
        <v>307</v>
      </c>
      <c r="D506" s="140" t="s">
        <v>308</v>
      </c>
      <c r="E506" s="99">
        <v>25</v>
      </c>
      <c r="F506" s="141">
        <f>VLOOKUP(D506, W_PROP, 29, FALSE)</f>
        <v>800</v>
      </c>
      <c r="G506" s="5">
        <f>$E$206/1000</f>
        <v>29</v>
      </c>
      <c r="H506" s="31" t="s">
        <v>309</v>
      </c>
      <c r="I506" s="31" t="s">
        <v>309</v>
      </c>
      <c r="J506" s="31">
        <f>F506*G506*1000/(E506)</f>
        <v>928000</v>
      </c>
      <c r="K506" s="31"/>
    </row>
    <row r="507" spans="2:12" ht="15.75" thickBot="1" x14ac:dyDescent="0.3">
      <c r="B507" s="142">
        <v>4</v>
      </c>
      <c r="C507" s="142" t="s">
        <v>310</v>
      </c>
      <c r="D507" s="143" t="s">
        <v>311</v>
      </c>
      <c r="E507" s="142">
        <v>25</v>
      </c>
      <c r="F507" s="144">
        <f>VLOOKUP(D507, W_PROP, 29, FALSE)</f>
        <v>890</v>
      </c>
      <c r="G507" s="2">
        <f>$E$206/1000</f>
        <v>29</v>
      </c>
      <c r="H507" s="145" t="s">
        <v>309</v>
      </c>
      <c r="I507" s="145" t="s">
        <v>309</v>
      </c>
      <c r="J507" s="145">
        <f>F507*G507*1000/(E507)</f>
        <v>1032400</v>
      </c>
      <c r="K507" s="31"/>
      <c r="L507" s="94"/>
    </row>
    <row r="508" spans="2:12" ht="15.75" thickTop="1" x14ac:dyDescent="0.25">
      <c r="B508" s="99"/>
      <c r="C508" s="31"/>
      <c r="D508" s="31"/>
      <c r="E508" s="31"/>
      <c r="F508" s="31"/>
      <c r="G508" s="31"/>
      <c r="H508" s="31"/>
      <c r="I508" s="31"/>
      <c r="J508" s="31"/>
      <c r="K508" s="31"/>
    </row>
    <row r="509" spans="2:12" ht="15.75" thickBot="1" x14ac:dyDescent="0.3">
      <c r="B509" s="1" t="s">
        <v>281</v>
      </c>
      <c r="C509" s="2"/>
      <c r="D509" s="2"/>
      <c r="E509" s="2"/>
      <c r="F509" s="2"/>
      <c r="G509" s="2"/>
      <c r="H509" s="2"/>
      <c r="I509" s="2"/>
    </row>
    <row r="510" spans="2:12" ht="15.75" thickTop="1" x14ac:dyDescent="0.25"/>
    <row r="511" spans="2:12" ht="39" thickBot="1" x14ac:dyDescent="0.3">
      <c r="B511" s="125" t="s">
        <v>210</v>
      </c>
      <c r="C511" s="125" t="s">
        <v>232</v>
      </c>
      <c r="D511" s="146" t="s">
        <v>233</v>
      </c>
      <c r="E511" s="125" t="s">
        <v>234</v>
      </c>
      <c r="F511" s="125" t="s">
        <v>235</v>
      </c>
      <c r="G511" s="126" t="s">
        <v>236</v>
      </c>
      <c r="H511" s="126" t="s">
        <v>237</v>
      </c>
      <c r="I511" s="126" t="s">
        <v>238</v>
      </c>
      <c r="J511" s="147" t="s">
        <v>239</v>
      </c>
      <c r="K511" s="148"/>
    </row>
    <row r="512" spans="2:12" ht="16.5" thickTop="1" thickBot="1" x14ac:dyDescent="0.3">
      <c r="B512" s="149" t="s">
        <v>240</v>
      </c>
      <c r="C512" s="150" t="s">
        <v>241</v>
      </c>
      <c r="D512" s="130" t="s">
        <v>83</v>
      </c>
      <c r="E512" s="130"/>
      <c r="F512" s="130" t="s">
        <v>217</v>
      </c>
      <c r="G512" s="130" t="s">
        <v>218</v>
      </c>
      <c r="H512" s="131" t="s">
        <v>219</v>
      </c>
      <c r="I512" s="131" t="s">
        <v>221</v>
      </c>
      <c r="J512" s="151"/>
      <c r="K512" s="152"/>
    </row>
    <row r="513" spans="2:15" ht="15.75" thickTop="1" x14ac:dyDescent="0.25">
      <c r="B513" s="153" t="s">
        <v>282</v>
      </c>
      <c r="C513" s="153" t="s">
        <v>242</v>
      </c>
      <c r="D513" s="139" t="str">
        <f>H504</f>
        <v>Fixed</v>
      </c>
      <c r="E513" s="153"/>
      <c r="F513" s="153"/>
      <c r="G513" s="153"/>
      <c r="H513" s="154"/>
      <c r="I513" s="155">
        <f>IF(D513="Pin",10,1)</f>
        <v>1</v>
      </c>
      <c r="J513" s="65">
        <v>1.7</v>
      </c>
      <c r="L513" s="41" t="s">
        <v>243</v>
      </c>
      <c r="N513" t="s">
        <v>244</v>
      </c>
      <c r="O513" t="s">
        <v>283</v>
      </c>
    </row>
    <row r="514" spans="2:15" ht="15.75" thickBot="1" x14ac:dyDescent="0.3">
      <c r="B514" s="145"/>
      <c r="C514" s="145" t="s">
        <v>246</v>
      </c>
      <c r="D514" s="145" t="str">
        <f>I504</f>
        <v>Normal</v>
      </c>
      <c r="E514" s="145">
        <v>1</v>
      </c>
      <c r="F514" s="145">
        <v>2</v>
      </c>
      <c r="G514" s="145">
        <v>0</v>
      </c>
      <c r="H514" s="145">
        <v>3</v>
      </c>
      <c r="I514" s="164">
        <f>(F504/E504+F505/E505)*(E506)/(F506)</f>
        <v>4.9847756410256405</v>
      </c>
      <c r="J514" s="145">
        <v>1</v>
      </c>
      <c r="K514" s="31"/>
      <c r="L514" t="s">
        <v>286</v>
      </c>
    </row>
    <row r="515" spans="2:15" ht="15.75" thickTop="1" x14ac:dyDescent="0.25">
      <c r="B515" s="4"/>
      <c r="C515" s="4"/>
      <c r="D515" s="5"/>
      <c r="E515" s="5"/>
      <c r="F515" s="5"/>
      <c r="G515" s="6"/>
      <c r="H515" s="5"/>
      <c r="I515" s="5"/>
    </row>
    <row r="516" spans="2:15" ht="15.75" thickBot="1" x14ac:dyDescent="0.3">
      <c r="B516" s="1" t="s">
        <v>312</v>
      </c>
      <c r="C516" s="2"/>
      <c r="D516" s="2"/>
      <c r="E516" s="3"/>
      <c r="F516" s="3"/>
      <c r="G516" s="3"/>
      <c r="H516" s="2"/>
      <c r="I516" s="85"/>
      <c r="J516" s="2"/>
      <c r="K516" s="2"/>
      <c r="L516" s="2" t="s">
        <v>15</v>
      </c>
    </row>
    <row r="517" spans="2:15" ht="15.75" thickTop="1" x14ac:dyDescent="0.25">
      <c r="G517"/>
    </row>
    <row r="518" spans="2:15" x14ac:dyDescent="0.25">
      <c r="B518" s="7" t="s">
        <v>38</v>
      </c>
      <c r="D518" s="21" t="s">
        <v>39</v>
      </c>
      <c r="E518" s="10">
        <v>250</v>
      </c>
      <c r="F518" s="8" t="s">
        <v>40</v>
      </c>
      <c r="H518" s="21" t="s">
        <v>39</v>
      </c>
      <c r="I518" s="166">
        <f>E518</f>
        <v>250</v>
      </c>
      <c r="J518" s="8" t="s">
        <v>40</v>
      </c>
      <c r="K518" s="29"/>
      <c r="L518" t="s">
        <v>313</v>
      </c>
    </row>
    <row r="519" spans="2:15" x14ac:dyDescent="0.25">
      <c r="B519" s="7" t="s">
        <v>41</v>
      </c>
      <c r="D519" s="21" t="s">
        <v>42</v>
      </c>
      <c r="E519" s="10">
        <v>500</v>
      </c>
      <c r="F519" s="8" t="s">
        <v>40</v>
      </c>
      <c r="H519" s="21" t="s">
        <v>42</v>
      </c>
      <c r="I519" s="166">
        <f>E519</f>
        <v>500</v>
      </c>
      <c r="J519" s="8" t="s">
        <v>40</v>
      </c>
      <c r="K519" s="29"/>
      <c r="L519" t="s">
        <v>313</v>
      </c>
    </row>
    <row r="520" spans="2:15" x14ac:dyDescent="0.25">
      <c r="B520" s="7" t="s">
        <v>296</v>
      </c>
      <c r="D520" s="21" t="s">
        <v>297</v>
      </c>
      <c r="E520" s="10">
        <v>0</v>
      </c>
      <c r="F520" s="8" t="str">
        <f>F518</f>
        <v>kip</v>
      </c>
      <c r="H520" s="21" t="s">
        <v>297</v>
      </c>
      <c r="I520" s="166">
        <v>0</v>
      </c>
      <c r="J520" s="8" t="str">
        <f>J518</f>
        <v>kip</v>
      </c>
      <c r="K520" s="29"/>
      <c r="L520" t="s">
        <v>314</v>
      </c>
    </row>
    <row r="521" spans="2:15" ht="18" x14ac:dyDescent="0.35">
      <c r="B521" s="7" t="s">
        <v>43</v>
      </c>
      <c r="D521" s="30" t="s">
        <v>44</v>
      </c>
      <c r="E521" s="31">
        <v>0.9</v>
      </c>
      <c r="F521" s="5"/>
      <c r="H521" s="30" t="s">
        <v>45</v>
      </c>
      <c r="I521" s="31">
        <v>1.5</v>
      </c>
      <c r="L521" s="29"/>
    </row>
    <row r="522" spans="2:15" ht="18" x14ac:dyDescent="0.35">
      <c r="B522" s="7"/>
      <c r="D522" s="32" t="s">
        <v>46</v>
      </c>
      <c r="E522" s="33">
        <v>0.75</v>
      </c>
      <c r="F522" s="5"/>
      <c r="H522" s="30" t="s">
        <v>45</v>
      </c>
      <c r="I522" s="31">
        <v>2</v>
      </c>
      <c r="L522" s="29"/>
    </row>
    <row r="523" spans="2:15" x14ac:dyDescent="0.25">
      <c r="C523" s="21"/>
      <c r="F523" s="21"/>
      <c r="G523"/>
      <c r="I523" s="21"/>
      <c r="M523"/>
    </row>
    <row r="524" spans="2:15" ht="15.75" thickBot="1" x14ac:dyDescent="0.3">
      <c r="C524" s="20" t="s">
        <v>49</v>
      </c>
      <c r="D524" s="2"/>
      <c r="E524" s="2"/>
      <c r="F524" s="5"/>
      <c r="H524" s="20" t="s">
        <v>50</v>
      </c>
      <c r="I524" s="2"/>
      <c r="J524" s="2"/>
      <c r="K524" s="2"/>
      <c r="L524" s="20"/>
      <c r="M524"/>
    </row>
    <row r="525" spans="2:15" ht="15.75" thickTop="1" x14ac:dyDescent="0.25">
      <c r="B525" s="28"/>
      <c r="C525" s="5"/>
      <c r="D525" s="5"/>
      <c r="E525" s="5"/>
      <c r="F525" s="5"/>
      <c r="H525" s="5"/>
      <c r="I525" s="5"/>
    </row>
    <row r="526" spans="2:15" ht="15.75" thickBot="1" x14ac:dyDescent="0.3">
      <c r="B526" s="39" t="s">
        <v>51</v>
      </c>
      <c r="C526" s="4" t="s">
        <v>52</v>
      </c>
      <c r="D526" s="5"/>
      <c r="E526" s="5"/>
      <c r="F526" s="5"/>
      <c r="H526" s="4" t="s">
        <v>52</v>
      </c>
      <c r="L526" s="40"/>
      <c r="M526" s="16"/>
    </row>
    <row r="527" spans="2:15" x14ac:dyDescent="0.25">
      <c r="B527" s="41" t="s">
        <v>298</v>
      </c>
      <c r="D527" s="167" t="s">
        <v>54</v>
      </c>
      <c r="E527" s="168">
        <f>1.2*E518+1.6*E519+E520</f>
        <v>1100</v>
      </c>
      <c r="F527" s="169" t="str">
        <f>F518</f>
        <v>kip</v>
      </c>
      <c r="H527" s="167" t="s">
        <v>55</v>
      </c>
      <c r="I527" s="168">
        <f>I518+I519+I520</f>
        <v>750</v>
      </c>
      <c r="J527" s="169" t="str">
        <f>F527</f>
        <v>kip</v>
      </c>
      <c r="K527" s="16"/>
    </row>
    <row r="528" spans="2:15" ht="15.75" thickBot="1" x14ac:dyDescent="0.3">
      <c r="B528" t="s">
        <v>299</v>
      </c>
      <c r="D528" s="170" t="s">
        <v>54</v>
      </c>
      <c r="E528" s="171">
        <f>1.2*E518+1.6*E519</f>
        <v>1100</v>
      </c>
      <c r="F528" s="172" t="str">
        <f>F519</f>
        <v>kip</v>
      </c>
      <c r="H528" s="170" t="s">
        <v>55</v>
      </c>
      <c r="I528" s="171">
        <f>I519+I518</f>
        <v>750</v>
      </c>
      <c r="J528" s="172" t="str">
        <f>F528</f>
        <v>kip</v>
      </c>
      <c r="M528"/>
    </row>
    <row r="529" spans="2:15" x14ac:dyDescent="0.25">
      <c r="D529" s="30"/>
      <c r="E529" s="31"/>
      <c r="F529" s="16"/>
      <c r="H529" s="30"/>
      <c r="I529" s="31"/>
      <c r="J529" s="16"/>
      <c r="M529"/>
    </row>
    <row r="530" spans="2:15" x14ac:dyDescent="0.25">
      <c r="B530" s="95" t="s">
        <v>299</v>
      </c>
      <c r="C530" s="70"/>
      <c r="D530" s="45"/>
      <c r="E530" s="31"/>
      <c r="F530" s="5"/>
      <c r="G530" s="71"/>
      <c r="H530" s="45"/>
      <c r="I530" s="31"/>
      <c r="J530" s="5"/>
      <c r="K530" s="5"/>
      <c r="L530" s="28"/>
      <c r="M530"/>
    </row>
    <row r="531" spans="2:15" ht="15.75" thickBot="1" x14ac:dyDescent="0.3">
      <c r="D531" s="21" t="s">
        <v>290</v>
      </c>
      <c r="E531" s="158">
        <f>E504*J514</f>
        <v>15</v>
      </c>
      <c r="F531" t="s">
        <v>37</v>
      </c>
      <c r="H531" s="21" t="s">
        <v>290</v>
      </c>
      <c r="I531" s="158">
        <f>E531</f>
        <v>15</v>
      </c>
      <c r="J531" t="s">
        <v>37</v>
      </c>
      <c r="L531" s="165" t="s">
        <v>291</v>
      </c>
      <c r="M531"/>
    </row>
    <row r="532" spans="2:15" ht="18.75" thickBot="1" x14ac:dyDescent="0.4">
      <c r="B532" s="39" t="s">
        <v>61</v>
      </c>
      <c r="C532" s="28" t="s">
        <v>96</v>
      </c>
      <c r="D532" s="42" t="s">
        <v>79</v>
      </c>
      <c r="E532" s="55">
        <v>1210</v>
      </c>
      <c r="F532" s="56" t="s">
        <v>40</v>
      </c>
      <c r="G532"/>
      <c r="H532" s="42" t="s">
        <v>97</v>
      </c>
      <c r="I532" s="55">
        <v>808</v>
      </c>
      <c r="J532" s="56" t="s">
        <v>40</v>
      </c>
      <c r="L532" s="28" t="s">
        <v>96</v>
      </c>
      <c r="M532"/>
      <c r="N532" t="s">
        <v>73</v>
      </c>
      <c r="O532" s="52" t="s">
        <v>249</v>
      </c>
    </row>
    <row r="533" spans="2:15" x14ac:dyDescent="0.25">
      <c r="B533" s="39" t="s">
        <v>292</v>
      </c>
      <c r="C533" s="28" t="s">
        <v>98</v>
      </c>
      <c r="F533" s="5"/>
      <c r="G533"/>
      <c r="H533" s="28" t="s">
        <v>98</v>
      </c>
      <c r="J533" s="5"/>
      <c r="K533" s="5"/>
      <c r="L533" s="28" t="s">
        <v>99</v>
      </c>
      <c r="M533"/>
    </row>
    <row r="534" spans="2:15" x14ac:dyDescent="0.25">
      <c r="B534" t="s">
        <v>293</v>
      </c>
      <c r="E534" s="65" t="str">
        <f>IF(E532&gt;E528, "OK", "N/G")</f>
        <v>OK</v>
      </c>
      <c r="G534"/>
      <c r="I534" s="65" t="str">
        <f>IF(I532&gt;I528, "OK", "N/G")</f>
        <v>OK</v>
      </c>
      <c r="M534"/>
    </row>
    <row r="535" spans="2:15" x14ac:dyDescent="0.25">
      <c r="B535" s="28" t="s">
        <v>298</v>
      </c>
      <c r="D535" s="30"/>
      <c r="E535" s="40"/>
      <c r="F535" s="5"/>
      <c r="G535"/>
      <c r="H535" s="30"/>
      <c r="I535" s="40"/>
      <c r="J535" s="5"/>
      <c r="L535" s="75"/>
      <c r="M535"/>
    </row>
    <row r="536" spans="2:15" x14ac:dyDescent="0.25">
      <c r="B536" s="28"/>
      <c r="D536" s="30" t="s">
        <v>300</v>
      </c>
      <c r="E536" s="173">
        <f>J513</f>
        <v>1.7</v>
      </c>
      <c r="F536" s="5"/>
      <c r="G536"/>
      <c r="H536" s="30" t="s">
        <v>300</v>
      </c>
      <c r="I536" s="173">
        <f>E536</f>
        <v>1.7</v>
      </c>
      <c r="J536" s="5"/>
      <c r="L536" s="75"/>
      <c r="M536"/>
    </row>
    <row r="537" spans="2:15" x14ac:dyDescent="0.25">
      <c r="D537" s="21" t="s">
        <v>248</v>
      </c>
      <c r="E537" s="157">
        <v>1.67</v>
      </c>
      <c r="H537" s="21" t="s">
        <v>248</v>
      </c>
      <c r="I537" s="157">
        <f>E537</f>
        <v>1.67</v>
      </c>
      <c r="M537"/>
    </row>
    <row r="538" spans="2:15" ht="15.75" thickBot="1" x14ac:dyDescent="0.3">
      <c r="B538" t="s">
        <v>301</v>
      </c>
      <c r="D538" s="21" t="s">
        <v>118</v>
      </c>
      <c r="E538" s="158">
        <f>E536*E531/E537</f>
        <v>15.269461077844312</v>
      </c>
      <c r="F538" t="s">
        <v>37</v>
      </c>
      <c r="H538" s="21" t="s">
        <v>118</v>
      </c>
      <c r="I538" s="158">
        <f>I536*I531/I537</f>
        <v>15.269461077844312</v>
      </c>
      <c r="J538" t="s">
        <v>37</v>
      </c>
      <c r="M538"/>
    </row>
    <row r="539" spans="2:15" ht="18.75" thickBot="1" x14ac:dyDescent="0.4">
      <c r="B539" s="39" t="s">
        <v>61</v>
      </c>
      <c r="C539" s="28" t="s">
        <v>96</v>
      </c>
      <c r="D539" s="42" t="s">
        <v>79</v>
      </c>
      <c r="E539" s="55">
        <v>1205</v>
      </c>
      <c r="F539" s="56" t="s">
        <v>40</v>
      </c>
      <c r="G539"/>
      <c r="H539" s="42" t="s">
        <v>97</v>
      </c>
      <c r="I539" s="55">
        <v>803</v>
      </c>
      <c r="J539" s="56" t="s">
        <v>40</v>
      </c>
      <c r="L539" s="28" t="s">
        <v>96</v>
      </c>
      <c r="M539"/>
      <c r="N539" t="s">
        <v>73</v>
      </c>
      <c r="O539" s="52" t="s">
        <v>249</v>
      </c>
    </row>
    <row r="540" spans="2:15" x14ac:dyDescent="0.25">
      <c r="B540" s="39" t="s">
        <v>292</v>
      </c>
      <c r="C540" s="28" t="s">
        <v>98</v>
      </c>
      <c r="F540" s="5"/>
      <c r="G540"/>
      <c r="H540" s="28" t="s">
        <v>98</v>
      </c>
      <c r="J540" s="5"/>
      <c r="K540" s="5"/>
      <c r="L540" s="28" t="s">
        <v>99</v>
      </c>
      <c r="M540"/>
    </row>
    <row r="541" spans="2:15" x14ac:dyDescent="0.25">
      <c r="B541" t="s">
        <v>293</v>
      </c>
      <c r="E541" s="65" t="str">
        <f>IF(E539&gt;E527, "OK", "N/G")</f>
        <v>OK</v>
      </c>
      <c r="G541"/>
      <c r="I541" s="65" t="str">
        <f>IF(I539&gt;I527, "OK", "N/G")</f>
        <v>OK</v>
      </c>
      <c r="M541"/>
    </row>
    <row r="542" spans="2:15" ht="15.75" thickBot="1" x14ac:dyDescent="0.3">
      <c r="E542" s="65"/>
      <c r="G542"/>
      <c r="I542" s="65"/>
      <c r="M542"/>
    </row>
    <row r="543" spans="2:15" ht="15.75" thickBot="1" x14ac:dyDescent="0.3">
      <c r="B543" s="28" t="s">
        <v>294</v>
      </c>
      <c r="D543" s="66" t="s">
        <v>102</v>
      </c>
      <c r="E543" s="67" t="str">
        <f>D504</f>
        <v>W14X109</v>
      </c>
      <c r="F543" s="68"/>
      <c r="G543" s="5"/>
      <c r="H543" s="69" t="s">
        <v>104</v>
      </c>
      <c r="I543" s="67" t="str">
        <f>E543</f>
        <v>W14X109</v>
      </c>
      <c r="J543" s="68"/>
      <c r="L543" s="75" t="s">
        <v>105</v>
      </c>
      <c r="M543"/>
    </row>
  </sheetData>
  <mergeCells count="2">
    <mergeCell ref="N7:O7"/>
    <mergeCell ref="N39:O39"/>
  </mergeCells>
  <dataValidations disablePrompts="1" count="2">
    <dataValidation type="list" allowBlank="1" showInputMessage="1" showErrorMessage="1" promptTitle="Select Channel" sqref="E49 I49 E135 I135">
      <formula1>C_NAME</formula1>
    </dataValidation>
    <dataValidation type="list" allowBlank="1" showInputMessage="1" showErrorMessage="1" sqref="D240:D244 E274 I274 I350 E350 D316:D320 D410:D415 D503:D507">
      <formula1>W_NAME</formula1>
    </dataValidation>
  </dataValidations>
  <pageMargins left="0.25" right="0.625" top="0.75" bottom="0.75" header="0.3" footer="0.3"/>
  <pageSetup paperSize="9" orientation="portrait" r:id="rId1"/>
  <headerFooter>
    <oddHeader>&amp;L&amp;"-,Bold"14.551 Advanced Steel Design
Ana Gouveia&amp;C&amp;"-,Bold"Assignment # 1&amp;"-,Regular"
Tension and Compression Members&amp;R&amp;D
&amp;P/        .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2014-12-05T17:54:08Z</cp:lastPrinted>
  <dcterms:created xsi:type="dcterms:W3CDTF">2014-12-05T17:52:06Z</dcterms:created>
  <dcterms:modified xsi:type="dcterms:W3CDTF">2014-12-05T17:54:49Z</dcterms:modified>
</cp:coreProperties>
</file>