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OneDrive\Documents\1. Education\14.551 Adv Steel\Assignments\"/>
    </mc:Choice>
  </mc:AlternateContent>
  <bookViews>
    <workbookView xWindow="0" yWindow="0" windowWidth="11745" windowHeight="8025" firstSheet="1" activeTab="2"/>
  </bookViews>
  <sheets>
    <sheet name="Project Information" sheetId="1" r:id="rId1"/>
    <sheet name="Project Loads" sheetId="2" r:id="rId2"/>
    <sheet name="Load Analysis" sheetId="3" r:id="rId3"/>
    <sheet name="Wind Analysis - M&amp;B" sheetId="9" r:id="rId4"/>
    <sheet name="Seismic Analysis - Braced" sheetId="7" r:id="rId5"/>
    <sheet name="Seismic Analysis - Moment" sheetId="6" r:id="rId6"/>
    <sheet name="Braced-Frame (W)" sheetId="12" r:id="rId7"/>
    <sheet name="Braced-Frame (E)" sheetId="13" r:id="rId8"/>
    <sheet name="Moment-Frame (W)" sheetId="10" r:id="rId9"/>
    <sheet name="Moment-Frame (E)" sheetId="11" r:id="rId10"/>
    <sheet name="Tables" sheetId="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'Braced-Frame (E)'!$B$58:$I$68</definedName>
    <definedName name="_xlnm._FilterDatabase" localSheetId="6" hidden="1">'Braced-Frame (W)'!$B$58:$I$68</definedName>
    <definedName name="_xlnm._FilterDatabase" localSheetId="9" hidden="1">'Moment-Frame (E)'!$B$99:$I$105</definedName>
    <definedName name="_xlnm._FilterDatabase" localSheetId="8" hidden="1">'Moment-Frame (W)'!$B$99:$I$105</definedName>
    <definedName name="C_NAME">[1]C!$C$3:$C$34</definedName>
    <definedName name="C_PROP">[1]C!$C$3:$CS$34</definedName>
    <definedName name="HP_NAME" localSheetId="7">#REF!</definedName>
    <definedName name="HP_NAME" localSheetId="6">#REF!</definedName>
    <definedName name="HP_NAME" localSheetId="2">#REF!</definedName>
    <definedName name="HP_NAME" localSheetId="9">#REF!</definedName>
    <definedName name="HP_NAME" localSheetId="8">#REF!</definedName>
    <definedName name="HP_NAME" localSheetId="0">#REF!</definedName>
    <definedName name="HP_NAME" localSheetId="1">#REF!</definedName>
    <definedName name="HP_NAME" localSheetId="4">#REF!</definedName>
    <definedName name="HP_NAME" localSheetId="5">#REF!</definedName>
    <definedName name="HP_NAME" localSheetId="10">#REF!</definedName>
    <definedName name="HP_NAME" localSheetId="3">#REF!</definedName>
    <definedName name="HP_NAME">#REF!</definedName>
    <definedName name="HP_PROP" localSheetId="7">#REF!</definedName>
    <definedName name="HP_PROP" localSheetId="6">#REF!</definedName>
    <definedName name="HP_PROP" localSheetId="2">#REF!</definedName>
    <definedName name="HP_PROP" localSheetId="9">#REF!</definedName>
    <definedName name="HP_PROP" localSheetId="8">#REF!</definedName>
    <definedName name="HP_PROP" localSheetId="0">#REF!</definedName>
    <definedName name="HP_PROP" localSheetId="1">#REF!</definedName>
    <definedName name="HP_PROP" localSheetId="4">#REF!</definedName>
    <definedName name="HP_PROP" localSheetId="5">#REF!</definedName>
    <definedName name="HP_PROP" localSheetId="10">#REF!</definedName>
    <definedName name="HP_PROP" localSheetId="3">#REF!</definedName>
    <definedName name="HP_PROP">#REF!</definedName>
    <definedName name="HSS_NAME" localSheetId="7">#REF!</definedName>
    <definedName name="HSS_NAME" localSheetId="6">#REF!</definedName>
    <definedName name="HSS_NAME" localSheetId="2">#REF!</definedName>
    <definedName name="HSS_NAME" localSheetId="9">#REF!</definedName>
    <definedName name="HSS_NAME" localSheetId="8">#REF!</definedName>
    <definedName name="HSS_NAME" localSheetId="0">#REF!</definedName>
    <definedName name="HSS_NAME" localSheetId="1">#REF!</definedName>
    <definedName name="HSS_NAME" localSheetId="4">#REF!</definedName>
    <definedName name="HSS_NAME" localSheetId="5">#REF!</definedName>
    <definedName name="HSS_NAME" localSheetId="10">#REF!</definedName>
    <definedName name="HSS_NAME" localSheetId="3">#REF!</definedName>
    <definedName name="HSS_NAME">#REF!</definedName>
    <definedName name="HSS_PROP" localSheetId="7">#REF!</definedName>
    <definedName name="HSS_PROP" localSheetId="6">#REF!</definedName>
    <definedName name="HSS_PROP" localSheetId="2">#REF!</definedName>
    <definedName name="HSS_PROP" localSheetId="9">#REF!</definedName>
    <definedName name="HSS_PROP" localSheetId="8">#REF!</definedName>
    <definedName name="HSS_PROP" localSheetId="0">#REF!</definedName>
    <definedName name="HSS_PROP" localSheetId="1">#REF!</definedName>
    <definedName name="HSS_PROP" localSheetId="4">#REF!</definedName>
    <definedName name="HSS_PROP" localSheetId="5">#REF!</definedName>
    <definedName name="HSS_PROP" localSheetId="10">#REF!</definedName>
    <definedName name="HSS_PROP" localSheetId="3">#REF!</definedName>
    <definedName name="HSS_PROP">#REF!</definedName>
    <definedName name="L_NAME" localSheetId="7">#REF!</definedName>
    <definedName name="L_NAME" localSheetId="6">#REF!</definedName>
    <definedName name="L_NAME" localSheetId="2">#REF!</definedName>
    <definedName name="L_NAME" localSheetId="9">#REF!</definedName>
    <definedName name="L_NAME" localSheetId="8">#REF!</definedName>
    <definedName name="L_NAME" localSheetId="0">#REF!</definedName>
    <definedName name="L_NAME" localSheetId="1">#REF!</definedName>
    <definedName name="L_NAME" localSheetId="4">#REF!</definedName>
    <definedName name="L_NAME" localSheetId="5">#REF!</definedName>
    <definedName name="L_NAME" localSheetId="10">#REF!</definedName>
    <definedName name="L_NAME" localSheetId="3">#REF!</definedName>
    <definedName name="L_NAME">#REF!</definedName>
    <definedName name="L_PROP" localSheetId="7">#REF!</definedName>
    <definedName name="L_PROP" localSheetId="6">#REF!</definedName>
    <definedName name="L_PROP" localSheetId="2">#REF!</definedName>
    <definedName name="L_PROP" localSheetId="9">#REF!</definedName>
    <definedName name="L_PROP" localSheetId="8">#REF!</definedName>
    <definedName name="L_PROP" localSheetId="0">#REF!</definedName>
    <definedName name="L_PROP" localSheetId="1">#REF!</definedName>
    <definedName name="L_PROP" localSheetId="4">#REF!</definedName>
    <definedName name="L_PROP" localSheetId="5">#REF!</definedName>
    <definedName name="L_PROP" localSheetId="10">#REF!</definedName>
    <definedName name="L_PROP" localSheetId="3">#REF!</definedName>
    <definedName name="L_PROP">#REF!</definedName>
    <definedName name="L2_NAME" localSheetId="7">#REF!</definedName>
    <definedName name="L2_NAME" localSheetId="6">#REF!</definedName>
    <definedName name="L2_NAME" localSheetId="2">#REF!</definedName>
    <definedName name="L2_NAME" localSheetId="9">#REF!</definedName>
    <definedName name="L2_NAME" localSheetId="8">#REF!</definedName>
    <definedName name="L2_NAME" localSheetId="0">#REF!</definedName>
    <definedName name="L2_NAME" localSheetId="1">#REF!</definedName>
    <definedName name="L2_NAME" localSheetId="4">#REF!</definedName>
    <definedName name="L2_NAME" localSheetId="5">#REF!</definedName>
    <definedName name="L2_NAME" localSheetId="10">#REF!</definedName>
    <definedName name="L2_NAME" localSheetId="3">#REF!</definedName>
    <definedName name="L2_NAME">#REF!</definedName>
    <definedName name="L2_PROP" localSheetId="7">#REF!</definedName>
    <definedName name="L2_PROP" localSheetId="6">#REF!</definedName>
    <definedName name="L2_PROP" localSheetId="2">#REF!</definedName>
    <definedName name="L2_PROP" localSheetId="9">#REF!</definedName>
    <definedName name="L2_PROP" localSheetId="8">#REF!</definedName>
    <definedName name="L2_PROP" localSheetId="0">#REF!</definedName>
    <definedName name="L2_PROP" localSheetId="1">#REF!</definedName>
    <definedName name="L2_PROP" localSheetId="4">#REF!</definedName>
    <definedName name="L2_PROP" localSheetId="5">#REF!</definedName>
    <definedName name="L2_PROP" localSheetId="10">#REF!</definedName>
    <definedName name="L2_PROP" localSheetId="3">#REF!</definedName>
    <definedName name="L2_PROP">#REF!</definedName>
    <definedName name="M_NAME" localSheetId="7">#REF!</definedName>
    <definedName name="M_NAME" localSheetId="6">#REF!</definedName>
    <definedName name="M_NAME" localSheetId="2">#REF!</definedName>
    <definedName name="M_NAME" localSheetId="9">#REF!</definedName>
    <definedName name="M_NAME" localSheetId="8">#REF!</definedName>
    <definedName name="M_NAME" localSheetId="0">#REF!</definedName>
    <definedName name="M_NAME" localSheetId="1">#REF!</definedName>
    <definedName name="M_NAME" localSheetId="4">#REF!</definedName>
    <definedName name="M_NAME" localSheetId="5">#REF!</definedName>
    <definedName name="M_NAME" localSheetId="10">#REF!</definedName>
    <definedName name="M_NAME" localSheetId="3">#REF!</definedName>
    <definedName name="M_NAME">#REF!</definedName>
    <definedName name="M_PROP" localSheetId="7">#REF!</definedName>
    <definedName name="M_PROP" localSheetId="6">#REF!</definedName>
    <definedName name="M_PROP" localSheetId="2">#REF!</definedName>
    <definedName name="M_PROP" localSheetId="9">#REF!</definedName>
    <definedName name="M_PROP" localSheetId="8">#REF!</definedName>
    <definedName name="M_PROP" localSheetId="0">#REF!</definedName>
    <definedName name="M_PROP" localSheetId="1">#REF!</definedName>
    <definedName name="M_PROP" localSheetId="4">#REF!</definedName>
    <definedName name="M_PROP" localSheetId="5">#REF!</definedName>
    <definedName name="M_PROP" localSheetId="10">#REF!</definedName>
    <definedName name="M_PROP" localSheetId="3">#REF!</definedName>
    <definedName name="M_PROP">#REF!</definedName>
    <definedName name="MC_NAME" localSheetId="7">#REF!</definedName>
    <definedName name="MC_NAME" localSheetId="6">#REF!</definedName>
    <definedName name="MC_NAME" localSheetId="2">#REF!</definedName>
    <definedName name="MC_NAME" localSheetId="9">#REF!</definedName>
    <definedName name="MC_NAME" localSheetId="8">#REF!</definedName>
    <definedName name="MC_NAME" localSheetId="0">#REF!</definedName>
    <definedName name="MC_NAME" localSheetId="1">#REF!</definedName>
    <definedName name="MC_NAME" localSheetId="4">#REF!</definedName>
    <definedName name="MC_NAME" localSheetId="5">#REF!</definedName>
    <definedName name="MC_NAME" localSheetId="10">#REF!</definedName>
    <definedName name="MC_NAME" localSheetId="3">#REF!</definedName>
    <definedName name="MC_NAME">#REF!</definedName>
    <definedName name="MC_PROP" localSheetId="7">#REF!</definedName>
    <definedName name="MC_PROP" localSheetId="6">#REF!</definedName>
    <definedName name="MC_PROP" localSheetId="2">#REF!</definedName>
    <definedName name="MC_PROP" localSheetId="9">#REF!</definedName>
    <definedName name="MC_PROP" localSheetId="8">#REF!</definedName>
    <definedName name="MC_PROP" localSheetId="0">#REF!</definedName>
    <definedName name="MC_PROP" localSheetId="1">#REF!</definedName>
    <definedName name="MC_PROP" localSheetId="4">#REF!</definedName>
    <definedName name="MC_PROP" localSheetId="5">#REF!</definedName>
    <definedName name="MC_PROP" localSheetId="10">#REF!</definedName>
    <definedName name="MC_PROP" localSheetId="3">#REF!</definedName>
    <definedName name="MC_PROP">#REF!</definedName>
    <definedName name="MT_NAME" localSheetId="7">#REF!</definedName>
    <definedName name="MT_NAME" localSheetId="6">#REF!</definedName>
    <definedName name="MT_NAME" localSheetId="2">#REF!</definedName>
    <definedName name="MT_NAME" localSheetId="9">#REF!</definedName>
    <definedName name="MT_NAME" localSheetId="8">#REF!</definedName>
    <definedName name="MT_NAME" localSheetId="0">#REF!</definedName>
    <definedName name="MT_NAME" localSheetId="1">#REF!</definedName>
    <definedName name="MT_NAME" localSheetId="4">#REF!</definedName>
    <definedName name="MT_NAME" localSheetId="5">#REF!</definedName>
    <definedName name="MT_NAME" localSheetId="10">#REF!</definedName>
    <definedName name="MT_NAME" localSheetId="3">#REF!</definedName>
    <definedName name="MT_NAME">#REF!</definedName>
    <definedName name="MT_PROP" localSheetId="7">#REF!</definedName>
    <definedName name="MT_PROP" localSheetId="6">#REF!</definedName>
    <definedName name="MT_PROP" localSheetId="2">#REF!</definedName>
    <definedName name="MT_PROP" localSheetId="9">#REF!</definedName>
    <definedName name="MT_PROP" localSheetId="8">#REF!</definedName>
    <definedName name="MT_PROP" localSheetId="0">#REF!</definedName>
    <definedName name="MT_PROP" localSheetId="1">#REF!</definedName>
    <definedName name="MT_PROP" localSheetId="4">#REF!</definedName>
    <definedName name="MT_PROP" localSheetId="5">#REF!</definedName>
    <definedName name="MT_PROP" localSheetId="10">#REF!</definedName>
    <definedName name="MT_PROP" localSheetId="3">#REF!</definedName>
    <definedName name="MT_PROP">#REF!</definedName>
    <definedName name="PIPE_NAME" localSheetId="7">#REF!</definedName>
    <definedName name="PIPE_NAME" localSheetId="6">#REF!</definedName>
    <definedName name="PIPE_NAME" localSheetId="2">#REF!</definedName>
    <definedName name="PIPE_NAME" localSheetId="9">#REF!</definedName>
    <definedName name="PIPE_NAME" localSheetId="8">#REF!</definedName>
    <definedName name="PIPE_NAME" localSheetId="0">#REF!</definedName>
    <definedName name="PIPE_NAME" localSheetId="1">#REF!</definedName>
    <definedName name="PIPE_NAME" localSheetId="4">#REF!</definedName>
    <definedName name="PIPE_NAME" localSheetId="5">#REF!</definedName>
    <definedName name="PIPE_NAME" localSheetId="10">#REF!</definedName>
    <definedName name="PIPE_NAME" localSheetId="3">#REF!</definedName>
    <definedName name="PIPE_NAME">#REF!</definedName>
    <definedName name="PIPE_PROP" localSheetId="7">#REF!</definedName>
    <definedName name="PIPE_PROP" localSheetId="6">#REF!</definedName>
    <definedName name="PIPE_PROP" localSheetId="2">#REF!</definedName>
    <definedName name="PIPE_PROP" localSheetId="9">#REF!</definedName>
    <definedName name="PIPE_PROP" localSheetId="8">#REF!</definedName>
    <definedName name="PIPE_PROP" localSheetId="0">#REF!</definedName>
    <definedName name="PIPE_PROP" localSheetId="1">#REF!</definedName>
    <definedName name="PIPE_PROP" localSheetId="4">#REF!</definedName>
    <definedName name="PIPE_PROP" localSheetId="5">#REF!</definedName>
    <definedName name="PIPE_PROP" localSheetId="10">#REF!</definedName>
    <definedName name="PIPE_PROP" localSheetId="3">#REF!</definedName>
    <definedName name="PIPE_PROP">#REF!</definedName>
    <definedName name="ST_NAME" localSheetId="7">#REF!</definedName>
    <definedName name="ST_NAME" localSheetId="6">#REF!</definedName>
    <definedName name="ST_NAME" localSheetId="2">#REF!</definedName>
    <definedName name="ST_NAME" localSheetId="9">#REF!</definedName>
    <definedName name="ST_NAME" localSheetId="8">#REF!</definedName>
    <definedName name="ST_NAME" localSheetId="0">#REF!</definedName>
    <definedName name="ST_NAME" localSheetId="1">#REF!</definedName>
    <definedName name="ST_NAME" localSheetId="4">#REF!</definedName>
    <definedName name="ST_NAME" localSheetId="5">#REF!</definedName>
    <definedName name="ST_NAME" localSheetId="10">#REF!</definedName>
    <definedName name="ST_NAME" localSheetId="3">#REF!</definedName>
    <definedName name="ST_NAME">#REF!</definedName>
    <definedName name="ST_PROP" localSheetId="7">#REF!</definedName>
    <definedName name="ST_PROP" localSheetId="6">#REF!</definedName>
    <definedName name="ST_PROP" localSheetId="2">#REF!</definedName>
    <definedName name="ST_PROP" localSheetId="9">#REF!</definedName>
    <definedName name="ST_PROP" localSheetId="8">#REF!</definedName>
    <definedName name="ST_PROP" localSheetId="0">#REF!</definedName>
    <definedName name="ST_PROP" localSheetId="1">#REF!</definedName>
    <definedName name="ST_PROP" localSheetId="4">#REF!</definedName>
    <definedName name="ST_PROP" localSheetId="5">#REF!</definedName>
    <definedName name="ST_PROP" localSheetId="10">#REF!</definedName>
    <definedName name="ST_PROP" localSheetId="3">#REF!</definedName>
    <definedName name="ST_PROP">#REF!</definedName>
    <definedName name="W_NAME" localSheetId="7">[2]W!$C$3:$C$277</definedName>
    <definedName name="W_NAME" localSheetId="6">[2]W!$C$3:$C$277</definedName>
    <definedName name="W_NAME" localSheetId="9">[2]W!$C$3:$C$277</definedName>
    <definedName name="W_NAME" localSheetId="8">[2]W!$C$3:$C$277</definedName>
    <definedName name="W_NAME" localSheetId="3">[2]W!$C$3:$C$277</definedName>
    <definedName name="W_NAME">[3]W!$C$3:$C$277</definedName>
    <definedName name="W_PROP" localSheetId="7">[2]W!$C$3:$CS$277</definedName>
    <definedName name="W_PROP" localSheetId="6">[2]W!$C$3:$CS$277</definedName>
    <definedName name="W_PROP" localSheetId="9">[2]W!$C$3:$CS$277</definedName>
    <definedName name="W_PROP" localSheetId="8">[2]W!$C$3:$CS$277</definedName>
    <definedName name="W_PROP" localSheetId="3">[2]W!$C$3:$CS$277</definedName>
    <definedName name="W_PROP">[3]W!$C$3:$CS$277</definedName>
    <definedName name="WT_NAME">[1]WT!$C$3:$C$277</definedName>
    <definedName name="WT_PROP">[1]WT!$C$3:$CS$277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17" i="13" l="1"/>
  <c r="E16" i="13"/>
  <c r="E16" i="11"/>
  <c r="E15" i="11"/>
  <c r="F72" i="2"/>
  <c r="C72" i="2"/>
  <c r="F46" i="2"/>
  <c r="C46" i="2"/>
  <c r="C20" i="2"/>
  <c r="H67" i="13"/>
  <c r="H66" i="13"/>
  <c r="H65" i="13"/>
  <c r="H64" i="13"/>
  <c r="H63" i="13"/>
  <c r="H60" i="13"/>
  <c r="H59" i="13"/>
  <c r="M50" i="13"/>
  <c r="H68" i="13" s="1"/>
  <c r="G50" i="13"/>
  <c r="M49" i="13"/>
  <c r="M48" i="13"/>
  <c r="H62" i="13" s="1"/>
  <c r="G48" i="13"/>
  <c r="H61" i="13" s="1"/>
  <c r="M44" i="13"/>
  <c r="K44" i="13"/>
  <c r="E44" i="13"/>
  <c r="K40" i="13"/>
  <c r="E45" i="13" s="1"/>
  <c r="K39" i="13"/>
  <c r="E43" i="13" s="1"/>
  <c r="K38" i="13"/>
  <c r="F35" i="13"/>
  <c r="H33" i="13"/>
  <c r="F33" i="13"/>
  <c r="D33" i="13"/>
  <c r="K27" i="13"/>
  <c r="E27" i="13"/>
  <c r="E28" i="13" s="1"/>
  <c r="K28" i="13" s="1"/>
  <c r="E25" i="13"/>
  <c r="F24" i="13"/>
  <c r="E24" i="13"/>
  <c r="E29" i="13" s="1"/>
  <c r="K43" i="13" s="1"/>
  <c r="E48" i="13" s="1"/>
  <c r="G61" i="13" s="1"/>
  <c r="E23" i="13"/>
  <c r="F22" i="13"/>
  <c r="F13" i="13"/>
  <c r="E13" i="13"/>
  <c r="F34" i="13" s="1"/>
  <c r="H67" i="12"/>
  <c r="H66" i="12"/>
  <c r="G66" i="12"/>
  <c r="H65" i="12"/>
  <c r="H64" i="12"/>
  <c r="H63" i="12"/>
  <c r="H62" i="12"/>
  <c r="H60" i="12"/>
  <c r="H59" i="12"/>
  <c r="M50" i="12"/>
  <c r="H68" i="12" s="1"/>
  <c r="G50" i="12"/>
  <c r="F50" i="12"/>
  <c r="E50" i="12"/>
  <c r="M49" i="12"/>
  <c r="M48" i="12"/>
  <c r="K48" i="12"/>
  <c r="G62" i="12" s="1"/>
  <c r="G48" i="12"/>
  <c r="H61" i="12" s="1"/>
  <c r="E45" i="12"/>
  <c r="M44" i="12"/>
  <c r="E44" i="12"/>
  <c r="K44" i="12" s="1"/>
  <c r="F43" i="12"/>
  <c r="E43" i="12"/>
  <c r="K40" i="12"/>
  <c r="K39" i="12"/>
  <c r="K38" i="12"/>
  <c r="H33" i="12"/>
  <c r="D33" i="12"/>
  <c r="F25" i="12"/>
  <c r="F30" i="12" s="1"/>
  <c r="L30" i="12" s="1"/>
  <c r="F24" i="12"/>
  <c r="F45" i="12" s="1"/>
  <c r="F23" i="12"/>
  <c r="E23" i="12"/>
  <c r="F22" i="12"/>
  <c r="F48" i="12" s="1"/>
  <c r="I17" i="12"/>
  <c r="E17" i="12"/>
  <c r="I16" i="12"/>
  <c r="E16" i="12"/>
  <c r="F13" i="12"/>
  <c r="E13" i="12"/>
  <c r="H100" i="11"/>
  <c r="E75" i="11"/>
  <c r="E77" i="11" s="1"/>
  <c r="N44" i="11"/>
  <c r="E80" i="11"/>
  <c r="G100" i="11" s="1"/>
  <c r="E22" i="11"/>
  <c r="K75" i="10"/>
  <c r="K77" i="10" s="1"/>
  <c r="E75" i="10"/>
  <c r="E77" i="10" s="1"/>
  <c r="E28" i="10"/>
  <c r="E16" i="10"/>
  <c r="E80" i="10" s="1"/>
  <c r="E15" i="10"/>
  <c r="E22" i="10" s="1"/>
  <c r="E24" i="10" s="1"/>
  <c r="E44" i="10" s="1"/>
  <c r="D61" i="7"/>
  <c r="F69" i="9"/>
  <c r="F68" i="9"/>
  <c r="F67" i="9"/>
  <c r="F66" i="9"/>
  <c r="F28" i="9"/>
  <c r="F17" i="9"/>
  <c r="F11" i="9"/>
  <c r="F10" i="9"/>
  <c r="F79" i="9" s="1"/>
  <c r="F8" i="9"/>
  <c r="F9" i="9" s="1"/>
  <c r="E30" i="13" l="1"/>
  <c r="K30" i="13" s="1"/>
  <c r="G67" i="13" s="1"/>
  <c r="G101" i="10"/>
  <c r="K44" i="10"/>
  <c r="I103" i="10"/>
  <c r="I102" i="10"/>
  <c r="I102" i="11"/>
  <c r="E27" i="12"/>
  <c r="E24" i="12"/>
  <c r="F50" i="13"/>
  <c r="F25" i="13"/>
  <c r="F30" i="13" s="1"/>
  <c r="L30" i="13" s="1"/>
  <c r="F45" i="13"/>
  <c r="G59" i="13"/>
  <c r="E78" i="10"/>
  <c r="I104" i="10" s="1"/>
  <c r="E29" i="10"/>
  <c r="E43" i="10"/>
  <c r="F43" i="13"/>
  <c r="F23" i="13"/>
  <c r="F48" i="13"/>
  <c r="E49" i="12"/>
  <c r="K45" i="12"/>
  <c r="K50" i="12" s="1"/>
  <c r="G68" i="12" s="1"/>
  <c r="G65" i="13"/>
  <c r="L33" i="13"/>
  <c r="F29" i="13"/>
  <c r="L29" i="13" s="1"/>
  <c r="L45" i="13" s="1"/>
  <c r="L50" i="13" s="1"/>
  <c r="E49" i="13"/>
  <c r="K48" i="13"/>
  <c r="G62" i="13" s="1"/>
  <c r="K45" i="13"/>
  <c r="K50" i="13" s="1"/>
  <c r="G68" i="13" s="1"/>
  <c r="G104" i="10"/>
  <c r="G105" i="10" s="1"/>
  <c r="G100" i="10"/>
  <c r="K80" i="10"/>
  <c r="F35" i="12"/>
  <c r="F33" i="12"/>
  <c r="F34" i="12"/>
  <c r="F44" i="12"/>
  <c r="F28" i="12"/>
  <c r="L28" i="12" s="1"/>
  <c r="L44" i="12" s="1"/>
  <c r="L49" i="12" s="1"/>
  <c r="E24" i="11"/>
  <c r="E28" i="11" s="1"/>
  <c r="K80" i="11"/>
  <c r="G104" i="11"/>
  <c r="G105" i="11" s="1"/>
  <c r="F49" i="12"/>
  <c r="K29" i="13"/>
  <c r="G63" i="13"/>
  <c r="F27" i="13"/>
  <c r="L27" i="13" s="1"/>
  <c r="L43" i="13" s="1"/>
  <c r="L48" i="13" s="1"/>
  <c r="G66" i="13"/>
  <c r="E50" i="13"/>
  <c r="K75" i="11"/>
  <c r="K77" i="11" s="1"/>
  <c r="F27" i="12"/>
  <c r="L27" i="12" s="1"/>
  <c r="L43" i="12" s="1"/>
  <c r="L48" i="12" s="1"/>
  <c r="F29" i="12"/>
  <c r="L29" i="12" s="1"/>
  <c r="L45" i="12" s="1"/>
  <c r="L50" i="12" s="1"/>
  <c r="F101" i="9"/>
  <c r="F27" i="9"/>
  <c r="F29" i="9" s="1"/>
  <c r="F30" i="9" s="1"/>
  <c r="F77" i="9" s="1"/>
  <c r="F78" i="9" s="1"/>
  <c r="F44" i="13" l="1"/>
  <c r="F49" i="13"/>
  <c r="F28" i="13"/>
  <c r="L28" i="13" s="1"/>
  <c r="L44" i="13" s="1"/>
  <c r="L49" i="13" s="1"/>
  <c r="I103" i="11"/>
  <c r="G64" i="13"/>
  <c r="L34" i="13"/>
  <c r="E78" i="11"/>
  <c r="E43" i="11"/>
  <c r="E29" i="11"/>
  <c r="K49" i="12"/>
  <c r="G60" i="12"/>
  <c r="E44" i="11"/>
  <c r="E25" i="12"/>
  <c r="E29" i="12"/>
  <c r="K49" i="13"/>
  <c r="G60" i="13"/>
  <c r="L35" i="13"/>
  <c r="K43" i="10"/>
  <c r="K47" i="10" s="1"/>
  <c r="K78" i="10" s="1"/>
  <c r="E45" i="10"/>
  <c r="I101" i="10"/>
  <c r="K27" i="12"/>
  <c r="E28" i="12"/>
  <c r="K28" i="12" s="1"/>
  <c r="E81" i="10"/>
  <c r="F75" i="9"/>
  <c r="F32" i="9"/>
  <c r="F39" i="9" s="1"/>
  <c r="F97" i="9"/>
  <c r="F33" i="9"/>
  <c r="F40" i="9" s="1"/>
  <c r="F99" i="9"/>
  <c r="F100" i="9" s="1"/>
  <c r="E82" i="10" l="1"/>
  <c r="I100" i="10"/>
  <c r="K45" i="10"/>
  <c r="K46" i="10" s="1"/>
  <c r="E46" i="10"/>
  <c r="I104" i="11"/>
  <c r="E81" i="11"/>
  <c r="I105" i="10"/>
  <c r="K81" i="10"/>
  <c r="K82" i="10" s="1"/>
  <c r="K29" i="12"/>
  <c r="E30" i="12"/>
  <c r="G63" i="12"/>
  <c r="K43" i="12"/>
  <c r="G101" i="11"/>
  <c r="K44" i="11"/>
  <c r="I101" i="11"/>
  <c r="E45" i="11"/>
  <c r="K43" i="11"/>
  <c r="K47" i="11" s="1"/>
  <c r="K78" i="11" s="1"/>
  <c r="F47" i="9"/>
  <c r="E56" i="9" s="1"/>
  <c r="F49" i="9"/>
  <c r="F56" i="9" s="1"/>
  <c r="F98" i="9"/>
  <c r="F103" i="9" s="1"/>
  <c r="F108" i="9" s="1"/>
  <c r="F46" i="9"/>
  <c r="E55" i="9" s="1"/>
  <c r="F48" i="9"/>
  <c r="F55" i="9" s="1"/>
  <c r="F76" i="9"/>
  <c r="F81" i="9"/>
  <c r="K45" i="11" l="1"/>
  <c r="K46" i="11" s="1"/>
  <c r="E46" i="11"/>
  <c r="E48" i="12"/>
  <c r="G61" i="12" s="1"/>
  <c r="G59" i="12"/>
  <c r="E79" i="10"/>
  <c r="E76" i="10"/>
  <c r="K76" i="10"/>
  <c r="K79" i="10"/>
  <c r="K30" i="12"/>
  <c r="G67" i="12" s="1"/>
  <c r="G65" i="12"/>
  <c r="L35" i="12"/>
  <c r="L33" i="12"/>
  <c r="E82" i="11"/>
  <c r="I100" i="11"/>
  <c r="K83" i="10"/>
  <c r="I105" i="11"/>
  <c r="K81" i="11"/>
  <c r="K82" i="11" s="1"/>
  <c r="G64" i="12"/>
  <c r="L34" i="12"/>
  <c r="E83" i="10"/>
  <c r="G102" i="10" s="1"/>
  <c r="G103" i="10" s="1"/>
  <c r="E76" i="11" l="1"/>
  <c r="E83" i="11" s="1"/>
  <c r="G102" i="11" s="1"/>
  <c r="G103" i="11" s="1"/>
  <c r="E79" i="11"/>
  <c r="K79" i="11"/>
  <c r="K76" i="11"/>
  <c r="K83" i="11" s="1"/>
  <c r="K10" i="3" l="1"/>
  <c r="F40" i="3"/>
  <c r="K40" i="3" s="1"/>
  <c r="F80" i="2" l="1"/>
  <c r="F79" i="2"/>
  <c r="C80" i="2"/>
  <c r="C79" i="2"/>
  <c r="F54" i="2"/>
  <c r="F53" i="2"/>
  <c r="C54" i="2"/>
  <c r="C53" i="2"/>
  <c r="J73" i="6"/>
  <c r="J72" i="6"/>
  <c r="C72" i="7"/>
  <c r="C74" i="7"/>
  <c r="D15" i="8"/>
  <c r="J76" i="7"/>
  <c r="J75" i="7"/>
  <c r="J74" i="7"/>
  <c r="J73" i="7" s="1"/>
  <c r="D51" i="7"/>
  <c r="D50" i="7"/>
  <c r="D49" i="7"/>
  <c r="D40" i="7"/>
  <c r="D33" i="7"/>
  <c r="D34" i="7" s="1"/>
  <c r="D20" i="7"/>
  <c r="D17" i="7"/>
  <c r="D16" i="7"/>
  <c r="D19" i="7" s="1"/>
  <c r="E9" i="7"/>
  <c r="D9" i="7"/>
  <c r="C77" i="6"/>
  <c r="J76" i="6"/>
  <c r="J75" i="6"/>
  <c r="J74" i="6"/>
  <c r="D51" i="6"/>
  <c r="D50" i="6"/>
  <c r="D49" i="6"/>
  <c r="D39" i="6"/>
  <c r="D38" i="6"/>
  <c r="D33" i="6"/>
  <c r="D34" i="6" s="1"/>
  <c r="D24" i="6"/>
  <c r="D15" i="6"/>
  <c r="D14" i="6"/>
  <c r="D12" i="6"/>
  <c r="D11" i="6"/>
  <c r="E9" i="6" s="1"/>
  <c r="D9" i="6"/>
  <c r="I44" i="3"/>
  <c r="L44" i="3" s="1"/>
  <c r="D44" i="3"/>
  <c r="I43" i="3"/>
  <c r="L43" i="3" s="1"/>
  <c r="D43" i="3"/>
  <c r="G43" i="3" s="1"/>
  <c r="I42" i="3"/>
  <c r="L42" i="3" s="1"/>
  <c r="D42" i="3"/>
  <c r="G42" i="3" s="1"/>
  <c r="I41" i="3"/>
  <c r="L41" i="3" s="1"/>
  <c r="D41" i="3"/>
  <c r="G41" i="3" s="1"/>
  <c r="I40" i="3"/>
  <c r="L40" i="3" s="1"/>
  <c r="D40" i="3"/>
  <c r="G40" i="3" s="1"/>
  <c r="K39" i="3"/>
  <c r="I39" i="3"/>
  <c r="D34" i="3"/>
  <c r="F44" i="3"/>
  <c r="F15" i="3"/>
  <c r="C14" i="2" s="1"/>
  <c r="I14" i="3"/>
  <c r="L14" i="3" s="1"/>
  <c r="I13" i="3"/>
  <c r="L13" i="3" s="1"/>
  <c r="D13" i="3"/>
  <c r="G13" i="3" s="1"/>
  <c r="I12" i="3"/>
  <c r="L12" i="3" s="1"/>
  <c r="D12" i="3"/>
  <c r="G12" i="3" s="1"/>
  <c r="I11" i="3"/>
  <c r="L11" i="3" s="1"/>
  <c r="D11" i="3"/>
  <c r="G11" i="3" s="1"/>
  <c r="I10" i="3"/>
  <c r="L10" i="3" s="1"/>
  <c r="K9" i="3"/>
  <c r="K15" i="3" s="1"/>
  <c r="F14" i="2" s="1"/>
  <c r="I9" i="3"/>
  <c r="C16" i="2"/>
  <c r="F15" i="2"/>
  <c r="H55" i="1"/>
  <c r="D55" i="1"/>
  <c r="J55" i="1" s="1"/>
  <c r="D54" i="1"/>
  <c r="D49" i="1"/>
  <c r="J48" i="1"/>
  <c r="H54" i="1" s="1"/>
  <c r="J35" i="1"/>
  <c r="D35" i="1"/>
  <c r="D34" i="1"/>
  <c r="D33" i="1"/>
  <c r="J32" i="1"/>
  <c r="D32" i="1"/>
  <c r="D48" i="1" s="1"/>
  <c r="J31" i="1"/>
  <c r="D31" i="1"/>
  <c r="D47" i="1" s="1"/>
  <c r="J30" i="1"/>
  <c r="D30" i="1"/>
  <c r="J29" i="1"/>
  <c r="D29" i="1"/>
  <c r="J28" i="1"/>
  <c r="D28" i="1"/>
  <c r="F16" i="1"/>
  <c r="C16" i="1"/>
  <c r="C14" i="1"/>
  <c r="C33" i="2" l="1"/>
  <c r="C17" i="2"/>
  <c r="C31" i="2" s="1"/>
  <c r="J47" i="1"/>
  <c r="H58" i="1" s="1"/>
  <c r="D17" i="6"/>
  <c r="D20" i="6" s="1"/>
  <c r="D23" i="6" s="1"/>
  <c r="D40" i="6"/>
  <c r="F28" i="2"/>
  <c r="F30" i="2"/>
  <c r="F27" i="2"/>
  <c r="F32" i="2"/>
  <c r="F33" i="2"/>
  <c r="F22" i="2"/>
  <c r="D23" i="7"/>
  <c r="C77" i="7"/>
  <c r="D52" i="6"/>
  <c r="E30" i="8" s="1"/>
  <c r="F30" i="8" s="1"/>
  <c r="D66" i="6" s="1"/>
  <c r="D16" i="6"/>
  <c r="D19" i="6" s="1"/>
  <c r="D54" i="6" s="1"/>
  <c r="D52" i="7"/>
  <c r="D25" i="7" s="1"/>
  <c r="D55" i="7" s="1"/>
  <c r="D54" i="7"/>
  <c r="D22" i="7"/>
  <c r="J72" i="7"/>
  <c r="F29" i="2"/>
  <c r="C27" i="2"/>
  <c r="F31" i="2"/>
  <c r="L39" i="3"/>
  <c r="H45" i="3" s="1"/>
  <c r="L9" i="3"/>
  <c r="L15" i="3" s="1"/>
  <c r="G15" i="3"/>
  <c r="G16" i="3" s="1"/>
  <c r="C15" i="3"/>
  <c r="C16" i="3" s="1"/>
  <c r="G44" i="3"/>
  <c r="C45" i="3" s="1"/>
  <c r="C46" i="3" s="1"/>
  <c r="H59" i="1"/>
  <c r="J54" i="1"/>
  <c r="C28" i="2"/>
  <c r="J49" i="1" l="1"/>
  <c r="L45" i="3"/>
  <c r="F35" i="2"/>
  <c r="L16" i="3"/>
  <c r="E21" i="8"/>
  <c r="F21" i="8" s="1"/>
  <c r="D66" i="7" s="1"/>
  <c r="D22" i="6"/>
  <c r="D25" i="6"/>
  <c r="D56" i="6" s="1"/>
  <c r="D28" i="7"/>
  <c r="D56" i="7"/>
  <c r="D58" i="7" s="1"/>
  <c r="D27" i="7"/>
  <c r="D26" i="7"/>
  <c r="D29" i="7"/>
  <c r="H15" i="3"/>
  <c r="H16" i="3" s="1"/>
  <c r="G45" i="3"/>
  <c r="G46" i="3" s="1"/>
  <c r="L46" i="3" s="1"/>
  <c r="J60" i="1"/>
  <c r="H62" i="1" s="1"/>
  <c r="H64" i="1" s="1"/>
  <c r="H66" i="1" s="1"/>
  <c r="I60" i="1"/>
  <c r="H46" i="3"/>
  <c r="D55" i="6" l="1"/>
  <c r="D28" i="6"/>
  <c r="D26" i="6"/>
  <c r="D29" i="6"/>
  <c r="D27" i="6"/>
  <c r="D58" i="6"/>
  <c r="C82" i="2" l="1"/>
  <c r="C84" i="2"/>
  <c r="C81" i="2"/>
  <c r="F81" i="2"/>
  <c r="F84" i="2"/>
  <c r="F82" i="2"/>
  <c r="C55" i="2"/>
  <c r="C58" i="2"/>
  <c r="C56" i="2"/>
  <c r="F58" i="2"/>
  <c r="F56" i="2"/>
  <c r="F55" i="2"/>
  <c r="C32" i="2" l="1"/>
  <c r="C22" i="2"/>
  <c r="C30" i="2"/>
  <c r="C29" i="2"/>
  <c r="C35" i="2" s="1"/>
  <c r="D72" i="6" l="1"/>
  <c r="D72" i="7"/>
  <c r="D74" i="6"/>
  <c r="E74" i="6" s="1"/>
  <c r="D74" i="7"/>
  <c r="E74" i="7" s="1"/>
  <c r="D77" i="7" l="1"/>
  <c r="D60" i="7" s="1"/>
  <c r="E72" i="7"/>
  <c r="E77" i="7" s="1"/>
  <c r="F74" i="7" s="1"/>
  <c r="G74" i="7" s="1"/>
  <c r="F45" i="2" s="1"/>
  <c r="D77" i="6"/>
  <c r="D60" i="6" s="1"/>
  <c r="D61" i="6" s="1"/>
  <c r="E72" i="6"/>
  <c r="E77" i="6" s="1"/>
  <c r="F59" i="2" l="1"/>
  <c r="F57" i="2"/>
  <c r="F61" i="2" s="1"/>
  <c r="F48" i="2"/>
  <c r="F72" i="7"/>
  <c r="G72" i="7" s="1"/>
  <c r="F76" i="7"/>
  <c r="G76" i="7" s="1"/>
  <c r="F77" i="7"/>
  <c r="F72" i="6"/>
  <c r="G72" i="6" s="1"/>
  <c r="F77" i="6"/>
  <c r="F76" i="6"/>
  <c r="G76" i="6" s="1"/>
  <c r="F74" i="6"/>
  <c r="G74" i="6" s="1"/>
  <c r="F71" i="2" s="1"/>
  <c r="C71" i="2" l="1"/>
  <c r="H72" i="6"/>
  <c r="H74" i="6"/>
  <c r="H76" i="6"/>
  <c r="H75" i="6"/>
  <c r="H73" i="6"/>
  <c r="I74" i="6" s="1"/>
  <c r="G77" i="6"/>
  <c r="C45" i="2"/>
  <c r="H75" i="7"/>
  <c r="G77" i="7"/>
  <c r="H74" i="7"/>
  <c r="H73" i="7"/>
  <c r="I74" i="7" s="1"/>
  <c r="H72" i="7"/>
  <c r="H77" i="7" s="1"/>
  <c r="H76" i="7"/>
  <c r="F83" i="2"/>
  <c r="F85" i="2"/>
  <c r="F74" i="2"/>
  <c r="I76" i="6" l="1"/>
  <c r="F87" i="2"/>
  <c r="C59" i="2"/>
  <c r="C57" i="2"/>
  <c r="C61" i="2" s="1"/>
  <c r="C48" i="2"/>
  <c r="H77" i="6"/>
  <c r="I76" i="7"/>
  <c r="C83" i="2"/>
  <c r="C87" i="2" s="1"/>
  <c r="C74" i="2"/>
  <c r="C85" i="2"/>
</calcChain>
</file>

<file path=xl/comments1.xml><?xml version="1.0" encoding="utf-8"?>
<comments xmlns="http://schemas.openxmlformats.org/spreadsheetml/2006/main">
  <authors>
    <author>Ana Gouveia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Need Cals - Provision: if pf&gt;30psf, use .2 of uniform design snow load See 12.7.2 - 4 ASCE7-05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values unknown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sharedStrings.xml><?xml version="1.0" encoding="utf-8"?>
<sst xmlns="http://schemas.openxmlformats.org/spreadsheetml/2006/main" count="1699" uniqueCount="572">
  <si>
    <t>1. BUILDING SPECIFICATIONS:</t>
  </si>
  <si>
    <t>A. CLASSIFICATIONS:</t>
  </si>
  <si>
    <t>Occupancy:</t>
  </si>
  <si>
    <t>B</t>
  </si>
  <si>
    <t>Office</t>
  </si>
  <si>
    <t>Construction Type:</t>
  </si>
  <si>
    <t>II</t>
  </si>
  <si>
    <t>Risk Category:</t>
  </si>
  <si>
    <t>Seismic Site Class:</t>
  </si>
  <si>
    <t>C</t>
  </si>
  <si>
    <t>Importance Factor:</t>
  </si>
  <si>
    <t>Environmental Exposure:</t>
  </si>
  <si>
    <t>B. BUILDING LAYOUT</t>
  </si>
  <si>
    <t>Number Columns:</t>
  </si>
  <si>
    <t>End Clearance:</t>
  </si>
  <si>
    <t>in</t>
  </si>
  <si>
    <t>Total Area:</t>
  </si>
  <si>
    <r>
      <t>ft</t>
    </r>
    <r>
      <rPr>
        <vertAlign val="superscript"/>
        <sz val="10"/>
        <color theme="1"/>
        <rFont val="Calibri"/>
        <family val="2"/>
        <scheme val="minor"/>
      </rPr>
      <t>2</t>
    </r>
  </si>
  <si>
    <t>Floor Plan:</t>
  </si>
  <si>
    <t>ft</t>
  </si>
  <si>
    <t>x</t>
  </si>
  <si>
    <t>Column Grid:</t>
  </si>
  <si>
    <t>Total Height:</t>
  </si>
  <si>
    <t>Finish Floor to Fin. Floor Height:</t>
  </si>
  <si>
    <t># Stories:</t>
  </si>
  <si>
    <t>Structural Allowance:</t>
  </si>
  <si>
    <t>C. LATERAL LOAD RESISTING SYSTEMS:</t>
  </si>
  <si>
    <t>W</t>
  </si>
  <si>
    <t>W10X33</t>
  </si>
  <si>
    <t>E</t>
  </si>
  <si>
    <t>ksi</t>
  </si>
  <si>
    <t>G</t>
  </si>
  <si>
    <t>Section Properties:</t>
  </si>
  <si>
    <t>Yield Strength:</t>
  </si>
  <si>
    <r>
      <t>F</t>
    </r>
    <r>
      <rPr>
        <vertAlign val="subscript"/>
        <sz val="10"/>
        <rFont val="Arial"/>
        <family val="2"/>
      </rPr>
      <t>y</t>
    </r>
  </si>
  <si>
    <t>Member Length:</t>
  </si>
  <si>
    <t>L</t>
  </si>
  <si>
    <t>Moment of Inertia, x:</t>
  </si>
  <si>
    <r>
      <t>I</t>
    </r>
    <r>
      <rPr>
        <vertAlign val="subscript"/>
        <sz val="10"/>
        <rFont val="Arial"/>
        <family val="2"/>
      </rPr>
      <t>xw</t>
    </r>
  </si>
  <si>
    <r>
      <t>in</t>
    </r>
    <r>
      <rPr>
        <vertAlign val="superscript"/>
        <sz val="10"/>
        <rFont val="Arial"/>
        <family val="2"/>
      </rPr>
      <t>4</t>
    </r>
  </si>
  <si>
    <t>Depth:</t>
  </si>
  <si>
    <t>d</t>
  </si>
  <si>
    <t>Moment of Inertia, y</t>
  </si>
  <si>
    <r>
      <t>I</t>
    </r>
    <r>
      <rPr>
        <vertAlign val="subscript"/>
        <sz val="10"/>
        <rFont val="Arial"/>
        <family val="2"/>
      </rPr>
      <t>yw</t>
    </r>
  </si>
  <si>
    <t>Width:</t>
  </si>
  <si>
    <r>
      <t>b</t>
    </r>
    <r>
      <rPr>
        <vertAlign val="subscript"/>
        <sz val="10"/>
        <rFont val="Arial"/>
        <family val="2"/>
      </rPr>
      <t>f</t>
    </r>
  </si>
  <si>
    <t>Polar Moment of Inertia:</t>
  </si>
  <si>
    <r>
      <t>J</t>
    </r>
    <r>
      <rPr>
        <vertAlign val="subscript"/>
        <sz val="10"/>
        <rFont val="Arial"/>
        <family val="2"/>
      </rPr>
      <t>w</t>
    </r>
  </si>
  <si>
    <t>Flange Thickness:</t>
  </si>
  <si>
    <r>
      <t>t</t>
    </r>
    <r>
      <rPr>
        <vertAlign val="subscript"/>
        <sz val="10"/>
        <rFont val="Arial"/>
        <family val="2"/>
      </rPr>
      <t>f</t>
    </r>
  </si>
  <si>
    <t>Radius of Gyration, x:</t>
  </si>
  <si>
    <r>
      <t>r</t>
    </r>
    <r>
      <rPr>
        <vertAlign val="subscript"/>
        <sz val="10"/>
        <rFont val="Arial"/>
        <family val="2"/>
      </rPr>
      <t>xw</t>
    </r>
  </si>
  <si>
    <t>Web Thickness:</t>
  </si>
  <si>
    <r>
      <t>t</t>
    </r>
    <r>
      <rPr>
        <vertAlign val="subscript"/>
        <sz val="10"/>
        <rFont val="Arial"/>
        <family val="2"/>
      </rPr>
      <t>w</t>
    </r>
  </si>
  <si>
    <t>Radius of Gyration, y</t>
  </si>
  <si>
    <t>ryw</t>
  </si>
  <si>
    <t>Area:</t>
  </si>
  <si>
    <t>A</t>
  </si>
  <si>
    <r>
      <t>in</t>
    </r>
    <r>
      <rPr>
        <vertAlign val="superscript"/>
        <sz val="10"/>
        <rFont val="Arial"/>
        <family val="2"/>
      </rPr>
      <t>2</t>
    </r>
  </si>
  <si>
    <t>Section Modulus:</t>
  </si>
  <si>
    <r>
      <t>S</t>
    </r>
    <r>
      <rPr>
        <vertAlign val="subscript"/>
        <sz val="10"/>
        <rFont val="Arial"/>
        <family val="2"/>
      </rPr>
      <t>x</t>
    </r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</si>
  <si>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</si>
  <si>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</si>
  <si>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</si>
  <si>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Z</t>
  </si>
  <si>
    <t>Distance flange/centroid:</t>
  </si>
  <si>
    <r>
      <t>h</t>
    </r>
    <r>
      <rPr>
        <vertAlign val="subscript"/>
        <sz val="10"/>
        <rFont val="Arial"/>
        <family val="2"/>
      </rPr>
      <t>0</t>
    </r>
  </si>
  <si>
    <t>T</t>
  </si>
  <si>
    <t>Warping Constant</t>
  </si>
  <si>
    <r>
      <t>C</t>
    </r>
    <r>
      <rPr>
        <vertAlign val="subscript"/>
        <sz val="10"/>
        <rFont val="Arial"/>
        <family val="2"/>
      </rPr>
      <t>w</t>
    </r>
  </si>
  <si>
    <t>Column Slenderness Parameters:</t>
  </si>
  <si>
    <t>Unbraced Length, x:</t>
  </si>
  <si>
    <r>
      <t>L</t>
    </r>
    <r>
      <rPr>
        <vertAlign val="subscript"/>
        <sz val="10"/>
        <rFont val="Arial"/>
        <family val="2"/>
      </rPr>
      <t>bx</t>
    </r>
  </si>
  <si>
    <t>Eff. Length Factor, x:</t>
  </si>
  <si>
    <r>
      <t>K</t>
    </r>
    <r>
      <rPr>
        <vertAlign val="subscript"/>
        <sz val="10"/>
        <rFont val="Arial"/>
        <family val="2"/>
      </rPr>
      <t>x</t>
    </r>
  </si>
  <si>
    <t>Unbraced Length, y:</t>
  </si>
  <si>
    <t>Eff. Length Factor, y:</t>
  </si>
  <si>
    <r>
      <t>K</t>
    </r>
    <r>
      <rPr>
        <vertAlign val="subscript"/>
        <sz val="10"/>
        <rFont val="Arial"/>
        <family val="2"/>
      </rPr>
      <t>y</t>
    </r>
  </si>
  <si>
    <t>Unbraced Length, z:</t>
  </si>
  <si>
    <t>Eff. Length Factor, z:</t>
  </si>
  <si>
    <r>
      <t>K</t>
    </r>
    <r>
      <rPr>
        <vertAlign val="subscript"/>
        <sz val="10"/>
        <rFont val="Arial"/>
        <family val="2"/>
      </rPr>
      <t>z</t>
    </r>
  </si>
  <si>
    <t>2. Calculations</t>
  </si>
  <si>
    <t>A. Slenderness Ratios:</t>
  </si>
  <si>
    <t>Eq. E 6-2a/b</t>
  </si>
  <si>
    <r>
      <t>(KL/r)</t>
    </r>
    <r>
      <rPr>
        <vertAlign val="subscript"/>
        <sz val="11"/>
        <color theme="1"/>
        <rFont val="Calibri"/>
        <family val="2"/>
        <scheme val="minor"/>
      </rPr>
      <t>x</t>
    </r>
  </si>
  <si>
    <t>Largest Possible Ratio:</t>
  </si>
  <si>
    <r>
      <t>(KL/r)</t>
    </r>
    <r>
      <rPr>
        <vertAlign val="subscript"/>
        <sz val="11"/>
        <color theme="1"/>
        <rFont val="Calibri"/>
        <family val="2"/>
        <scheme val="minor"/>
      </rPr>
      <t>y</t>
    </r>
  </si>
  <si>
    <t>Compressive Control:</t>
  </si>
  <si>
    <t>[AISC E]</t>
  </si>
  <si>
    <r>
      <t>(KL)</t>
    </r>
    <r>
      <rPr>
        <vertAlign val="subscript"/>
        <sz val="11"/>
        <color theme="1"/>
        <rFont val="Calibri"/>
        <family val="2"/>
        <scheme val="minor"/>
      </rPr>
      <t>z</t>
    </r>
  </si>
  <si>
    <t>Critical Stress, Fcr equation:</t>
  </si>
  <si>
    <t>B. Section Slenderness Check:</t>
  </si>
  <si>
    <t>Table B4.1a</t>
  </si>
  <si>
    <t>Member</t>
  </si>
  <si>
    <t>Critical</t>
  </si>
  <si>
    <t>Check</t>
  </si>
  <si>
    <t>Web</t>
  </si>
  <si>
    <t>h/tw</t>
  </si>
  <si>
    <r>
      <t>l</t>
    </r>
    <r>
      <rPr>
        <vertAlign val="subscript"/>
        <sz val="10"/>
        <rFont val="Arial"/>
        <family val="2"/>
      </rPr>
      <t>r</t>
    </r>
  </si>
  <si>
    <t>[case 5]</t>
  </si>
  <si>
    <t>Flange</t>
  </si>
  <si>
    <t>bf/2t</t>
  </si>
  <si>
    <t>[case 1]</t>
  </si>
  <si>
    <t>Section Slenderness:</t>
  </si>
  <si>
    <t>C. Euler Buckling Stress:</t>
  </si>
  <si>
    <r>
      <t>F</t>
    </r>
    <r>
      <rPr>
        <vertAlign val="subscript"/>
        <sz val="10"/>
        <rFont val="Arial"/>
        <family val="2"/>
      </rPr>
      <t>e3</t>
    </r>
  </si>
  <si>
    <t>Eq. E3-4</t>
  </si>
  <si>
    <t>D. Euler Torsional Buckling Stress:</t>
  </si>
  <si>
    <r>
      <t>F</t>
    </r>
    <r>
      <rPr>
        <vertAlign val="subscript"/>
        <sz val="10"/>
        <rFont val="Arial"/>
        <family val="2"/>
      </rPr>
      <t>e4</t>
    </r>
  </si>
  <si>
    <t>Eq. E4-4</t>
  </si>
  <si>
    <t>Controling Euler Stress:</t>
  </si>
  <si>
    <t>E. Critical Buckling Stress, Fcr</t>
  </si>
  <si>
    <r>
      <t>F</t>
    </r>
    <r>
      <rPr>
        <vertAlign val="subscript"/>
        <sz val="10"/>
        <rFont val="Arial"/>
        <family val="2"/>
      </rPr>
      <t>cr</t>
    </r>
  </si>
  <si>
    <t>Eq. E3-2</t>
  </si>
  <si>
    <t>F. Calculate Compressive Strength, Pn:</t>
  </si>
  <si>
    <r>
      <t>P</t>
    </r>
    <r>
      <rPr>
        <vertAlign val="subscript"/>
        <sz val="10"/>
        <rFont val="Arial"/>
        <family val="2"/>
      </rPr>
      <t>n</t>
    </r>
  </si>
  <si>
    <t>Eq. E3-1</t>
  </si>
  <si>
    <t>G. Column Capacity:</t>
  </si>
  <si>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.P</t>
    </r>
    <r>
      <rPr>
        <vertAlign val="subscript"/>
        <sz val="10"/>
        <rFont val="Arial"/>
        <family val="2"/>
      </rPr>
      <t>n</t>
    </r>
  </si>
  <si>
    <t>D. FLOOR SYSTEMS:</t>
  </si>
  <si>
    <t>Concrete Floor Strength:</t>
  </si>
  <si>
    <t xml:space="preserve">g = </t>
  </si>
  <si>
    <t>kcf</t>
  </si>
  <si>
    <t>Concrete Floor Thickness:</t>
  </si>
  <si>
    <t>Metal Deck</t>
  </si>
  <si>
    <t>Composite Steel Beams:</t>
  </si>
  <si>
    <t>Type:</t>
  </si>
  <si>
    <t>A992</t>
  </si>
  <si>
    <t>Steel Girders:</t>
  </si>
  <si>
    <t>E. ROOF SYSTEM</t>
  </si>
  <si>
    <t>Single-ply 60 mil EPDM membrane</t>
  </si>
  <si>
    <t>Rigid Insulation Thickness:</t>
  </si>
  <si>
    <t>Option 1:</t>
  </si>
  <si>
    <t>Open-web steel joists w/ steel girders (W)</t>
  </si>
  <si>
    <t>F. EXTERNAL WALL SYSTEM</t>
  </si>
  <si>
    <t>Primary Suport:</t>
  </si>
  <si>
    <t>Metal Stud</t>
  </si>
  <si>
    <t>Thickness:</t>
  </si>
  <si>
    <t>Insulation:</t>
  </si>
  <si>
    <t>Fiberglass Batt. Insulation</t>
  </si>
  <si>
    <t>Exterior Cladding:</t>
  </si>
  <si>
    <t>Ex. Insulated Finishing Systems</t>
  </si>
  <si>
    <t>1. BUILDING LOADS AS REQUIRED BY CODE:</t>
  </si>
  <si>
    <t xml:space="preserve">Loads are in accordance to: </t>
  </si>
  <si>
    <t>IBC</t>
  </si>
  <si>
    <t>Modified by:</t>
  </si>
  <si>
    <t>Massachusetts Building Code</t>
  </si>
  <si>
    <t>(CMR780)</t>
  </si>
  <si>
    <t>Snow</t>
  </si>
  <si>
    <t>Lowell</t>
  </si>
  <si>
    <t>MA</t>
  </si>
  <si>
    <t>Wind</t>
  </si>
  <si>
    <t>Seismic</t>
  </si>
  <si>
    <t>Construction Live Load:</t>
  </si>
  <si>
    <t>psf</t>
  </si>
  <si>
    <t>Uniform Live Load:</t>
  </si>
  <si>
    <t>2.1 BUILDING VERTICAL LOADS:</t>
  </si>
  <si>
    <t>Roof</t>
  </si>
  <si>
    <t>1st Floor</t>
  </si>
  <si>
    <t>2.1. Dead Load (D)</t>
  </si>
  <si>
    <t>2.2. Live Load (L)</t>
  </si>
  <si>
    <t>2.3. Roof Live Load (Lr)</t>
  </si>
  <si>
    <t>2.4. Snow Load (S)</t>
  </si>
  <si>
    <t xml:space="preserve">2.5. Rain Load (R) </t>
  </si>
  <si>
    <t>2.6. Seismic Load (E )</t>
  </si>
  <si>
    <t>2.7. Wind Load (W)</t>
  </si>
  <si>
    <t>Total / Service Load:</t>
  </si>
  <si>
    <t>1. 1.4D</t>
  </si>
  <si>
    <t>2. 1.2D + 1.6L + .5(Lr or S or R)</t>
  </si>
  <si>
    <t>3. 1.2D + 1.6(Lr or S or R) + (L or .5W)</t>
  </si>
  <si>
    <t>4. 1.2D + 1.0W + L + .5(Lr or S or R)</t>
  </si>
  <si>
    <t>5. 1.2D + 1.0E + L + .2S</t>
  </si>
  <si>
    <t>6. 0.9D + 1.0W</t>
  </si>
  <si>
    <t>7. 0.9D + 1.0E</t>
  </si>
  <si>
    <t>Controlling Load:</t>
  </si>
  <si>
    <t>Reference:</t>
  </si>
  <si>
    <t>ASCE</t>
  </si>
  <si>
    <t>7-10</t>
  </si>
  <si>
    <t>Section</t>
  </si>
  <si>
    <t>Eq/Fig/Table/Notes</t>
  </si>
  <si>
    <t>DEAD LOAD</t>
  </si>
  <si>
    <t>Floor:</t>
  </si>
  <si>
    <t>2nd</t>
  </si>
  <si>
    <t>Item</t>
  </si>
  <si>
    <t>Quantity</t>
  </si>
  <si>
    <t>Units</t>
  </si>
  <si>
    <t>Unit Weight</t>
  </si>
  <si>
    <t>Weight</t>
  </si>
  <si>
    <t>(Area)</t>
  </si>
  <si>
    <t>(ksf or klf)</t>
  </si>
  <si>
    <t>(kip)</t>
  </si>
  <si>
    <t>Concrete Slab</t>
  </si>
  <si>
    <t>sf</t>
  </si>
  <si>
    <t>EPDM Membrane</t>
  </si>
  <si>
    <t>Cladding</t>
  </si>
  <si>
    <t>Insulation</t>
  </si>
  <si>
    <t>Partitions</t>
  </si>
  <si>
    <t>Mechanical Equipment</t>
  </si>
  <si>
    <t>Steel Structure</t>
  </si>
  <si>
    <t>Subtotal</t>
  </si>
  <si>
    <t>Cummulative</t>
  </si>
  <si>
    <t>SNOW LOAD</t>
  </si>
  <si>
    <t>Exposure Factor</t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</si>
  <si>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</t>
    </r>
  </si>
  <si>
    <t>Table</t>
  </si>
  <si>
    <t>7-2</t>
  </si>
  <si>
    <t>Thermal Factor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</si>
  <si>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</si>
  <si>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7-3</t>
  </si>
  <si>
    <t>Importance Factor</t>
  </si>
  <si>
    <r>
      <t>I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</si>
  <si>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1.5-2</t>
  </si>
  <si>
    <t>Ground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</si>
  <si>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</t>
    </r>
  </si>
  <si>
    <t>Figure</t>
  </si>
  <si>
    <t>Flat Roof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</si>
  <si>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</si>
  <si>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>Eq</t>
  </si>
  <si>
    <t>7.3-1</t>
  </si>
  <si>
    <t>SEISMIC LOAD</t>
  </si>
  <si>
    <t>Number of Floors:</t>
  </si>
  <si>
    <t>Mass (kip*s^2/ft)</t>
  </si>
  <si>
    <t>ASSUMPTIONS:</t>
  </si>
  <si>
    <t>Building Frame System:</t>
  </si>
  <si>
    <t>Eccentrically braced steel frame</t>
  </si>
  <si>
    <t>1. SEISMIC GROUD MOTION VALUES</t>
  </si>
  <si>
    <t>11.4.2</t>
  </si>
  <si>
    <t>Soil Properties / Ch. 20</t>
  </si>
  <si>
    <t>Maximum Considered Earthquake Spectral Response: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</si>
  <si>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</si>
  <si>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11.4.1</t>
  </si>
  <si>
    <t>Fig</t>
  </si>
  <si>
    <t>22-1 / 22-4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</si>
  <si>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</si>
  <si>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Adjusted MCE Spectral Response: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</si>
  <si>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</si>
  <si>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t>11.4.3</t>
  </si>
  <si>
    <t>11.4-1</t>
  </si>
  <si>
    <r>
      <t>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</t>
    </r>
  </si>
  <si>
    <t>11.4-2</t>
  </si>
  <si>
    <r>
      <t>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</si>
  <si>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</si>
  <si>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Design Spectral Response Acceleration Parameters:</t>
  </si>
  <si>
    <r>
      <t>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</t>
    </r>
  </si>
  <si>
    <t>11.4.4</t>
  </si>
  <si>
    <t>11.4-3</t>
  </si>
  <si>
    <r>
      <t>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</t>
    </r>
  </si>
  <si>
    <t>11.4-4</t>
  </si>
  <si>
    <t>Design Response Spectrum:</t>
  </si>
  <si>
    <r>
      <t>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0.2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</si>
  <si>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t>s</t>
  </si>
  <si>
    <t>11.4.5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</si>
  <si>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</si>
  <si>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>Long Period Transition         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</si>
  <si>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22-15</t>
  </si>
  <si>
    <t>T =</t>
  </si>
  <si>
    <t>Fundamental Period of Structure</t>
  </si>
  <si>
    <r>
      <t>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if T &lt; 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(0.4+0.6T/T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 =</t>
    </r>
  </si>
  <si>
    <t>11.4-5</t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</si>
  <si>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</si>
  <si>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/T =</t>
    </r>
  </si>
  <si>
    <t>11.4-6</t>
  </si>
  <si>
    <r>
      <t xml:space="preserve"> if T &gt; 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</si>
  <si>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11.4-7</t>
  </si>
  <si>
    <t>2. IMPORTANCE FACTOR AND OCCUPANCY CATEGORY</t>
  </si>
  <si>
    <t>Occupancy Category:</t>
  </si>
  <si>
    <t>1-1</t>
  </si>
  <si>
    <t>11.5-1</t>
  </si>
  <si>
    <t>3. SEISMIC DESIGN CATEGORY</t>
  </si>
  <si>
    <t>SDC based on short period:</t>
  </si>
  <si>
    <t>11.6-1</t>
  </si>
  <si>
    <t>SDS based on 1-s period:</t>
  </si>
  <si>
    <t>11.6-2</t>
  </si>
  <si>
    <t>SDC =</t>
  </si>
  <si>
    <t>Maximum from values above</t>
  </si>
  <si>
    <t>4. EQUIVALENT LATERAL FORCE PROCEDURE</t>
  </si>
  <si>
    <t>R =</t>
  </si>
  <si>
    <t>12.8.1</t>
  </si>
  <si>
    <t>12.2-1</t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</si>
  <si>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</si>
  <si>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</si>
  <si>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Approximate Fundamental Period, T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</si>
  <si>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>12.8.2.1</t>
  </si>
  <si>
    <t>Dependent on structure</t>
  </si>
  <si>
    <t>12.8-2</t>
  </si>
  <si>
    <r>
      <t>x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</si>
  <si>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</si>
  <si>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 xml:space="preserve"> Height of heighest level of structure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</si>
  <si>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</si>
  <si>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t>12.8-7</t>
  </si>
  <si>
    <t>Seismic Response Coefficient:</t>
  </si>
  <si>
    <t>12.8.1.1</t>
  </si>
  <si>
    <r>
      <t>C</t>
    </r>
    <r>
      <rPr>
        <vertAlign val="subscript"/>
        <sz val="11"/>
        <color theme="1"/>
        <rFont val="Calibri"/>
        <family val="2"/>
        <scheme val="minor"/>
      </rPr>
      <t>Scalc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/(R/I)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</si>
  <si>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Smax</t>
    </r>
    <r>
      <rPr>
        <sz val="11"/>
        <color theme="1"/>
        <rFont val="Calibri"/>
        <family val="2"/>
        <scheme val="minor"/>
      </rPr>
      <t xml:space="preserve"> = if T &lt;=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/(T*(R/I) =</t>
    </r>
  </si>
  <si>
    <t>12.8-3</t>
  </si>
  <si>
    <r>
      <t>if T &gt;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D1*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/(T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*(R/I) =</t>
    </r>
  </si>
  <si>
    <t>12.8-4</t>
  </si>
  <si>
    <r>
      <t>C</t>
    </r>
    <r>
      <rPr>
        <vertAlign val="subscript"/>
        <sz val="11"/>
        <color theme="1"/>
        <rFont val="Calibri"/>
        <family val="2"/>
        <scheme val="minor"/>
      </rPr>
      <t>Smin</t>
    </r>
    <r>
      <rPr>
        <sz val="11"/>
        <color theme="1"/>
        <rFont val="Calibri"/>
        <family val="2"/>
        <scheme val="minor"/>
      </rPr>
      <t xml:space="preserve"> = </t>
    </r>
  </si>
  <si>
    <t>Revised Sup. 2</t>
  </si>
  <si>
    <t>12.8-5/12.8-6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</si>
  <si>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</si>
  <si>
    <t>Seismic Base Shear:</t>
  </si>
  <si>
    <t xml:space="preserve">Seismic Weight                      W = </t>
  </si>
  <si>
    <t>kip</t>
  </si>
  <si>
    <t>12.7.2</t>
  </si>
  <si>
    <t>Table Below</t>
  </si>
  <si>
    <t>Seismic Base Shear                V =</t>
  </si>
  <si>
    <t>12.8-1</t>
  </si>
  <si>
    <t>Vertical Distribution of Seismic Forces:</t>
  </si>
  <si>
    <t>12.8.3</t>
  </si>
  <si>
    <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>V</t>
    </r>
  </si>
  <si>
    <t>12.8-11</t>
  </si>
  <si>
    <r>
      <t>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 xml:space="preserve"> = (w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)/(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) </t>
    </r>
  </si>
  <si>
    <t>Vertical Distribution Factor</t>
  </si>
  <si>
    <t>k =</t>
  </si>
  <si>
    <t>Horizontal Distribution of Seismic Forces:</t>
  </si>
  <si>
    <t>12.8.4</t>
  </si>
  <si>
    <r>
      <t>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</t>
    </r>
  </si>
  <si>
    <t>12.8-13</t>
  </si>
  <si>
    <t>Floor</t>
  </si>
  <si>
    <t>Height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</si>
  <si>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Symbol"/>
        <family val="1"/>
        <charset val="2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</si>
  <si>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vx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</si>
  <si>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</si>
  <si>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</si>
  <si>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Overturning Moment</t>
  </si>
  <si>
    <t>Total Height</t>
  </si>
  <si>
    <t>(ft)</t>
  </si>
  <si>
    <t>(kip.ft)</t>
  </si>
  <si>
    <t>Podium</t>
  </si>
  <si>
    <t>SUM</t>
  </si>
  <si>
    <t>ALLOWED DEFLECTIONS</t>
  </si>
  <si>
    <t>12.12-1</t>
  </si>
  <si>
    <t>hsx</t>
  </si>
  <si>
    <t>1. BUILDING INFORMATION RELATED TO WIND LOAD ANALYSIS</t>
  </si>
  <si>
    <t>26/27/28</t>
  </si>
  <si>
    <t>Mean roof height</t>
  </si>
  <si>
    <t>Floor-Floor Height</t>
  </si>
  <si>
    <t>2. WIND EXPOSURE, ROUGHNESS AND OCCUPANCY CATEGORY</t>
  </si>
  <si>
    <t>Ground Surface Roughness:</t>
  </si>
  <si>
    <t>26.7.2</t>
  </si>
  <si>
    <t>Exposure Category:</t>
  </si>
  <si>
    <t>3. ENVIRONMENTAL CHARACTERISTICS AND FACTORS</t>
  </si>
  <si>
    <t>Wind Speed</t>
  </si>
  <si>
    <r>
      <t xml:space="preserve"> V</t>
    </r>
    <r>
      <rPr>
        <sz val="11"/>
        <color theme="1"/>
        <rFont val="Calibri"/>
        <family val="2"/>
        <scheme val="minor"/>
      </rPr>
      <t xml:space="preserve"> =</t>
    </r>
  </si>
  <si>
    <t>mph</t>
  </si>
  <si>
    <t>26.5-1A</t>
  </si>
  <si>
    <t>Zone A</t>
  </si>
  <si>
    <r>
      <t xml:space="preserve">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 xml:space="preserve"> =</t>
    </r>
  </si>
  <si>
    <t>Zone C</t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</si>
  <si>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</si>
  <si>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</si>
  <si>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sz val="11"/>
        <color theme="1"/>
        <rFont val="Calibri"/>
        <family val="2"/>
        <scheme val="minor"/>
      </rPr>
      <t xml:space="preserve"> =</t>
    </r>
  </si>
  <si>
    <t>2.a =</t>
  </si>
  <si>
    <t xml:space="preserve">Longitudinal </t>
  </si>
  <si>
    <t>Transverse</t>
  </si>
  <si>
    <t>Adjustment Factor</t>
  </si>
  <si>
    <r>
      <t xml:space="preserve">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</si>
  <si>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K</t>
    </r>
    <r>
      <rPr>
        <vertAlign val="subscript"/>
        <sz val="11"/>
        <color theme="1"/>
        <rFont val="Calibri"/>
        <family val="2"/>
        <scheme val="minor"/>
      </rPr>
      <t>zt</t>
    </r>
    <r>
      <rPr>
        <sz val="11"/>
        <color theme="1"/>
        <rFont val="Calibri"/>
        <family val="2"/>
        <scheme val="minor"/>
      </rPr>
      <t xml:space="preserve"> =</t>
    </r>
  </si>
  <si>
    <t>Building Length</t>
  </si>
  <si>
    <t>Building Width</t>
  </si>
  <si>
    <t>L =</t>
  </si>
  <si>
    <t>W =</t>
  </si>
  <si>
    <t>28.6-1</t>
  </si>
  <si>
    <t>.1*W</t>
  </si>
  <si>
    <t>Min Value</t>
  </si>
  <si>
    <r>
      <t>.4*H</t>
    </r>
    <r>
      <rPr>
        <i/>
        <vertAlign val="subscript"/>
        <sz val="10"/>
        <color theme="1"/>
        <rFont val="Calibri"/>
        <family val="2"/>
        <scheme val="minor"/>
      </rPr>
      <t>roof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</si>
  <si>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=</t>
    </r>
  </si>
  <si>
    <r>
      <t>Weighted Average for P</t>
    </r>
    <r>
      <rPr>
        <b/>
        <vertAlign val="subscript"/>
        <sz val="11"/>
        <color theme="1"/>
        <rFont val="Calibri"/>
        <family val="2"/>
        <scheme val="minor"/>
      </rPr>
      <t>s30</t>
    </r>
    <r>
      <rPr>
        <b/>
        <sz val="11"/>
        <color theme="1"/>
        <rFont val="Calibri"/>
        <family val="2"/>
        <scheme val="minor"/>
      </rPr>
      <t>:</t>
    </r>
  </si>
  <si>
    <r>
      <t>Design wind pressure,              P</t>
    </r>
    <r>
      <rPr>
        <vertAlign val="subscript"/>
        <sz val="11"/>
        <color theme="1"/>
        <rFont val="Calibri"/>
        <family val="2"/>
        <scheme val="minor"/>
      </rPr>
      <t>s-transverse =</t>
    </r>
  </si>
  <si>
    <r>
      <t>Design wind pressure,             P</t>
    </r>
    <r>
      <rPr>
        <vertAlign val="subscript"/>
        <sz val="11"/>
        <color theme="1"/>
        <rFont val="Calibri"/>
        <family val="2"/>
        <scheme val="minor"/>
      </rPr>
      <t xml:space="preserve">s-longitudinal =  </t>
    </r>
  </si>
  <si>
    <t>4. DESIGN WIND PRESSURE</t>
  </si>
  <si>
    <t>5. LOAD APPLIED TO EACH LEVEL</t>
  </si>
  <si>
    <t>Level 1</t>
  </si>
  <si>
    <r>
      <t>F</t>
    </r>
    <r>
      <rPr>
        <vertAlign val="subscript"/>
        <sz val="11"/>
        <color theme="1"/>
        <rFont val="Calibri"/>
        <family val="2"/>
        <scheme val="minor"/>
      </rPr>
      <t>u-longitudinal =</t>
    </r>
  </si>
  <si>
    <r>
      <t>F</t>
    </r>
    <r>
      <rPr>
        <vertAlign val="subscript"/>
        <sz val="11"/>
        <color theme="1"/>
        <rFont val="Calibri"/>
        <family val="2"/>
        <scheme val="minor"/>
      </rPr>
      <t>u-transverse =</t>
    </r>
  </si>
  <si>
    <t>Braced Frame</t>
  </si>
  <si>
    <t>Moment Frame</t>
  </si>
  <si>
    <t>(Longitudinal)</t>
  </si>
  <si>
    <t>(Transverse)</t>
  </si>
  <si>
    <t>Number of Braces/Level</t>
  </si>
  <si>
    <t>Number of Moment Frames/ Level</t>
  </si>
  <si>
    <t>6. LATERAL LOAD APPLIED TO BRACED AND MOMENT FRAME</t>
  </si>
  <si>
    <t>7. VERTICAL UPLIFT PRESSURES ON ROOF</t>
  </si>
  <si>
    <r>
      <t>Zone E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/>
    </r>
  </si>
  <si>
    <r>
      <t>Zone F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</si>
  <si>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G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</si>
  <si>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H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</si>
  <si>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Design wind pressure Zone F,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</si>
  <si>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G,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</si>
  <si>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H,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</si>
  <si>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E,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</si>
  <si>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t>7. UPLIFT PRESSURE (TRANSVERSE LOADING)</t>
  </si>
  <si>
    <t>Area, Zone E</t>
  </si>
  <si>
    <t>Area, Zone F</t>
  </si>
  <si>
    <t>Area, Zone G</t>
  </si>
  <si>
    <t>Area, Zone H</t>
  </si>
  <si>
    <t>Total Roof Area</t>
  </si>
  <si>
    <t>Weighted Uplift Pressure from Transverse Wind Load</t>
  </si>
  <si>
    <t>Weighted Uplift Pressure from Longitudinal Wind Load</t>
  </si>
  <si>
    <t>9. MAXIMUM UPLIFT PRESSURE</t>
  </si>
  <si>
    <t>8. UPLIFT PRESSURE (LONGITUDINAL LOADING)</t>
  </si>
  <si>
    <t>Controlling Uplift Pressure</t>
  </si>
  <si>
    <t>Largest Absolute Value</t>
  </si>
  <si>
    <t>3.2 LOAD COMBINATIONS PER LRFD SPECIFICATIONS:</t>
  </si>
  <si>
    <t>3.1 BUILDING LATERAL LOAD ON LONGITUDINAL DIRECTION: BRACED-FRAME</t>
  </si>
  <si>
    <t>2.2 LOAD COMBINATIONS PER LRFD SPECIFICATIONS:</t>
  </si>
  <si>
    <t>4.1 BUILDING LATERAL LOAD ON TRANSVERSE DIRECTION: MOMENT-FRAME</t>
  </si>
  <si>
    <t>4.2 LOAD COMBINATIONS PER LRFD SPECIFICATIONS:</t>
  </si>
  <si>
    <t>Steel moment-resisting frame</t>
  </si>
  <si>
    <t>11.5 IMPORTANCE FACTOR AND OCCUPANCY CATEGORY</t>
  </si>
  <si>
    <t>Table 11.5-1</t>
  </si>
  <si>
    <t>Importance Factors</t>
  </si>
  <si>
    <t>Table 11.6-1</t>
  </si>
  <si>
    <r>
      <t>Seismic Design Category based on S</t>
    </r>
    <r>
      <rPr>
        <b/>
        <vertAlign val="subscript"/>
        <sz val="11"/>
        <color theme="1"/>
        <rFont val="Calibri"/>
        <family val="2"/>
        <scheme val="minor"/>
      </rPr>
      <t>DS</t>
    </r>
  </si>
  <si>
    <t>Occupancy</t>
  </si>
  <si>
    <t>I</t>
  </si>
  <si>
    <t>III</t>
  </si>
  <si>
    <t>IV</t>
  </si>
  <si>
    <t>D</t>
  </si>
  <si>
    <t>Table 12.8-1</t>
  </si>
  <si>
    <t>Coefficient for upper limit on calculated period:</t>
  </si>
  <si>
    <t>Structure Type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</si>
  <si>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u</t>
    </r>
  </si>
  <si>
    <t>k</t>
  </si>
  <si>
    <t>Table 12.8-2</t>
  </si>
  <si>
    <r>
      <t>Values of Approximate Period Parameters C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10"/>
        <color theme="1"/>
        <rFont val="Calibri"/>
        <family val="2"/>
        <scheme val="minor"/>
      </rPr>
      <t>and x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</si>
  <si>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</si>
  <si>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Concrete moment-resisting frame</t>
  </si>
  <si>
    <t>All other structural systems</t>
  </si>
  <si>
    <t>Interpolation for k (braced):</t>
  </si>
  <si>
    <t>Interpolation for k (moment):</t>
  </si>
  <si>
    <t>Beware of mins and max</t>
  </si>
  <si>
    <t>Lateral force per level</t>
  </si>
  <si>
    <t>Metal Deck 18 g.a</t>
  </si>
  <si>
    <t>*Unit Weights per ASCE 7-10</t>
  </si>
  <si>
    <t>WIND LOAD ANALYSIS</t>
  </si>
  <si>
    <t>1. MOMENT FRAME INFORMATION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</si>
  <si>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Moment Frame  </t>
    </r>
  </si>
  <si>
    <r>
      <rPr>
        <b/>
        <sz val="11"/>
        <color theme="1"/>
        <rFont val="Calibri"/>
        <family val="2"/>
        <scheme val="minor"/>
      </rPr>
      <t>Figure 2</t>
    </r>
    <r>
      <rPr>
        <sz val="11"/>
        <color theme="1"/>
        <rFont val="Calibri"/>
        <family val="2"/>
        <scheme val="minor"/>
      </rPr>
      <t xml:space="preserve"> - Member Reference</t>
    </r>
  </si>
  <si>
    <t>Story Height, H =</t>
  </si>
  <si>
    <t>Bay Width, W =</t>
  </si>
  <si>
    <r>
      <t>F</t>
    </r>
    <r>
      <rPr>
        <vertAlign val="subscript"/>
        <sz val="11"/>
        <color theme="1"/>
        <rFont val="Calibri"/>
        <family val="2"/>
        <scheme val="minor"/>
      </rPr>
      <t>r =</t>
    </r>
  </si>
  <si>
    <r>
      <t>F</t>
    </r>
    <r>
      <rPr>
        <vertAlign val="subscript"/>
        <sz val="11"/>
        <color theme="1"/>
        <rFont val="Calibri"/>
        <family val="2"/>
        <scheme val="minor"/>
      </rPr>
      <t>1 =</t>
    </r>
  </si>
  <si>
    <t>2.1 MEMBER FORCES DISTRIBUTION</t>
  </si>
  <si>
    <t>Compute Shear Forces</t>
  </si>
  <si>
    <r>
      <rPr>
        <sz val="11"/>
        <color theme="1"/>
        <rFont val="Symbol"/>
        <family val="1"/>
        <charset val="2"/>
      </rPr>
      <t>å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=0</t>
    </r>
  </si>
  <si>
    <t>kips</t>
  </si>
  <si>
    <t># of shear forces</t>
  </si>
  <si>
    <r>
      <t>V</t>
    </r>
    <r>
      <rPr>
        <vertAlign val="subscript"/>
        <sz val="11"/>
        <color theme="1"/>
        <rFont val="Calibri"/>
        <family val="2"/>
        <scheme val="minor"/>
      </rPr>
      <t>1 =</t>
    </r>
  </si>
  <si>
    <t>Compute moments at top of columns</t>
  </si>
  <si>
    <r>
      <t>M</t>
    </r>
    <r>
      <rPr>
        <vertAlign val="subscript"/>
        <sz val="11"/>
        <color theme="1"/>
        <rFont val="Calibri"/>
        <family val="2"/>
        <scheme val="minor"/>
      </rPr>
      <t>JG =</t>
    </r>
  </si>
  <si>
    <t>kip*ft</t>
  </si>
  <si>
    <r>
      <t>M</t>
    </r>
    <r>
      <rPr>
        <vertAlign val="subscript"/>
        <sz val="11"/>
        <color theme="1"/>
        <rFont val="Calibri"/>
        <family val="2"/>
        <scheme val="minor"/>
      </rPr>
      <t>KF =</t>
    </r>
  </si>
  <si>
    <t>METHOD OF JOINTS:</t>
  </si>
  <si>
    <t>Joint J</t>
  </si>
  <si>
    <t>Member J-K</t>
  </si>
  <si>
    <t>Joint K</t>
  </si>
  <si>
    <t>Joint J:</t>
  </si>
  <si>
    <t>Joint K:</t>
  </si>
  <si>
    <r>
      <t>M</t>
    </r>
    <r>
      <rPr>
        <vertAlign val="subscript"/>
        <sz val="11"/>
        <color theme="1"/>
        <rFont val="Calibri"/>
        <family val="2"/>
        <scheme val="minor"/>
      </rPr>
      <t>JK =</t>
    </r>
  </si>
  <si>
    <r>
      <t>M</t>
    </r>
    <r>
      <rPr>
        <vertAlign val="subscript"/>
        <sz val="11"/>
        <color theme="1"/>
        <rFont val="Calibri"/>
        <family val="2"/>
        <scheme val="minor"/>
      </rPr>
      <t>KJ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</si>
  <si>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Fx=0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</si>
  <si>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</si>
  <si>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M/W</t>
    </r>
  </si>
  <si>
    <r>
      <t>V</t>
    </r>
    <r>
      <rPr>
        <vertAlign val="subscript"/>
        <sz val="11"/>
        <color theme="1"/>
        <rFont val="Calibri"/>
        <family val="2"/>
        <scheme val="minor"/>
      </rPr>
      <t>J =</t>
    </r>
  </si>
  <si>
    <r>
      <t>V</t>
    </r>
    <r>
      <rPr>
        <vertAlign val="subscript"/>
        <sz val="11"/>
        <color theme="1"/>
        <rFont val="Calibri"/>
        <family val="2"/>
        <scheme val="minor"/>
      </rPr>
      <t>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</si>
  <si>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Fy=0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</si>
  <si>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</si>
  <si>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KF =</t>
    </r>
  </si>
  <si>
    <t>Section 2</t>
  </si>
  <si>
    <t>Joint G</t>
  </si>
  <si>
    <t>Member G-F</t>
  </si>
  <si>
    <t>Joint F</t>
  </si>
  <si>
    <t>Joint G:</t>
  </si>
  <si>
    <t>(F1+FR)/2</t>
  </si>
  <si>
    <r>
      <t>V</t>
    </r>
    <r>
      <rPr>
        <vertAlign val="subscript"/>
        <sz val="11"/>
        <color theme="1"/>
        <rFont val="Calibri"/>
        <family val="2"/>
        <scheme val="minor"/>
      </rPr>
      <t>2 =</t>
    </r>
  </si>
  <si>
    <t>FJG</t>
  </si>
  <si>
    <r>
      <t>F</t>
    </r>
    <r>
      <rPr>
        <vertAlign val="subscript"/>
        <sz val="11"/>
        <color theme="1"/>
        <rFont val="Calibri"/>
        <family val="2"/>
        <scheme val="minor"/>
      </rPr>
      <t>GJ =</t>
    </r>
  </si>
  <si>
    <t xml:space="preserve">T </t>
  </si>
  <si>
    <t>FKF</t>
  </si>
  <si>
    <r>
      <t>F</t>
    </r>
    <r>
      <rPr>
        <vertAlign val="subscript"/>
        <sz val="11"/>
        <color theme="1"/>
        <rFont val="Calibri"/>
        <family val="2"/>
        <scheme val="minor"/>
      </rPr>
      <t>FK =</t>
    </r>
  </si>
  <si>
    <t>V2*H/2</t>
  </si>
  <si>
    <r>
      <t>M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</si>
  <si>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FC =</t>
    </r>
  </si>
  <si>
    <t>(MJG)</t>
  </si>
  <si>
    <r>
      <t>M</t>
    </r>
    <r>
      <rPr>
        <vertAlign val="subscript"/>
        <sz val="11"/>
        <color theme="1"/>
        <rFont val="Calibri"/>
        <family val="2"/>
        <scheme val="minor"/>
      </rPr>
      <t>GJ =</t>
    </r>
  </si>
  <si>
    <t>MKF</t>
  </si>
  <si>
    <r>
      <t>M</t>
    </r>
    <r>
      <rPr>
        <vertAlign val="subscript"/>
        <sz val="11"/>
        <color theme="1"/>
        <rFont val="Calibri"/>
        <family val="2"/>
        <scheme val="minor"/>
      </rPr>
      <t>FK =</t>
    </r>
  </si>
  <si>
    <t>(FJG)</t>
  </si>
  <si>
    <r>
      <t>F</t>
    </r>
    <r>
      <rPr>
        <vertAlign val="subscript"/>
        <sz val="11"/>
        <color theme="1"/>
        <rFont val="Calibri"/>
        <family val="2"/>
        <scheme val="minor"/>
      </rPr>
      <t>GF =</t>
    </r>
  </si>
  <si>
    <t>FGF</t>
  </si>
  <si>
    <r>
      <t>F</t>
    </r>
    <r>
      <rPr>
        <vertAlign val="subscript"/>
        <sz val="11"/>
        <color theme="1"/>
        <rFont val="Calibri"/>
        <family val="2"/>
        <scheme val="minor"/>
      </rPr>
      <t>FG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</si>
  <si>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</t>
    </r>
  </si>
  <si>
    <r>
      <t>M</t>
    </r>
    <r>
      <rPr>
        <vertAlign val="subscript"/>
        <sz val="11"/>
        <color theme="1"/>
        <rFont val="Calibri"/>
        <family val="2"/>
        <scheme val="minor"/>
      </rPr>
      <t>GF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</si>
  <si>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FG =</t>
    </r>
  </si>
  <si>
    <r>
      <t>V</t>
    </r>
    <r>
      <rPr>
        <vertAlign val="subscript"/>
        <sz val="11"/>
        <color theme="1"/>
        <rFont val="Calibri"/>
        <family val="2"/>
        <scheme val="minor"/>
      </rPr>
      <t>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</si>
  <si>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</si>
  <si>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F</t>
    </r>
    <r>
      <rPr>
        <vertAlign val="subscript"/>
        <sz val="11"/>
        <color theme="1"/>
        <rFont val="Calibri"/>
        <family val="2"/>
        <scheme val="minor"/>
      </rPr>
      <t>FC =</t>
    </r>
  </si>
  <si>
    <t>3. RESULTS</t>
  </si>
  <si>
    <t>Frame</t>
  </si>
  <si>
    <t>Function</t>
  </si>
  <si>
    <t>Force</t>
  </si>
  <si>
    <t>T/C</t>
  </si>
  <si>
    <t>Moment</t>
  </si>
  <si>
    <t>(#)</t>
  </si>
  <si>
    <t>(type)</t>
  </si>
  <si>
    <t>(Units)</t>
  </si>
  <si>
    <t>GF</t>
  </si>
  <si>
    <t>First</t>
  </si>
  <si>
    <t>Beam</t>
  </si>
  <si>
    <t>JK</t>
  </si>
  <si>
    <t>BG</t>
  </si>
  <si>
    <t>Column</t>
  </si>
  <si>
    <t>CF</t>
  </si>
  <si>
    <t>JG</t>
  </si>
  <si>
    <t>KF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</si>
  <si>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Braced-Frame Member Reference</t>
    </r>
  </si>
  <si>
    <t>Diagonal, D</t>
  </si>
  <si>
    <t>Story Height, H</t>
  </si>
  <si>
    <t>Bay Width, W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</si>
  <si>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</si>
  <si>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</si>
  <si>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Find Reactions</t>
  </si>
  <si>
    <t>Cy=</t>
  </si>
  <si>
    <t>up</t>
  </si>
  <si>
    <t>By=</t>
  </si>
  <si>
    <t>down</t>
  </si>
  <si>
    <t>Cx=</t>
  </si>
  <si>
    <t>west</t>
  </si>
  <si>
    <t>Bx=</t>
  </si>
  <si>
    <t>Joint B</t>
  </si>
  <si>
    <t>Joint C</t>
  </si>
  <si>
    <t>(Fr+F1)/2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</si>
  <si>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</si>
  <si>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BFy</t>
    </r>
  </si>
  <si>
    <r>
      <t>F</t>
    </r>
    <r>
      <rPr>
        <vertAlign val="subscript"/>
        <sz val="11"/>
        <color theme="1"/>
        <rFont val="Calibri"/>
        <family val="2"/>
        <scheme val="minor"/>
      </rPr>
      <t>GCy</t>
    </r>
  </si>
  <si>
    <t>Brace Force</t>
  </si>
  <si>
    <r>
      <t>F</t>
    </r>
    <r>
      <rPr>
        <vertAlign val="subscript"/>
        <sz val="11"/>
        <color theme="1"/>
        <rFont val="Calibri"/>
        <family val="2"/>
        <scheme val="minor"/>
      </rPr>
      <t>BF</t>
    </r>
  </si>
  <si>
    <r>
      <t>F</t>
    </r>
    <r>
      <rPr>
        <vertAlign val="subscript"/>
        <sz val="11"/>
        <color theme="1"/>
        <rFont val="Calibri"/>
        <family val="2"/>
        <scheme val="minor"/>
      </rPr>
      <t>GC</t>
    </r>
  </si>
  <si>
    <t>Vertical Force</t>
  </si>
  <si>
    <r>
      <t>F</t>
    </r>
    <r>
      <rPr>
        <vertAlign val="subscript"/>
        <sz val="11"/>
        <color theme="1"/>
        <rFont val="Calibri"/>
        <family val="2"/>
        <scheme val="minor"/>
      </rPr>
      <t>BG</t>
    </r>
  </si>
  <si>
    <r>
      <t>F</t>
    </r>
    <r>
      <rPr>
        <vertAlign val="subscript"/>
        <sz val="11"/>
        <color theme="1"/>
        <rFont val="Calibri"/>
        <family val="2"/>
        <scheme val="minor"/>
      </rPr>
      <t>FC</t>
    </r>
  </si>
  <si>
    <t>To solve system:</t>
  </si>
  <si>
    <t>Moment Equation</t>
  </si>
  <si>
    <r>
      <t>F</t>
    </r>
    <r>
      <rPr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</si>
  <si>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</si>
  <si>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vertAlign val="subscript"/>
        <sz val="11"/>
        <color theme="1"/>
        <rFont val="Calibri"/>
        <family val="2"/>
        <scheme val="minor"/>
      </rPr>
      <t>GJ</t>
    </r>
  </si>
  <si>
    <t>=</t>
  </si>
  <si>
    <t>Forces in X</t>
  </si>
  <si>
    <t>Forces in Y</t>
  </si>
  <si>
    <t>Inverse Matrix</t>
  </si>
  <si>
    <t>Solution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</si>
  <si>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</si>
  <si>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</si>
  <si>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GJ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</si>
  <si>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FJ</t>
    </r>
  </si>
  <si>
    <t>Horizontal Force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</si>
  <si>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FK</t>
    </r>
  </si>
  <si>
    <r>
      <t>F</t>
    </r>
    <r>
      <rPr>
        <vertAlign val="subscript"/>
        <sz val="11"/>
        <color theme="1"/>
        <rFont val="Calibri"/>
        <family val="2"/>
        <scheme val="minor"/>
      </rPr>
      <t>JF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</si>
  <si>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JK</t>
    </r>
  </si>
  <si>
    <r>
      <t>F</t>
    </r>
    <r>
      <rPr>
        <vertAlign val="subscript"/>
        <sz val="11"/>
        <color theme="1"/>
        <rFont val="Calibri"/>
        <family val="2"/>
        <scheme val="minor"/>
      </rPr>
      <t>KJ</t>
    </r>
  </si>
  <si>
    <r>
      <t>F</t>
    </r>
    <r>
      <rPr>
        <vertAlign val="subscript"/>
        <sz val="11"/>
        <color theme="1"/>
        <rFont val="Calibri"/>
        <family val="2"/>
        <scheme val="minor"/>
      </rPr>
      <t>JG</t>
    </r>
  </si>
  <si>
    <r>
      <t>F</t>
    </r>
    <r>
      <rPr>
        <vertAlign val="subscript"/>
        <sz val="11"/>
        <color theme="1"/>
        <rFont val="Calibri"/>
        <family val="2"/>
        <scheme val="minor"/>
      </rPr>
      <t>KF</t>
    </r>
  </si>
  <si>
    <t>Braced</t>
  </si>
  <si>
    <t>JF</t>
  </si>
  <si>
    <t>Brace</t>
  </si>
  <si>
    <t>GK</t>
  </si>
  <si>
    <t>BF</t>
  </si>
  <si>
    <t>GC</t>
  </si>
  <si>
    <t xml:space="preserve">CMR </t>
  </si>
  <si>
    <t>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</si>
</sst>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Symbol"/>
      <family val="1"/>
      <charset val="2"/>
    </font>
    <font>
      <sz val="10"/>
      <color theme="1"/>
      <name val="Symbol"/>
      <family val="1"/>
      <charset val="2"/>
    </font>
    <font>
      <i/>
      <sz val="11"/>
      <color theme="0" tint="-0.34998626667073579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5" fillId="0" borderId="0"/>
  </cellStyleXfs>
  <cellXfs count="27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1" applyFont="1" applyFill="1" applyAlignment="1">
      <alignment horizontal="center"/>
    </xf>
    <xf numFmtId="0" fontId="5" fillId="0" borderId="0" xfId="1"/>
    <xf numFmtId="0" fontId="7" fillId="0" borderId="0" xfId="0" applyFont="1"/>
    <xf numFmtId="0" fontId="5" fillId="0" borderId="0" xfId="1" applyFont="1"/>
    <xf numFmtId="0" fontId="5" fillId="4" borderId="0" xfId="1" applyFill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9" fillId="2" borderId="0" xfId="1" applyFont="1" applyFill="1" applyAlignment="1">
      <alignment horizontal="center"/>
    </xf>
    <xf numFmtId="2" fontId="9" fillId="2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11" fillId="0" borderId="0" xfId="1" applyFont="1"/>
    <xf numFmtId="0" fontId="11" fillId="0" borderId="0" xfId="1" applyFont="1" applyFill="1"/>
    <xf numFmtId="0" fontId="12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6" borderId="3" xfId="0" applyFont="1" applyFill="1" applyBorder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15" fillId="0" borderId="0" xfId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3" xfId="1" applyFont="1" applyBorder="1"/>
    <xf numFmtId="0" fontId="5" fillId="0" borderId="1" xfId="1" applyFont="1" applyBorder="1" applyAlignment="1">
      <alignment horizontal="center"/>
    </xf>
    <xf numFmtId="0" fontId="5" fillId="0" borderId="2" xfId="1" applyFont="1" applyBorder="1"/>
    <xf numFmtId="0" fontId="12" fillId="0" borderId="3" xfId="0" applyFont="1" applyBorder="1" applyAlignment="1">
      <alignment horizontal="right"/>
    </xf>
    <xf numFmtId="0" fontId="5" fillId="5" borderId="1" xfId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5" fillId="5" borderId="3" xfId="1" applyFont="1" applyFill="1" applyBorder="1"/>
    <xf numFmtId="0" fontId="1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0" fillId="0" borderId="0" xfId="0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1" fillId="0" borderId="7" xfId="0" applyFont="1" applyBorder="1"/>
    <xf numFmtId="0" fontId="0" fillId="0" borderId="7" xfId="0" applyBorder="1"/>
    <xf numFmtId="0" fontId="0" fillId="5" borderId="0" xfId="0" applyFill="1" applyAlignment="1">
      <alignment horizontal="center"/>
    </xf>
    <xf numFmtId="0" fontId="0" fillId="5" borderId="0" xfId="0" applyFill="1"/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3" fillId="0" borderId="7" xfId="0" applyFont="1" applyBorder="1"/>
    <xf numFmtId="0" fontId="0" fillId="7" borderId="7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8" xfId="0" applyBorder="1"/>
    <xf numFmtId="1" fontId="1" fillId="0" borderId="8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8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1" fontId="17" fillId="8" borderId="22" xfId="0" applyNumberFormat="1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5" fontId="0" fillId="8" borderId="23" xfId="0" applyNumberFormat="1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1" fontId="17" fillId="8" borderId="26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/>
    </xf>
    <xf numFmtId="1" fontId="0" fillId="8" borderId="27" xfId="0" applyNumberFormat="1" applyFill="1" applyBorder="1" applyAlignment="1">
      <alignment horizontal="center" vertical="center"/>
    </xf>
    <xf numFmtId="1" fontId="1" fillId="8" borderId="2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7" fillId="0" borderId="21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  <xf numFmtId="0" fontId="22" fillId="0" borderId="0" xfId="0" applyFont="1"/>
    <xf numFmtId="0" fontId="1" fillId="0" borderId="0" xfId="0" applyFont="1" applyAlignment="1">
      <alignment horizontal="left"/>
    </xf>
    <xf numFmtId="0" fontId="24" fillId="0" borderId="0" xfId="0" applyFont="1"/>
    <xf numFmtId="0" fontId="2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/>
    </xf>
    <xf numFmtId="0" fontId="22" fillId="8" borderId="33" xfId="0" applyFont="1" applyFill="1" applyBorder="1" applyAlignment="1">
      <alignment horizontal="center"/>
    </xf>
    <xf numFmtId="0" fontId="22" fillId="8" borderId="34" xfId="0" applyFont="1" applyFill="1" applyBorder="1" applyAlignment="1">
      <alignment horizontal="center"/>
    </xf>
    <xf numFmtId="0" fontId="22" fillId="8" borderId="35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1" fontId="0" fillId="8" borderId="44" xfId="0" applyNumberFormat="1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164" fontId="0" fillId="8" borderId="44" xfId="0" applyNumberFormat="1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0" borderId="0" xfId="0" applyFont="1" applyAlignment="1">
      <alignment horizontal="left"/>
    </xf>
    <xf numFmtId="165" fontId="0" fillId="7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3" fillId="0" borderId="0" xfId="0" applyFont="1" applyBorder="1"/>
    <xf numFmtId="0" fontId="1" fillId="8" borderId="7" xfId="0" applyFont="1" applyFill="1" applyBorder="1" applyAlignment="1">
      <alignment horizontal="center"/>
    </xf>
    <xf numFmtId="0" fontId="27" fillId="0" borderId="0" xfId="0" applyFont="1"/>
    <xf numFmtId="0" fontId="1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0" fontId="1" fillId="8" borderId="7" xfId="0" applyFont="1" applyFill="1" applyBorder="1"/>
    <xf numFmtId="0" fontId="0" fillId="8" borderId="7" xfId="0" applyFill="1" applyBorder="1"/>
    <xf numFmtId="0" fontId="0" fillId="0" borderId="0" xfId="0" applyAlignment="1">
      <alignment horizontal="left"/>
    </xf>
    <xf numFmtId="0" fontId="12" fillId="0" borderId="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30" fillId="0" borderId="0" xfId="0" applyFont="1"/>
    <xf numFmtId="0" fontId="31" fillId="0" borderId="0" xfId="0" applyFont="1"/>
    <xf numFmtId="0" fontId="1" fillId="0" borderId="7" xfId="0" applyFont="1" applyFill="1" applyBorder="1"/>
    <xf numFmtId="0" fontId="0" fillId="0" borderId="7" xfId="0" applyFill="1" applyBorder="1"/>
    <xf numFmtId="2" fontId="0" fillId="0" borderId="0" xfId="0" applyNumberFormat="1"/>
    <xf numFmtId="0" fontId="12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0" fontId="32" fillId="0" borderId="0" xfId="0" applyFont="1"/>
    <xf numFmtId="0" fontId="0" fillId="0" borderId="0" xfId="0" applyNumberFormat="1"/>
    <xf numFmtId="0" fontId="1" fillId="0" borderId="0" xfId="0" applyFont="1" applyAlignment="1">
      <alignment horizontal="right"/>
    </xf>
    <xf numFmtId="0" fontId="33" fillId="0" borderId="0" xfId="0" applyFont="1"/>
    <xf numFmtId="0" fontId="0" fillId="9" borderId="22" xfId="0" applyFill="1" applyBorder="1" applyAlignment="1">
      <alignment horizontal="center"/>
    </xf>
    <xf numFmtId="0" fontId="34" fillId="9" borderId="2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8" fillId="9" borderId="2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/>
    </xf>
    <xf numFmtId="0" fontId="22" fillId="9" borderId="7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0" fontId="3" fillId="0" borderId="0" xfId="0" applyNumberFormat="1" applyFont="1"/>
    <xf numFmtId="2" fontId="35" fillId="0" borderId="0" xfId="0" applyNumberFormat="1" applyFont="1" applyFill="1"/>
    <xf numFmtId="0" fontId="35" fillId="0" borderId="0" xfId="0" applyFont="1"/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2" fontId="3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  <xf numFmtId="0" fontId="0" fillId="0" borderId="2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Braced'!$H$72:$H$77</c:f>
              <c:numCache>
                <c:formatCode>0.0</c:formatCode>
                <c:ptCount val="6"/>
                <c:pt idx="0">
                  <c:v>41.534557687234539</c:v>
                </c:pt>
                <c:pt idx="1">
                  <c:v>41.534557687234539</c:v>
                </c:pt>
                <c:pt idx="2">
                  <c:v>82.411910342258437</c:v>
                </c:pt>
                <c:pt idx="3">
                  <c:v>82.411910342258437</c:v>
                </c:pt>
                <c:pt idx="4">
                  <c:v>82.411910342258437</c:v>
                </c:pt>
                <c:pt idx="5">
                  <c:v>123.94646802949298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5856"/>
        <c:axId val="406873896"/>
      </c:scatterChart>
      <c:valAx>
        <c:axId val="406875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3896"/>
        <c:crossesAt val="0"/>
        <c:crossBetween val="midCat"/>
      </c:valAx>
      <c:valAx>
        <c:axId val="4068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5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392"/>
        <c:axId val="478785824"/>
      </c:scatterChart>
      <c:valAx>
        <c:axId val="4787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5824"/>
        <c:crossesAt val="0"/>
        <c:crossBetween val="midCat"/>
      </c:valAx>
      <c:valAx>
        <c:axId val="4787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3080"/>
        <c:axId val="478782688"/>
      </c:scatterChart>
      <c:valAx>
        <c:axId val="478783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2688"/>
        <c:crossesAt val="0"/>
        <c:crossBetween val="midCat"/>
      </c:valAx>
      <c:valAx>
        <c:axId val="4787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30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784"/>
        <c:axId val="478780336"/>
      </c:scatterChart>
      <c:valAx>
        <c:axId val="478787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0336"/>
        <c:crossesAt val="0"/>
        <c:crossBetween val="midCat"/>
      </c:valAx>
      <c:valAx>
        <c:axId val="4787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7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3864"/>
        <c:axId val="643595768"/>
      </c:scatterChart>
      <c:valAx>
        <c:axId val="478783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5768"/>
        <c:crossesAt val="0"/>
        <c:crossBetween val="midCat"/>
      </c:valAx>
      <c:valAx>
        <c:axId val="6435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38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8904"/>
        <c:axId val="643598120"/>
      </c:scatterChart>
      <c:valAx>
        <c:axId val="643598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8120"/>
        <c:crossesAt val="0"/>
        <c:crossBetween val="midCat"/>
      </c:valAx>
      <c:valAx>
        <c:axId val="6435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89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6160"/>
        <c:axId val="643599688"/>
      </c:scatterChart>
      <c:valAx>
        <c:axId val="643596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688"/>
        <c:crossesAt val="0"/>
        <c:crossBetween val="midCat"/>
      </c:valAx>
      <c:valAx>
        <c:axId val="6435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61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7728"/>
        <c:axId val="643599296"/>
      </c:scatterChart>
      <c:valAx>
        <c:axId val="643597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296"/>
        <c:crossesAt val="0"/>
        <c:crossBetween val="midCat"/>
      </c:valAx>
      <c:valAx>
        <c:axId val="643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77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Braced'!$I$72:$I$77</c:f>
              <c:numCache>
                <c:formatCode>General</c:formatCode>
                <c:ptCount val="6"/>
                <c:pt idx="2" formatCode="0">
                  <c:v>623.01836530851813</c:v>
                </c:pt>
                <c:pt idx="4" formatCode="0">
                  <c:v>1859.1970204423947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6168"/>
        <c:axId val="406365776"/>
      </c:scatterChart>
      <c:valAx>
        <c:axId val="4063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5776"/>
        <c:crossesAt val="0"/>
        <c:crossBetween val="midCat"/>
      </c:valAx>
      <c:valAx>
        <c:axId val="4063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6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Moment'!$H$72:$H$77</c:f>
              <c:numCache>
                <c:formatCode>0.0</c:formatCode>
                <c:ptCount val="6"/>
                <c:pt idx="0">
                  <c:v>35.105446658806606</c:v>
                </c:pt>
                <c:pt idx="1">
                  <c:v>35.105446658806606</c:v>
                </c:pt>
                <c:pt idx="2">
                  <c:v>69.169153163534702</c:v>
                </c:pt>
                <c:pt idx="3">
                  <c:v>69.169153163534702</c:v>
                </c:pt>
                <c:pt idx="4">
                  <c:v>69.169153163534702</c:v>
                </c:pt>
                <c:pt idx="5">
                  <c:v>104.27459982234132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18456"/>
        <c:axId val="476468600"/>
      </c:scatterChart>
      <c:valAx>
        <c:axId val="478418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8600"/>
        <c:crossesAt val="0"/>
        <c:crossBetween val="midCat"/>
      </c:valAx>
      <c:valAx>
        <c:axId val="4764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18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Moment'!$I$72:$I$77</c:f>
              <c:numCache>
                <c:formatCode>General</c:formatCode>
                <c:ptCount val="6"/>
                <c:pt idx="2" formatCode="0">
                  <c:v>526.58169988209909</c:v>
                </c:pt>
                <c:pt idx="4" formatCode="0">
                  <c:v>1564.1189973351197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456"/>
        <c:axId val="641070280"/>
      </c:scatterChart>
      <c:valAx>
        <c:axId val="641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0280"/>
        <c:crossesAt val="0"/>
        <c:crossBetween val="midCat"/>
      </c:valAx>
      <c:valAx>
        <c:axId val="6410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69888"/>
        <c:axId val="641073416"/>
      </c:scatterChart>
      <c:valAx>
        <c:axId val="641069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3416"/>
        <c:crossesAt val="0"/>
        <c:crossBetween val="midCat"/>
      </c:valAx>
      <c:valAx>
        <c:axId val="641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698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064"/>
        <c:axId val="641071848"/>
      </c:scatterChart>
      <c:valAx>
        <c:axId val="641071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848"/>
        <c:crossesAt val="0"/>
        <c:crossBetween val="midCat"/>
      </c:valAx>
      <c:valAx>
        <c:axId val="6410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2240"/>
        <c:axId val="478786608"/>
      </c:scatterChart>
      <c:valAx>
        <c:axId val="641072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6608"/>
        <c:crossesAt val="0"/>
        <c:crossBetween val="midCat"/>
      </c:valAx>
      <c:valAx>
        <c:axId val="478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22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000"/>
        <c:axId val="478784256"/>
      </c:scatterChart>
      <c:valAx>
        <c:axId val="478787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4256"/>
        <c:crossesAt val="0"/>
        <c:crossBetween val="midCat"/>
      </c:valAx>
      <c:valAx>
        <c:axId val="4787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0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4648"/>
        <c:axId val="478785040"/>
      </c:scatterChart>
      <c:valAx>
        <c:axId val="478784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5040"/>
        <c:crossesAt val="0"/>
        <c:crossBetween val="midCat"/>
      </c:valAx>
      <c:valAx>
        <c:axId val="4787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4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chart" Target="../charts/chart16.xml"/><Relationship Id="rId5" Type="http://schemas.openxmlformats.org/officeDocument/2006/relationships/image" Target="../media/image8.png"/><Relationship Id="rId10" Type="http://schemas.openxmlformats.org/officeDocument/2006/relationships/chart" Target="../charts/chart15.xml"/><Relationship Id="rId4" Type="http://schemas.openxmlformats.org/officeDocument/2006/relationships/image" Target="../media/image7.pn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739589</xdr:colOff>
      <xdr:row>74</xdr:row>
      <xdr:rowOff>44825</xdr:rowOff>
    </xdr:from>
    <xdr:to>
      <xdr:col>9</xdr:col>
      <xdr:colOff>161366</xdr:colOff>
      <xdr:row>79</xdr:row>
      <xdr:rowOff>79016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78" t="10428" r="7433"/>
        <a:stretch/>
      </xdr:blipFill>
      <xdr:spPr>
        <a:xfrm>
          <a:off x="3959039" y="15170525"/>
          <a:ext cx="1222002" cy="1034316"/>
        </a:xfrm>
        <a:prstGeom prst="rect">
          <a:avLst/>
        </a:prstGeom>
      </xdr:spPr>
    </xdr:pic>
    <xdr:clientData/>
  </xdr:twoCellAnchor>
  <xdr:twoCellAnchor editAs="oneCell">
    <xdr:from>
      <xdr:col>6</xdr:col>
      <xdr:colOff>829236</xdr:colOff>
      <xdr:row>96</xdr:row>
      <xdr:rowOff>44823</xdr:rowOff>
    </xdr:from>
    <xdr:to>
      <xdr:col>9</xdr:col>
      <xdr:colOff>140228</xdr:colOff>
      <xdr:row>100</xdr:row>
      <xdr:rowOff>196965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961" y="19428198"/>
          <a:ext cx="1196942" cy="952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542925</xdr:colOff>
      <xdr:row>2</xdr:row>
      <xdr:rowOff>57150</xdr:rowOff>
    </xdr:from>
    <xdr:to>
      <xdr:col>10</xdr:col>
      <xdr:colOff>361413</xdr:colOff>
      <xdr:row>9</xdr:row>
      <xdr:rowOff>47460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" y="457200"/>
          <a:ext cx="4295238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28575</xdr:rowOff>
    </xdr:from>
    <xdr:to>
      <xdr:col>9</xdr:col>
      <xdr:colOff>456663</xdr:colOff>
      <xdr:row>9</xdr:row>
      <xdr:rowOff>18885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428625"/>
          <a:ext cx="4295238" cy="1323810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2</xdr:row>
      <xdr:rowOff>1</xdr:rowOff>
    </xdr:from>
    <xdr:to>
      <xdr:col>6</xdr:col>
      <xdr:colOff>139701</xdr:colOff>
      <xdr:row>10</xdr:row>
      <xdr:rowOff>93747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114301" y="4000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0297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97475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257175</xdr:colOff>
      <xdr:row>3</xdr:row>
      <xdr:rowOff>161925</xdr:rowOff>
    </xdr:from>
    <xdr:to>
      <xdr:col>13</xdr:col>
      <xdr:colOff>438150</xdr:colOff>
      <xdr:row>10</xdr:row>
      <xdr:rowOff>81536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52475"/>
          <a:ext cx="3638550" cy="1253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76201</xdr:rowOff>
    </xdr:from>
    <xdr:to>
      <xdr:col>6</xdr:col>
      <xdr:colOff>273051</xdr:colOff>
      <xdr:row>10</xdr:row>
      <xdr:rowOff>169947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247651" y="4762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5522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2700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104</xdr:row>
      <xdr:rowOff>0</xdr:rowOff>
    </xdr:from>
    <xdr:to>
      <xdr:col>5</xdr:col>
      <xdr:colOff>619126</xdr:colOff>
      <xdr:row>104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</xdr:col>
      <xdr:colOff>276225</xdr:colOff>
      <xdr:row>4</xdr:row>
      <xdr:rowOff>102443</xdr:rowOff>
    </xdr:from>
    <xdr:to>
      <xdr:col>13</xdr:col>
      <xdr:colOff>485775</xdr:colOff>
      <xdr:row>10</xdr:row>
      <xdr:rowOff>186311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883493"/>
          <a:ext cx="3562350" cy="122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%20Gouveia/SkyDrive/Documents/Steel%20Design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%20Gouveia/SkyDrive/Documents/1.%20Education/14.551%20Adv%20Steel/Steel%20Design%20Pro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%20Gouveia/SkyDrive/Documents/1.%20Education/14.551%20Adv%20Steel/Project/1%20Project%20Info%20and%20L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D11">
            <v>0.25</v>
          </cell>
        </row>
        <row r="81">
          <cell r="B81" t="str">
            <v>ALLOWED DEFLECTIONS</v>
          </cell>
        </row>
        <row r="82">
          <cell r="B82" t="str">
            <v>hsx</v>
          </cell>
          <cell r="C82">
            <v>1.4999999999999999E-2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  <row r="8">
          <cell r="C8" t="str">
            <v>C</v>
          </cell>
        </row>
        <row r="14">
          <cell r="C14">
            <v>7776</v>
          </cell>
        </row>
        <row r="17">
          <cell r="C17">
            <v>30</v>
          </cell>
        </row>
        <row r="18">
          <cell r="I18">
            <v>2</v>
          </cell>
        </row>
        <row r="69">
          <cell r="I69">
            <v>0.15</v>
          </cell>
        </row>
        <row r="70">
          <cell r="C70">
            <v>6</v>
          </cell>
        </row>
      </sheetData>
      <sheetData sheetId="2"/>
      <sheetData sheetId="3">
        <row r="36">
          <cell r="C36" t="str">
            <v>Roof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2nd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C37" t="str">
            <v>Item</v>
          </cell>
          <cell r="D37" t="str">
            <v>Quantity</v>
          </cell>
          <cell r="E37" t="str">
            <v>Units</v>
          </cell>
          <cell r="F37" t="str">
            <v>Unit Weight</v>
          </cell>
          <cell r="G37" t="str">
            <v>Weight</v>
          </cell>
          <cell r="H37" t="str">
            <v>Item</v>
          </cell>
          <cell r="I37" t="str">
            <v>Quantity</v>
          </cell>
          <cell r="J37" t="str">
            <v>Units</v>
          </cell>
          <cell r="K37" t="str">
            <v>Unit Weight</v>
          </cell>
          <cell r="L37" t="str">
            <v>Weight</v>
          </cell>
        </row>
        <row r="38">
          <cell r="C38">
            <v>0</v>
          </cell>
          <cell r="D38" t="str">
            <v>(Area)</v>
          </cell>
          <cell r="E38">
            <v>0</v>
          </cell>
          <cell r="F38" t="str">
            <v>(ksf or klf)</v>
          </cell>
          <cell r="G38" t="str">
            <v>(kip)</v>
          </cell>
          <cell r="H38">
            <v>0</v>
          </cell>
          <cell r="I38" t="str">
            <v>(Area)</v>
          </cell>
          <cell r="J38">
            <v>0</v>
          </cell>
          <cell r="K38" t="str">
            <v>(ksf or klf)</v>
          </cell>
          <cell r="L38" t="str">
            <v>(kip)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Concrete Slab</v>
          </cell>
          <cell r="I39">
            <v>7776</v>
          </cell>
          <cell r="J39" t="str">
            <v>sf</v>
          </cell>
          <cell r="K39">
            <v>7.4999999999999997E-2</v>
          </cell>
          <cell r="L39">
            <v>583.19999999999993</v>
          </cell>
        </row>
        <row r="40">
          <cell r="C40" t="str">
            <v>Metal Deck</v>
          </cell>
          <cell r="D40">
            <v>7776</v>
          </cell>
          <cell r="E40" t="str">
            <v>sf</v>
          </cell>
          <cell r="F40">
            <v>0.03</v>
          </cell>
          <cell r="G40">
            <v>233.28</v>
          </cell>
          <cell r="H40" t="str">
            <v>Metal Deck</v>
          </cell>
          <cell r="I40">
            <v>7776</v>
          </cell>
          <cell r="J40" t="str">
            <v>sf</v>
          </cell>
          <cell r="K40">
            <v>2.5000000000000001E-2</v>
          </cell>
          <cell r="L40">
            <v>194.4</v>
          </cell>
        </row>
        <row r="41">
          <cell r="C41" t="str">
            <v>EPDM Membrane</v>
          </cell>
          <cell r="D41">
            <v>7776</v>
          </cell>
          <cell r="E41" t="str">
            <v>sf</v>
          </cell>
          <cell r="F41">
            <v>1E-3</v>
          </cell>
          <cell r="G41">
            <v>7.7759999999999998</v>
          </cell>
          <cell r="H41" t="str">
            <v>Cladding</v>
          </cell>
          <cell r="I41">
            <v>7776</v>
          </cell>
          <cell r="J41" t="str">
            <v>sf</v>
          </cell>
          <cell r="K41">
            <v>0.01</v>
          </cell>
          <cell r="L41">
            <v>77.760000000000005</v>
          </cell>
        </row>
        <row r="42">
          <cell r="C42" t="str">
            <v>Insulation</v>
          </cell>
          <cell r="D42">
            <v>7776</v>
          </cell>
          <cell r="E42" t="str">
            <v>sf</v>
          </cell>
          <cell r="F42">
            <v>6.0000000000000001E-3</v>
          </cell>
          <cell r="G42">
            <v>46.655999999999999</v>
          </cell>
          <cell r="H42" t="str">
            <v>Partitions</v>
          </cell>
          <cell r="I42">
            <v>7776</v>
          </cell>
          <cell r="J42" t="str">
            <v>sf</v>
          </cell>
          <cell r="K42">
            <v>0.01</v>
          </cell>
          <cell r="L42">
            <v>77.760000000000005</v>
          </cell>
        </row>
        <row r="43">
          <cell r="C43" t="str">
            <v>Mechanical Equipment</v>
          </cell>
          <cell r="D43">
            <v>7776</v>
          </cell>
          <cell r="E43" t="str">
            <v>sf</v>
          </cell>
          <cell r="F43">
            <v>5.0000000000000001E-3</v>
          </cell>
          <cell r="G43">
            <v>38.880000000000003</v>
          </cell>
          <cell r="H43" t="str">
            <v>Mechanical Equipment</v>
          </cell>
          <cell r="I43">
            <v>7776</v>
          </cell>
          <cell r="J43" t="str">
            <v>sf</v>
          </cell>
          <cell r="K43">
            <v>7.0000000000000001E-3</v>
          </cell>
          <cell r="L43">
            <v>54.432000000000002</v>
          </cell>
        </row>
        <row r="44">
          <cell r="C44" t="str">
            <v>Snow</v>
          </cell>
          <cell r="D44">
            <v>7776</v>
          </cell>
          <cell r="E44" t="str">
            <v>sf</v>
          </cell>
          <cell r="F44">
            <v>3.15E-2</v>
          </cell>
          <cell r="G44">
            <v>244.94399999999999</v>
          </cell>
          <cell r="H44" t="str">
            <v>Steel Structure</v>
          </cell>
          <cell r="I44">
            <v>7776</v>
          </cell>
          <cell r="J44" t="str">
            <v>sf</v>
          </cell>
          <cell r="K44">
            <v>1.2E-2</v>
          </cell>
          <cell r="L44">
            <v>93.311999999999998</v>
          </cell>
        </row>
        <row r="45">
          <cell r="C45">
            <v>571.53599999999994</v>
          </cell>
          <cell r="D45">
            <v>0</v>
          </cell>
          <cell r="E45">
            <v>0</v>
          </cell>
          <cell r="F45">
            <v>0</v>
          </cell>
          <cell r="G45">
            <v>571.53599999999994</v>
          </cell>
          <cell r="H45">
            <v>1080.8639999999998</v>
          </cell>
          <cell r="I45">
            <v>0</v>
          </cell>
          <cell r="J45">
            <v>0</v>
          </cell>
          <cell r="K45">
            <v>0</v>
          </cell>
          <cell r="L45">
            <v>1080.8639999999998</v>
          </cell>
        </row>
      </sheetData>
      <sheetData sheetId="4">
        <row r="11">
          <cell r="D11">
            <v>0.25</v>
          </cell>
        </row>
        <row r="12">
          <cell r="D12">
            <v>7.6999999999999999E-2</v>
          </cell>
        </row>
        <row r="14">
          <cell r="D14">
            <v>1.2</v>
          </cell>
        </row>
        <row r="15">
          <cell r="D15">
            <v>1.7</v>
          </cell>
        </row>
        <row r="24">
          <cell r="D24">
            <v>6</v>
          </cell>
        </row>
        <row r="38">
          <cell r="D38" t="str">
            <v>B</v>
          </cell>
        </row>
        <row r="39">
          <cell r="D39" t="str">
            <v>B</v>
          </cell>
        </row>
        <row r="81">
          <cell r="B81" t="str">
            <v>ALLOWED DEFLECTIONS</v>
          </cell>
          <cell r="C81">
            <v>0</v>
          </cell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  <cell r="B11">
            <v>1</v>
          </cell>
        </row>
        <row r="12">
          <cell r="A12" t="str">
            <v>II</v>
          </cell>
          <cell r="B12">
            <v>1</v>
          </cell>
        </row>
        <row r="13">
          <cell r="A13" t="str">
            <v>III</v>
          </cell>
          <cell r="B13">
            <v>1.25</v>
          </cell>
        </row>
        <row r="14">
          <cell r="A14" t="str">
            <v>IV</v>
          </cell>
          <cell r="B14">
            <v>1.5</v>
          </cell>
        </row>
        <row r="29">
          <cell r="A29" t="str">
            <v>Steel moment-resisting frame</v>
          </cell>
          <cell r="B29">
            <v>2.8000000000000001E-2</v>
          </cell>
          <cell r="C29">
            <v>0.8</v>
          </cell>
        </row>
        <row r="30">
          <cell r="A30" t="str">
            <v>Concrete moment-resisting frame</v>
          </cell>
          <cell r="B30">
            <v>1.6E-2</v>
          </cell>
          <cell r="C30">
            <v>0.9</v>
          </cell>
        </row>
        <row r="31">
          <cell r="A31" t="str">
            <v>Eccentrically braced steel frame</v>
          </cell>
          <cell r="B31">
            <v>0.03</v>
          </cell>
          <cell r="C31">
            <v>0.75</v>
          </cell>
        </row>
        <row r="32">
          <cell r="A32" t="str">
            <v>All other structural systems</v>
          </cell>
          <cell r="B32">
            <v>0.02</v>
          </cell>
          <cell r="C32">
            <v>0.75</v>
          </cell>
        </row>
      </sheetData>
      <sheetData sheetId="1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Project Loads"/>
      <sheetName val="Load Analysis"/>
      <sheetName val="Wind Analysis - M&amp;B"/>
      <sheetName val="Seismic Analysis - Moment"/>
      <sheetName val="Seismic Analysis - Braced"/>
      <sheetName val="Moment-Frame (W)"/>
      <sheetName val="Moment-Frame (E)"/>
      <sheetName val="Braced-Frame (W)"/>
      <sheetName val="Braced-Frame (E)"/>
      <sheetName val="Braced-Frame (E) (2)"/>
      <sheetName val="Sheet1"/>
      <sheetName val="Tables"/>
    </sheetNames>
    <sheetDataSet>
      <sheetData sheetId="0">
        <row r="5">
          <cell r="D5" t="str">
            <v>B</v>
          </cell>
        </row>
        <row r="13">
          <cell r="J13">
            <v>2</v>
          </cell>
        </row>
        <row r="15">
          <cell r="D15">
            <v>110</v>
          </cell>
          <cell r="G15">
            <v>74</v>
          </cell>
        </row>
        <row r="17">
          <cell r="D17">
            <v>30</v>
          </cell>
        </row>
      </sheetData>
      <sheetData sheetId="1">
        <row r="46">
          <cell r="D46">
            <v>6.4418549999999986</v>
          </cell>
        </row>
        <row r="71">
          <cell r="D71">
            <v>3.23</v>
          </cell>
          <cell r="G71">
            <v>12.62</v>
          </cell>
        </row>
        <row r="72">
          <cell r="D72">
            <v>9.7843199999999992</v>
          </cell>
          <cell r="G72">
            <v>19.568639999999998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view="pageLayout" topLeftCell="A4" zoomScale="85" zoomScaleNormal="100" zoomScalePageLayoutView="85" workbookViewId="0">
      <selection activeCell="D11" sqref="D11"/>
    </sheetView>
  </sheetViews>
  <sheetFormatPr defaultRowHeight="15" x14ac:dyDescent="0.25"/>
  <cols>
    <col min="1" max="1" width="26.28515625" customWidth="1"/>
    <col min="2" max="2" width="3.140625" customWidth="1"/>
    <col min="3" max="3" width="10.7109375" customWidth="1"/>
    <col min="4" max="4" width="7" customWidth="1"/>
    <col min="5" max="5" width="5.8554687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6.85546875" customWidth="1"/>
    <col min="11" max="11" width="3.85546875" customWidth="1"/>
  </cols>
  <sheetData>
    <row r="1" spans="1:11" x14ac:dyDescent="0.25">
      <c r="A1" s="1" t="s">
        <v>0</v>
      </c>
    </row>
    <row r="3" spans="1:11" x14ac:dyDescent="0.25">
      <c r="A3" s="1" t="s">
        <v>1</v>
      </c>
    </row>
    <row r="5" spans="1:11" x14ac:dyDescent="0.25">
      <c r="A5" t="s">
        <v>2</v>
      </c>
      <c r="C5" s="2" t="s">
        <v>3</v>
      </c>
      <c r="D5" s="2" t="s">
        <v>4</v>
      </c>
    </row>
    <row r="6" spans="1:11" x14ac:dyDescent="0.25">
      <c r="A6" t="s">
        <v>5</v>
      </c>
      <c r="C6" s="2" t="s">
        <v>6</v>
      </c>
      <c r="D6" s="2" t="s">
        <v>3</v>
      </c>
    </row>
    <row r="7" spans="1:11" x14ac:dyDescent="0.25">
      <c r="A7" t="s">
        <v>7</v>
      </c>
      <c r="C7" s="2" t="s">
        <v>6</v>
      </c>
      <c r="D7" s="3"/>
      <c r="E7" s="3"/>
    </row>
    <row r="8" spans="1:11" x14ac:dyDescent="0.25">
      <c r="A8" t="s">
        <v>8</v>
      </c>
      <c r="C8" s="2" t="s">
        <v>9</v>
      </c>
      <c r="D8" s="3"/>
      <c r="E8" s="3"/>
      <c r="G8" t="s">
        <v>10</v>
      </c>
      <c r="I8" s="4">
        <v>1</v>
      </c>
    </row>
    <row r="9" spans="1:11" x14ac:dyDescent="0.25">
      <c r="A9" t="s">
        <v>11</v>
      </c>
      <c r="C9" s="2" t="s">
        <v>9</v>
      </c>
      <c r="D9" s="3"/>
      <c r="E9" s="3"/>
    </row>
    <row r="11" spans="1:11" x14ac:dyDescent="0.25">
      <c r="A11" s="1" t="s">
        <v>12</v>
      </c>
    </row>
    <row r="12" spans="1:11" x14ac:dyDescent="0.25">
      <c r="J12" s="5"/>
    </row>
    <row r="13" spans="1:11" x14ac:dyDescent="0.25">
      <c r="A13" t="s">
        <v>13</v>
      </c>
      <c r="C13" s="4">
        <v>3</v>
      </c>
      <c r="G13" t="s">
        <v>14</v>
      </c>
      <c r="I13" s="4">
        <v>2</v>
      </c>
      <c r="J13" s="6" t="s">
        <v>15</v>
      </c>
      <c r="K13" s="6"/>
    </row>
    <row r="14" spans="1:11" ht="15.75" x14ac:dyDescent="0.25">
      <c r="A14" t="s">
        <v>16</v>
      </c>
      <c r="C14" s="4">
        <f>C15*F15</f>
        <v>7776</v>
      </c>
      <c r="D14" s="6" t="s">
        <v>17</v>
      </c>
      <c r="E14" s="6"/>
    </row>
    <row r="15" spans="1:11" x14ac:dyDescent="0.25">
      <c r="A15" t="s">
        <v>18</v>
      </c>
      <c r="C15" s="4">
        <v>108</v>
      </c>
      <c r="D15" s="6" t="s">
        <v>19</v>
      </c>
      <c r="E15" s="7" t="s">
        <v>20</v>
      </c>
      <c r="F15" s="4">
        <v>72</v>
      </c>
      <c r="G15" s="6" t="s">
        <v>19</v>
      </c>
    </row>
    <row r="16" spans="1:11" x14ac:dyDescent="0.25">
      <c r="A16" t="s">
        <v>21</v>
      </c>
      <c r="C16" s="4">
        <f>ROUNDUP((C15-$I$13)/$C$13,0)</f>
        <v>36</v>
      </c>
      <c r="D16" s="6" t="s">
        <v>19</v>
      </c>
      <c r="E16" s="7" t="s">
        <v>20</v>
      </c>
      <c r="F16" s="4">
        <f>ROUNDUP((F15-$I$13)/$C$13,0)</f>
        <v>24</v>
      </c>
      <c r="G16" s="6" t="s">
        <v>19</v>
      </c>
    </row>
    <row r="17" spans="1:11" x14ac:dyDescent="0.25">
      <c r="A17" t="s">
        <v>22</v>
      </c>
      <c r="C17" s="4">
        <v>30</v>
      </c>
      <c r="D17" s="6" t="s">
        <v>19</v>
      </c>
      <c r="E17" s="7"/>
      <c r="F17" s="6"/>
      <c r="G17" s="6"/>
    </row>
    <row r="18" spans="1:11" x14ac:dyDescent="0.25">
      <c r="A18" t="s">
        <v>23</v>
      </c>
      <c r="C18" s="4">
        <v>15</v>
      </c>
      <c r="D18" s="6" t="s">
        <v>19</v>
      </c>
      <c r="E18" s="6"/>
      <c r="G18" t="s">
        <v>24</v>
      </c>
      <c r="I18" s="4">
        <v>2</v>
      </c>
      <c r="J18" s="5"/>
    </row>
    <row r="19" spans="1:11" x14ac:dyDescent="0.25">
      <c r="A19" t="s">
        <v>25</v>
      </c>
      <c r="C19" s="4">
        <v>4</v>
      </c>
      <c r="D19" s="6" t="s">
        <v>19</v>
      </c>
      <c r="E19" s="6"/>
    </row>
    <row r="21" spans="1:11" x14ac:dyDescent="0.25">
      <c r="A21" s="1" t="s">
        <v>26</v>
      </c>
    </row>
    <row r="23" spans="1:11" hidden="1" x14ac:dyDescent="0.25">
      <c r="A23" t="s">
        <v>18</v>
      </c>
      <c r="C23" s="8" t="s">
        <v>27</v>
      </c>
      <c r="D23" s="9" t="s">
        <v>28</v>
      </c>
      <c r="E23" s="9"/>
      <c r="H23" s="10"/>
      <c r="I23" s="5" t="s">
        <v>29</v>
      </c>
      <c r="J23" s="5">
        <v>29000</v>
      </c>
      <c r="K23" t="s">
        <v>30</v>
      </c>
    </row>
    <row r="24" spans="1:11" hidden="1" x14ac:dyDescent="0.25">
      <c r="A24" t="s">
        <v>21</v>
      </c>
      <c r="I24" s="5" t="s">
        <v>31</v>
      </c>
      <c r="J24" s="5">
        <v>11200</v>
      </c>
      <c r="K24" t="s">
        <v>30</v>
      </c>
    </row>
    <row r="25" spans="1:11" hidden="1" x14ac:dyDescent="0.25">
      <c r="A25" s="11" t="s">
        <v>32</v>
      </c>
    </row>
    <row r="26" spans="1:11" hidden="1" x14ac:dyDescent="0.25"/>
    <row r="27" spans="1:11" ht="15.75" hidden="1" x14ac:dyDescent="0.3">
      <c r="A27" s="12" t="s">
        <v>33</v>
      </c>
      <c r="B27" s="10"/>
      <c r="C27" s="8" t="s">
        <v>34</v>
      </c>
      <c r="D27" s="13">
        <v>50</v>
      </c>
      <c r="E27" s="13"/>
      <c r="F27" s="12" t="s">
        <v>30</v>
      </c>
      <c r="G27" s="12" t="s">
        <v>35</v>
      </c>
      <c r="H27" s="10"/>
      <c r="I27" s="8" t="s">
        <v>36</v>
      </c>
      <c r="J27" s="13">
        <v>16</v>
      </c>
      <c r="K27" s="12" t="s">
        <v>19</v>
      </c>
    </row>
    <row r="28" spans="1:11" ht="15.75" hidden="1" x14ac:dyDescent="0.3">
      <c r="A28" s="12" t="s">
        <v>37</v>
      </c>
      <c r="B28" s="10"/>
      <c r="C28" s="8" t="s">
        <v>38</v>
      </c>
      <c r="D28" s="14">
        <f>VLOOKUP($D$23, W_PROP, 29, FALSE)</f>
        <v>171</v>
      </c>
      <c r="E28" s="14"/>
      <c r="F28" s="12" t="s">
        <v>39</v>
      </c>
      <c r="G28" s="12" t="s">
        <v>40</v>
      </c>
      <c r="H28" s="10"/>
      <c r="I28" s="15" t="s">
        <v>41</v>
      </c>
      <c r="J28" s="14">
        <f>VLOOKUP($D$23, W_PROP, 5, FALSE)</f>
        <v>9.73</v>
      </c>
      <c r="K28" s="10" t="s">
        <v>15</v>
      </c>
    </row>
    <row r="29" spans="1:11" ht="15.75" hidden="1" x14ac:dyDescent="0.3">
      <c r="A29" s="12" t="s">
        <v>42</v>
      </c>
      <c r="B29" s="10"/>
      <c r="C29" s="8" t="s">
        <v>43</v>
      </c>
      <c r="D29" s="14">
        <f>VLOOKUP($D$23, W_PROP, 33, FALSE)</f>
        <v>36.6</v>
      </c>
      <c r="E29" s="14"/>
      <c r="F29" s="12" t="s">
        <v>39</v>
      </c>
      <c r="G29" s="12" t="s">
        <v>44</v>
      </c>
      <c r="H29" s="10"/>
      <c r="I29" s="15" t="s">
        <v>45</v>
      </c>
      <c r="J29" s="14">
        <f>VLOOKUP($D$23, W_PROP, 8, FALSE)</f>
        <v>7.96</v>
      </c>
      <c r="K29" s="10" t="s">
        <v>15</v>
      </c>
    </row>
    <row r="30" spans="1:11" ht="15.75" hidden="1" x14ac:dyDescent="0.3">
      <c r="A30" s="12" t="s">
        <v>46</v>
      </c>
      <c r="B30" s="10"/>
      <c r="C30" s="8" t="s">
        <v>47</v>
      </c>
      <c r="D30" s="14">
        <f>VLOOKUP($D$23, W_PROP, 38, FALSE)</f>
        <v>0.58299999999999996</v>
      </c>
      <c r="E30" s="14"/>
      <c r="F30" s="12" t="s">
        <v>39</v>
      </c>
      <c r="G30" s="12" t="s">
        <v>48</v>
      </c>
      <c r="H30" s="10"/>
      <c r="I30" s="15" t="s">
        <v>49</v>
      </c>
      <c r="J30" s="14">
        <f>VLOOKUP($D$23, W_PROP, 12, FALSE)</f>
        <v>0.435</v>
      </c>
      <c r="K30" s="10" t="s">
        <v>15</v>
      </c>
    </row>
    <row r="31" spans="1:11" ht="15.75" hidden="1" x14ac:dyDescent="0.3">
      <c r="A31" s="12" t="s">
        <v>50</v>
      </c>
      <c r="B31" s="10"/>
      <c r="C31" s="8" t="s">
        <v>51</v>
      </c>
      <c r="D31" s="14">
        <f>VLOOKUP($D$23, W_PROP, 32, FALSE)</f>
        <v>4.1900000000000004</v>
      </c>
      <c r="E31" s="14"/>
      <c r="F31" s="12" t="s">
        <v>15</v>
      </c>
      <c r="G31" s="12" t="s">
        <v>52</v>
      </c>
      <c r="H31" s="10"/>
      <c r="I31" s="15" t="s">
        <v>53</v>
      </c>
      <c r="J31" s="14">
        <f>VLOOKUP($D$23, W_PROP, 11, FALSE)</f>
        <v>0.28999999999999998</v>
      </c>
      <c r="K31" s="10" t="s">
        <v>15</v>
      </c>
    </row>
    <row r="32" spans="1:11" ht="15.75" hidden="1" x14ac:dyDescent="0.3">
      <c r="A32" s="12" t="s">
        <v>54</v>
      </c>
      <c r="B32" s="10"/>
      <c r="C32" s="16" t="s">
        <v>55</v>
      </c>
      <c r="D32" s="14">
        <f>VLOOKUP($D$23, W_PROP, 36, FALSE)</f>
        <v>1.94</v>
      </c>
      <c r="E32" s="14"/>
      <c r="F32" s="12" t="s">
        <v>15</v>
      </c>
      <c r="G32" s="12" t="s">
        <v>56</v>
      </c>
      <c r="H32" s="10"/>
      <c r="I32" s="8" t="s">
        <v>57</v>
      </c>
      <c r="J32" s="14">
        <f>VLOOKUP($D$23, W_PROP, 4, FALSE)</f>
        <v>9.7100000000000009</v>
      </c>
      <c r="K32" s="12" t="s">
        <v>58</v>
      </c>
    </row>
    <row r="33" spans="1:11" ht="15.75" hidden="1" x14ac:dyDescent="0.3">
      <c r="A33" s="12" t="s">
        <v>59</v>
      </c>
      <c r="B33" s="10"/>
      <c r="C33" s="8" t="s">
        <v>60</v>
      </c>
      <c r="D33" s="14">
        <f>VLOOKUP($D$23, W_PROP, 31, FALSE)</f>
        <v>35</v>
      </c>
      <c r="E33" s="14"/>
      <c r="F33" s="12" t="s">
        <v>61</v>
      </c>
      <c r="G33" s="15" t="s">
        <v>62</v>
      </c>
      <c r="H33" s="10"/>
      <c r="I33" s="15" t="s">
        <v>62</v>
      </c>
      <c r="J33" s="17">
        <v>2.2000000000000002</v>
      </c>
      <c r="K33" s="10" t="s">
        <v>15</v>
      </c>
    </row>
    <row r="34" spans="1:11" ht="15.75" hidden="1" x14ac:dyDescent="0.3">
      <c r="A34" s="12" t="s">
        <v>63</v>
      </c>
      <c r="B34" s="10"/>
      <c r="C34" s="8" t="s">
        <v>64</v>
      </c>
      <c r="D34" s="14">
        <f>VLOOKUP($D$23, W_PROP, 30, FALSE)</f>
        <v>38.799999999999997</v>
      </c>
      <c r="E34" s="14"/>
      <c r="F34" s="12" t="s">
        <v>61</v>
      </c>
      <c r="G34" s="12" t="s">
        <v>65</v>
      </c>
      <c r="H34" s="10"/>
      <c r="I34" s="15" t="s">
        <v>66</v>
      </c>
      <c r="J34" s="18">
        <v>9.3000000000000007</v>
      </c>
      <c r="K34" s="10" t="s">
        <v>15</v>
      </c>
    </row>
    <row r="35" spans="1:11" ht="15.75" hidden="1" x14ac:dyDescent="0.3">
      <c r="A35" s="12" t="s">
        <v>67</v>
      </c>
      <c r="B35" s="10"/>
      <c r="C35" s="15" t="s">
        <v>67</v>
      </c>
      <c r="D35" s="19">
        <f>VLOOKUP($D$23, W_PROP, 13, FALSE)</f>
        <v>7.5</v>
      </c>
      <c r="E35" s="19"/>
      <c r="F35" s="10" t="s">
        <v>15</v>
      </c>
      <c r="G35" s="12" t="s">
        <v>68</v>
      </c>
      <c r="H35" s="10"/>
      <c r="I35" s="15" t="s">
        <v>69</v>
      </c>
      <c r="J35" s="14">
        <f>VLOOKUP($D$23, W_PROP, 39, FALSE)</f>
        <v>791</v>
      </c>
      <c r="K35" s="10" t="s">
        <v>15</v>
      </c>
    </row>
    <row r="36" spans="1:11" hidden="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idden="1" x14ac:dyDescent="0.25">
      <c r="A37" s="11" t="s">
        <v>70</v>
      </c>
    </row>
    <row r="38" spans="1:11" hidden="1" x14ac:dyDescent="0.25"/>
    <row r="39" spans="1:11" ht="15.75" hidden="1" x14ac:dyDescent="0.3">
      <c r="A39" s="12" t="s">
        <v>71</v>
      </c>
      <c r="B39" s="10"/>
      <c r="C39" s="8" t="s">
        <v>72</v>
      </c>
      <c r="D39" s="13">
        <v>16</v>
      </c>
      <c r="E39" s="13"/>
      <c r="F39" s="12" t="s">
        <v>19</v>
      </c>
      <c r="G39" s="10" t="s">
        <v>73</v>
      </c>
      <c r="H39" s="10"/>
      <c r="I39" s="8" t="s">
        <v>74</v>
      </c>
      <c r="J39" s="13">
        <v>1</v>
      </c>
      <c r="K39" s="12"/>
    </row>
    <row r="40" spans="1:11" ht="15.75" hidden="1" x14ac:dyDescent="0.3">
      <c r="A40" s="12" t="s">
        <v>75</v>
      </c>
      <c r="B40" s="10"/>
      <c r="C40" s="8" t="s">
        <v>72</v>
      </c>
      <c r="D40" s="13">
        <v>16</v>
      </c>
      <c r="E40" s="13"/>
      <c r="F40" s="12" t="s">
        <v>19</v>
      </c>
      <c r="G40" s="10" t="s">
        <v>76</v>
      </c>
      <c r="I40" s="8" t="s">
        <v>77</v>
      </c>
      <c r="J40" s="13">
        <v>1</v>
      </c>
      <c r="K40" s="12"/>
    </row>
    <row r="41" spans="1:11" ht="15.75" hidden="1" x14ac:dyDescent="0.3">
      <c r="A41" s="12" t="s">
        <v>78</v>
      </c>
      <c r="B41" s="10"/>
      <c r="C41" s="8" t="s">
        <v>72</v>
      </c>
      <c r="D41" s="13">
        <v>16</v>
      </c>
      <c r="E41" s="13"/>
      <c r="F41" s="12" t="s">
        <v>19</v>
      </c>
      <c r="G41" s="10" t="s">
        <v>79</v>
      </c>
      <c r="I41" s="8" t="s">
        <v>80</v>
      </c>
      <c r="J41" s="13">
        <v>1</v>
      </c>
      <c r="K41" s="12"/>
    </row>
    <row r="42" spans="1:11" hidden="1" x14ac:dyDescent="0.25">
      <c r="G42" s="10"/>
      <c r="H42" s="10"/>
      <c r="I42" s="10"/>
      <c r="J42" s="10"/>
      <c r="K42" s="10"/>
    </row>
    <row r="43" spans="1:11" hidden="1" x14ac:dyDescent="0.25">
      <c r="A43" s="21" t="s">
        <v>81</v>
      </c>
    </row>
    <row r="44" spans="1:11" hidden="1" x14ac:dyDescent="0.25"/>
    <row r="45" spans="1:11" hidden="1" x14ac:dyDescent="0.25">
      <c r="A45" s="11" t="s">
        <v>82</v>
      </c>
      <c r="J45" s="22" t="s">
        <v>83</v>
      </c>
    </row>
    <row r="46" spans="1:11" hidden="1" x14ac:dyDescent="0.25"/>
    <row r="47" spans="1:11" ht="18" hidden="1" x14ac:dyDescent="0.35">
      <c r="C47" s="5" t="s">
        <v>84</v>
      </c>
      <c r="D47" s="23">
        <f>J39*J27*12/D31</f>
        <v>45.823389021479713</v>
      </c>
      <c r="E47" s="23"/>
      <c r="G47" s="24" t="s">
        <v>85</v>
      </c>
      <c r="J47" s="23">
        <f>MAX(D47:D48)</f>
        <v>98.969072164948457</v>
      </c>
    </row>
    <row r="48" spans="1:11" ht="18" hidden="1" x14ac:dyDescent="0.35">
      <c r="C48" s="5" t="s">
        <v>86</v>
      </c>
      <c r="D48" s="23">
        <f>J40*J27*12/D32</f>
        <v>98.969072164948457</v>
      </c>
      <c r="E48" s="23"/>
      <c r="G48" t="s">
        <v>87</v>
      </c>
      <c r="J48" s="25">
        <f>4.71*(SQRT(J23/D27))</f>
        <v>113.43182093222343</v>
      </c>
      <c r="K48" s="5" t="s">
        <v>88</v>
      </c>
    </row>
    <row r="49" spans="1:11" ht="18.75" hidden="1" thickBot="1" x14ac:dyDescent="0.4">
      <c r="C49" s="5" t="s">
        <v>89</v>
      </c>
      <c r="D49" s="23">
        <f>J41*J27*12</f>
        <v>192</v>
      </c>
      <c r="E49" s="23"/>
      <c r="G49" s="26" t="s">
        <v>90</v>
      </c>
      <c r="H49" s="27"/>
      <c r="I49" s="28"/>
      <c r="J49" s="29" t="str">
        <f>IF(J47&lt;J48, "USE E3-2", "USE E3-3")</f>
        <v>USE E3-2</v>
      </c>
    </row>
    <row r="50" spans="1:11" hidden="1" x14ac:dyDescent="0.25"/>
    <row r="51" spans="1:11" hidden="1" x14ac:dyDescent="0.25">
      <c r="A51" s="11" t="s">
        <v>91</v>
      </c>
      <c r="J51" s="22" t="s">
        <v>92</v>
      </c>
    </row>
    <row r="52" spans="1:11" hidden="1" x14ac:dyDescent="0.25">
      <c r="A52" s="11"/>
      <c r="J52" s="30"/>
    </row>
    <row r="53" spans="1:11" hidden="1" x14ac:dyDescent="0.25">
      <c r="A53" s="11"/>
      <c r="D53" s="31" t="s">
        <v>93</v>
      </c>
      <c r="E53" s="31"/>
      <c r="F53" s="5"/>
      <c r="G53" s="5"/>
      <c r="H53" s="31" t="s">
        <v>94</v>
      </c>
      <c r="J53" s="32" t="s">
        <v>95</v>
      </c>
    </row>
    <row r="54" spans="1:11" ht="15.75" hidden="1" x14ac:dyDescent="0.3">
      <c r="A54" s="33" t="s">
        <v>96</v>
      </c>
      <c r="C54" s="5" t="s">
        <v>97</v>
      </c>
      <c r="D54" s="5">
        <f>VLOOKUP($D$23, W_PROP, 26, FALSE)</f>
        <v>27.1</v>
      </c>
      <c r="E54" s="5"/>
      <c r="F54" s="5"/>
      <c r="G54" s="34" t="s">
        <v>98</v>
      </c>
      <c r="H54" s="35">
        <f>1.49/4.71*(J48)</f>
        <v>35.883951844801039</v>
      </c>
      <c r="I54" s="5" t="s">
        <v>99</v>
      </c>
      <c r="J54" s="36" t="str">
        <f>IF(D54&lt;H54, "NONSLENDER", "N.G")</f>
        <v>NONSLENDER</v>
      </c>
    </row>
    <row r="55" spans="1:11" ht="16.5" hidden="1" thickBot="1" x14ac:dyDescent="0.35">
      <c r="A55" t="s">
        <v>100</v>
      </c>
      <c r="C55" s="5" t="s">
        <v>101</v>
      </c>
      <c r="D55" s="5">
        <f>VLOOKUP($D$23, W_PROP, 24, FALSE)</f>
        <v>9.15</v>
      </c>
      <c r="E55" s="5"/>
      <c r="F55" s="5"/>
      <c r="G55" s="34" t="s">
        <v>98</v>
      </c>
      <c r="H55" s="35">
        <f>0.56/4.71*(J48)</f>
        <v>13.486585928247374</v>
      </c>
      <c r="I55" s="5" t="s">
        <v>102</v>
      </c>
      <c r="J55" s="37" t="str">
        <f>IF(D55&lt;H55, "NONSLENDER", "N.G")</f>
        <v>NONSLENDER</v>
      </c>
    </row>
    <row r="56" spans="1:11" hidden="1" x14ac:dyDescent="0.25">
      <c r="A56" t="s">
        <v>103</v>
      </c>
    </row>
    <row r="57" spans="1:11" hidden="1" x14ac:dyDescent="0.25"/>
    <row r="58" spans="1:11" ht="15.75" hidden="1" x14ac:dyDescent="0.3">
      <c r="A58" s="11" t="s">
        <v>104</v>
      </c>
      <c r="G58" s="8" t="s">
        <v>105</v>
      </c>
      <c r="H58" s="38">
        <f>(PI()^2*J23)/(J47)^2</f>
        <v>29.221247032179285</v>
      </c>
      <c r="I58" s="12" t="s">
        <v>30</v>
      </c>
      <c r="J58" s="22" t="s">
        <v>106</v>
      </c>
    </row>
    <row r="59" spans="1:11" ht="15.75" hidden="1" x14ac:dyDescent="0.3">
      <c r="A59" s="11" t="s">
        <v>107</v>
      </c>
      <c r="G59" s="8" t="s">
        <v>108</v>
      </c>
      <c r="H59" s="38">
        <f>(((PI()^2*J23*J35)/(D49)^2)+J24*D30)*(1/(D28+D29))</f>
        <v>61.035944147956634</v>
      </c>
      <c r="I59" s="12" t="s">
        <v>30</v>
      </c>
      <c r="J59" s="22" t="s">
        <v>109</v>
      </c>
    </row>
    <row r="60" spans="1:11" ht="15.75" hidden="1" thickBot="1" x14ac:dyDescent="0.3">
      <c r="G60" s="26" t="s">
        <v>110</v>
      </c>
      <c r="H60" s="28"/>
      <c r="I60" s="27" t="str">
        <f>IF(H58&lt;H59, G58, G59)</f>
        <v>Fe3</v>
      </c>
      <c r="J60" s="39">
        <f>MIN(H58:H59)</f>
        <v>29.221247032179285</v>
      </c>
      <c r="K60" s="40" t="s">
        <v>30</v>
      </c>
    </row>
    <row r="61" spans="1:11" hidden="1" x14ac:dyDescent="0.25"/>
    <row r="62" spans="1:11" ht="16.5" hidden="1" thickBot="1" x14ac:dyDescent="0.35">
      <c r="A62" s="11" t="s">
        <v>111</v>
      </c>
      <c r="G62" s="41" t="s">
        <v>112</v>
      </c>
      <c r="H62" s="39">
        <f>IF(H58&lt;H59,(0.658^(D27/J60))*D27, "INSERT")</f>
        <v>24.430890131934614</v>
      </c>
      <c r="I62" s="42" t="s">
        <v>30</v>
      </c>
      <c r="J62" s="43" t="s">
        <v>113</v>
      </c>
    </row>
    <row r="63" spans="1:11" hidden="1" x14ac:dyDescent="0.25"/>
    <row r="64" spans="1:11" ht="16.5" hidden="1" thickBot="1" x14ac:dyDescent="0.35">
      <c r="A64" s="11" t="s">
        <v>114</v>
      </c>
      <c r="G64" s="41" t="s">
        <v>115</v>
      </c>
      <c r="H64" s="39">
        <f>H62*J32</f>
        <v>237.22394318108513</v>
      </c>
      <c r="I64" s="42" t="s">
        <v>30</v>
      </c>
      <c r="J64" s="43" t="s">
        <v>116</v>
      </c>
    </row>
    <row r="65" spans="1:10" hidden="1" x14ac:dyDescent="0.25"/>
    <row r="66" spans="1:10" ht="16.5" hidden="1" thickBot="1" x14ac:dyDescent="0.35">
      <c r="A66" s="11" t="s">
        <v>117</v>
      </c>
      <c r="G66" s="44" t="s">
        <v>118</v>
      </c>
      <c r="H66" s="45">
        <f>H64*0.9</f>
        <v>213.50154886297662</v>
      </c>
      <c r="I66" s="46" t="s">
        <v>30</v>
      </c>
    </row>
    <row r="67" spans="1:10" x14ac:dyDescent="0.25">
      <c r="A67" s="1" t="s">
        <v>119</v>
      </c>
    </row>
    <row r="69" spans="1:10" x14ac:dyDescent="0.25">
      <c r="A69" t="s">
        <v>120</v>
      </c>
      <c r="C69" s="4">
        <v>4</v>
      </c>
      <c r="D69" s="6" t="s">
        <v>30</v>
      </c>
      <c r="G69" s="47" t="s">
        <v>121</v>
      </c>
      <c r="I69" s="48">
        <v>0.15</v>
      </c>
      <c r="J69" s="6" t="s">
        <v>122</v>
      </c>
    </row>
    <row r="70" spans="1:10" x14ac:dyDescent="0.25">
      <c r="A70" t="s">
        <v>123</v>
      </c>
      <c r="C70" s="4">
        <v>6</v>
      </c>
      <c r="D70" s="6" t="s">
        <v>15</v>
      </c>
      <c r="E70" s="47"/>
      <c r="F70" s="47"/>
    </row>
    <row r="71" spans="1:10" x14ac:dyDescent="0.25">
      <c r="A71" t="s">
        <v>124</v>
      </c>
    </row>
    <row r="72" spans="1:10" x14ac:dyDescent="0.25">
      <c r="A72" t="s">
        <v>125</v>
      </c>
      <c r="C72" s="2" t="s">
        <v>27</v>
      </c>
      <c r="G72" t="s">
        <v>126</v>
      </c>
      <c r="I72" s="2" t="s">
        <v>127</v>
      </c>
    </row>
    <row r="73" spans="1:10" x14ac:dyDescent="0.25">
      <c r="A73" t="s">
        <v>128</v>
      </c>
      <c r="C73" s="2" t="s">
        <v>27</v>
      </c>
    </row>
    <row r="75" spans="1:10" x14ac:dyDescent="0.25">
      <c r="A75" s="1" t="s">
        <v>129</v>
      </c>
    </row>
    <row r="77" spans="1:10" x14ac:dyDescent="0.25">
      <c r="A77" s="259" t="s">
        <v>130</v>
      </c>
      <c r="B77" s="259"/>
      <c r="C77" s="259"/>
    </row>
    <row r="78" spans="1:10" x14ac:dyDescent="0.25">
      <c r="A78" t="s">
        <v>131</v>
      </c>
      <c r="C78" s="4">
        <v>4</v>
      </c>
      <c r="D78" s="6" t="s">
        <v>15</v>
      </c>
      <c r="E78" s="6"/>
    </row>
    <row r="79" spans="1:10" x14ac:dyDescent="0.25">
      <c r="A79" t="s">
        <v>124</v>
      </c>
    </row>
    <row r="80" spans="1:10" x14ac:dyDescent="0.25">
      <c r="A80" t="s">
        <v>132</v>
      </c>
      <c r="C80" s="260" t="s">
        <v>133</v>
      </c>
      <c r="D80" s="260"/>
      <c r="E80" s="260"/>
      <c r="F80" s="260"/>
      <c r="G80" s="49"/>
    </row>
    <row r="82" spans="1:10" x14ac:dyDescent="0.25">
      <c r="A82" s="1" t="s">
        <v>134</v>
      </c>
    </row>
    <row r="84" spans="1:10" x14ac:dyDescent="0.25">
      <c r="A84" t="s">
        <v>135</v>
      </c>
      <c r="C84" s="50" t="s">
        <v>136</v>
      </c>
      <c r="G84" t="s">
        <v>137</v>
      </c>
      <c r="I84" s="4">
        <v>4</v>
      </c>
      <c r="J84" s="6" t="s">
        <v>15</v>
      </c>
    </row>
    <row r="85" spans="1:10" x14ac:dyDescent="0.25">
      <c r="A85" t="s">
        <v>138</v>
      </c>
      <c r="C85" s="260" t="s">
        <v>139</v>
      </c>
      <c r="D85" s="260"/>
      <c r="E85" s="260"/>
      <c r="F85" s="51"/>
      <c r="G85" t="s">
        <v>137</v>
      </c>
      <c r="I85" s="4">
        <v>6</v>
      </c>
      <c r="J85" s="6" t="s">
        <v>15</v>
      </c>
    </row>
    <row r="86" spans="1:10" x14ac:dyDescent="0.25">
      <c r="A86" t="s">
        <v>140</v>
      </c>
      <c r="C86" s="52" t="s">
        <v>141</v>
      </c>
      <c r="D86" s="53"/>
      <c r="E86" s="53"/>
      <c r="F86" s="51"/>
      <c r="G86" t="s">
        <v>137</v>
      </c>
      <c r="I86" s="4">
        <v>2</v>
      </c>
      <c r="J86" s="6" t="s">
        <v>15</v>
      </c>
    </row>
  </sheetData>
  <mergeCells count="3">
    <mergeCell ref="A77:C77"/>
    <mergeCell ref="C80:F80"/>
    <mergeCell ref="C85:E85"/>
  </mergeCells>
  <dataValidations disablePrompts="1" count="1">
    <dataValidation type="list" allowBlank="1" showInputMessage="1" showErrorMessage="1" sqref="D23:E23">
      <formula1>W_NAME</formula1>
    </dataValidation>
  </dataValidation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Information&amp;RAna Gouveia
&amp;D</oddHeader>
    <oddFooter>&amp;CSection
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A82" workbookViewId="0">
      <selection activeCell="K105" sqref="K105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5.8554687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438</v>
      </c>
      <c r="J12" t="s">
        <v>439</v>
      </c>
    </row>
    <row r="13" spans="2:14" x14ac:dyDescent="0.25">
      <c r="D13" s="116" t="s">
        <v>440</v>
      </c>
      <c r="E13" s="48">
        <v>15</v>
      </c>
      <c r="F13" s="6" t="s">
        <v>19</v>
      </c>
    </row>
    <row r="14" spans="2:14" x14ac:dyDescent="0.25">
      <c r="D14" s="116" t="s">
        <v>441</v>
      </c>
      <c r="E14" s="48">
        <v>24</v>
      </c>
      <c r="F14" s="6" t="s">
        <v>19</v>
      </c>
    </row>
    <row r="15" spans="2:14" ht="18" x14ac:dyDescent="0.35">
      <c r="D15" s="116" t="s">
        <v>442</v>
      </c>
      <c r="E15" s="145">
        <f>'Project Loads'!C71</f>
        <v>17.552723329403303</v>
      </c>
      <c r="F15" s="6" t="s">
        <v>303</v>
      </c>
    </row>
    <row r="16" spans="2:14" ht="18" x14ac:dyDescent="0.35">
      <c r="D16" s="116" t="s">
        <v>443</v>
      </c>
      <c r="E16" s="145">
        <f>'Project Loads'!F71</f>
        <v>17.031853252364048</v>
      </c>
      <c r="F16" s="6" t="s">
        <v>303</v>
      </c>
    </row>
    <row r="17" spans="2:14" x14ac:dyDescent="0.25">
      <c r="F17" s="6"/>
    </row>
    <row r="18" spans="2:14" ht="15.75" thickBot="1" x14ac:dyDescent="0.3">
      <c r="B18" s="214" t="s">
        <v>444</v>
      </c>
      <c r="C18" s="214"/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2:14" ht="15.75" thickTop="1" x14ac:dyDescent="0.25">
      <c r="B19" s="1"/>
      <c r="C19" s="1"/>
      <c r="D19" s="1"/>
    </row>
    <row r="20" spans="2:14" x14ac:dyDescent="0.25">
      <c r="B20" s="1" t="s">
        <v>445</v>
      </c>
    </row>
    <row r="21" spans="2:14" ht="18" x14ac:dyDescent="0.35">
      <c r="B21" t="s">
        <v>446</v>
      </c>
      <c r="E21" s="5"/>
      <c r="F21" s="6"/>
    </row>
    <row r="22" spans="2:14" ht="18" x14ac:dyDescent="0.35">
      <c r="D22" s="116" t="s">
        <v>442</v>
      </c>
      <c r="E22" s="25">
        <f>E15</f>
        <v>17.552723329403303</v>
      </c>
      <c r="F22" s="6" t="s">
        <v>447</v>
      </c>
    </row>
    <row r="23" spans="2:14" x14ac:dyDescent="0.25">
      <c r="D23" s="116" t="s">
        <v>448</v>
      </c>
      <c r="E23" s="48">
        <v>2</v>
      </c>
      <c r="F23" s="6"/>
    </row>
    <row r="24" spans="2:14" ht="18" x14ac:dyDescent="0.35">
      <c r="D24" s="116" t="s">
        <v>449</v>
      </c>
      <c r="E24" s="25">
        <f>E22/E23</f>
        <v>8.7763616647016516</v>
      </c>
      <c r="F24" s="6" t="s">
        <v>447</v>
      </c>
    </row>
    <row r="25" spans="2:14" x14ac:dyDescent="0.25">
      <c r="B25" s="116"/>
      <c r="C25" s="216"/>
      <c r="E25" s="5"/>
      <c r="F25" s="6"/>
      <c r="H25" s="212"/>
    </row>
    <row r="26" spans="2:14" x14ac:dyDescent="0.25">
      <c r="B26" s="116"/>
      <c r="E26" s="5"/>
      <c r="F26" s="6"/>
    </row>
    <row r="27" spans="2:14" x14ac:dyDescent="0.25">
      <c r="B27" s="149" t="s">
        <v>450</v>
      </c>
      <c r="E27" s="5"/>
      <c r="F27" s="6"/>
    </row>
    <row r="28" spans="2:14" ht="18" x14ac:dyDescent="0.35">
      <c r="C28" s="116"/>
      <c r="D28" s="116" t="s">
        <v>451</v>
      </c>
      <c r="E28" s="25">
        <f>E24*E13/2</f>
        <v>65.822712485262386</v>
      </c>
      <c r="F28" s="6" t="s">
        <v>452</v>
      </c>
    </row>
    <row r="29" spans="2:14" ht="18" x14ac:dyDescent="0.35">
      <c r="C29" s="116"/>
      <c r="D29" s="116" t="s">
        <v>453</v>
      </c>
      <c r="E29" s="25">
        <f>E28</f>
        <v>65.822712485262386</v>
      </c>
      <c r="F29" s="6" t="s">
        <v>452</v>
      </c>
    </row>
    <row r="31" spans="2:14" ht="15.75" thickBot="1" x14ac:dyDescent="0.3">
      <c r="B31" s="54" t="s">
        <v>454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17"/>
    </row>
    <row r="34" spans="2:20" x14ac:dyDescent="0.25">
      <c r="B34" s="116" t="s">
        <v>455</v>
      </c>
      <c r="G34" t="s">
        <v>456</v>
      </c>
      <c r="L34" t="s">
        <v>457</v>
      </c>
    </row>
    <row r="42" spans="2:20" x14ac:dyDescent="0.25">
      <c r="B42" s="1" t="s">
        <v>458</v>
      </c>
      <c r="E42" s="5"/>
      <c r="F42" s="6"/>
      <c r="G42" s="218"/>
      <c r="H42" s="218"/>
      <c r="I42" s="219" t="s">
        <v>459</v>
      </c>
      <c r="J42" s="219"/>
      <c r="M42" s="6"/>
      <c r="N42" s="6"/>
      <c r="T42" s="218"/>
    </row>
    <row r="43" spans="2:20" ht="18" x14ac:dyDescent="0.35">
      <c r="D43" s="116" t="s">
        <v>460</v>
      </c>
      <c r="E43" s="25">
        <f>E28</f>
        <v>65.822712485262386</v>
      </c>
      <c r="F43" s="6" t="s">
        <v>452</v>
      </c>
      <c r="J43" s="116" t="s">
        <v>461</v>
      </c>
      <c r="K43" s="25">
        <f>E43</f>
        <v>65.822712485262386</v>
      </c>
      <c r="L43" s="6" t="s">
        <v>452</v>
      </c>
      <c r="N43" s="137"/>
    </row>
    <row r="44" spans="2:20" ht="18" x14ac:dyDescent="0.35">
      <c r="B44" s="220" t="s">
        <v>462</v>
      </c>
      <c r="D44" s="116" t="s">
        <v>463</v>
      </c>
      <c r="E44" s="25">
        <f>E22-E24</f>
        <v>8.7763616647016516</v>
      </c>
      <c r="F44" s="6" t="s">
        <v>447</v>
      </c>
      <c r="G44" s="221" t="s">
        <v>9</v>
      </c>
      <c r="H44" s="221"/>
      <c r="J44" s="116" t="s">
        <v>463</v>
      </c>
      <c r="K44" s="25">
        <f>E44</f>
        <v>8.7763616647016516</v>
      </c>
      <c r="L44" s="6" t="s">
        <v>447</v>
      </c>
      <c r="N44" s="244" t="str">
        <f>G44</f>
        <v>C</v>
      </c>
    </row>
    <row r="45" spans="2:20" ht="18" x14ac:dyDescent="0.35">
      <c r="B45" s="220" t="s">
        <v>464</v>
      </c>
      <c r="D45" s="116" t="s">
        <v>465</v>
      </c>
      <c r="E45" s="25">
        <f>(E43+E28)/E14</f>
        <v>5.4852260404385325</v>
      </c>
      <c r="F45" s="6" t="s">
        <v>447</v>
      </c>
      <c r="J45" s="116" t="s">
        <v>466</v>
      </c>
      <c r="K45" s="25">
        <f>E45</f>
        <v>5.4852260404385325</v>
      </c>
      <c r="L45" s="6" t="s">
        <v>447</v>
      </c>
      <c r="N45" s="6"/>
    </row>
    <row r="46" spans="2:20" ht="18" x14ac:dyDescent="0.35">
      <c r="B46" s="220" t="s">
        <v>467</v>
      </c>
      <c r="D46" s="116" t="s">
        <v>468</v>
      </c>
      <c r="E46" s="25">
        <f>E45</f>
        <v>5.4852260404385325</v>
      </c>
      <c r="F46" s="6" t="s">
        <v>447</v>
      </c>
      <c r="G46" t="s">
        <v>67</v>
      </c>
      <c r="J46" s="116" t="s">
        <v>469</v>
      </c>
      <c r="K46" s="25">
        <f>K45</f>
        <v>5.4852260404385325</v>
      </c>
      <c r="L46" s="6" t="s">
        <v>447</v>
      </c>
      <c r="N46" s="6" t="s">
        <v>9</v>
      </c>
    </row>
    <row r="47" spans="2:20" ht="18" x14ac:dyDescent="0.35">
      <c r="E47" s="5"/>
      <c r="J47" s="116" t="s">
        <v>453</v>
      </c>
      <c r="K47" s="25">
        <f>K43</f>
        <v>65.822712485262386</v>
      </c>
      <c r="L47" s="6" t="s">
        <v>447</v>
      </c>
      <c r="N47" s="6"/>
    </row>
    <row r="48" spans="2:20" x14ac:dyDescent="0.25">
      <c r="K48" s="116"/>
      <c r="L48" s="216"/>
    </row>
    <row r="49" spans="2:12" x14ac:dyDescent="0.25">
      <c r="K49" s="116"/>
      <c r="L49" s="216"/>
    </row>
    <row r="50" spans="2:12" x14ac:dyDescent="0.25">
      <c r="K50" s="116"/>
      <c r="L50" s="216"/>
    </row>
    <row r="51" spans="2:12" x14ac:dyDescent="0.25">
      <c r="B51" s="222" t="s">
        <v>470</v>
      </c>
    </row>
    <row r="70" spans="2:14" x14ac:dyDescent="0.25">
      <c r="C70" s="222" t="s">
        <v>471</v>
      </c>
      <c r="G70" s="1" t="s">
        <v>472</v>
      </c>
      <c r="J70" s="213"/>
      <c r="L70" t="s">
        <v>473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31"/>
      <c r="N73" s="1"/>
    </row>
    <row r="74" spans="2:14" x14ac:dyDescent="0.25">
      <c r="B74" s="149" t="s">
        <v>474</v>
      </c>
      <c r="E74" s="5"/>
      <c r="I74" s="1" t="s">
        <v>473</v>
      </c>
      <c r="L74" s="5"/>
      <c r="M74" s="6"/>
      <c r="N74" s="6"/>
    </row>
    <row r="75" spans="2:14" ht="18" x14ac:dyDescent="0.35">
      <c r="B75" t="s">
        <v>475</v>
      </c>
      <c r="D75" s="116" t="s">
        <v>476</v>
      </c>
      <c r="E75" s="38">
        <f>('[4]Project Loads'!D71+'[4]Project Loads'!G71)/2</f>
        <v>7.9249999999999998</v>
      </c>
      <c r="F75" s="6" t="s">
        <v>447</v>
      </c>
      <c r="I75" t="s">
        <v>475</v>
      </c>
      <c r="J75" s="116" t="s">
        <v>476</v>
      </c>
      <c r="K75" s="38">
        <f>E75</f>
        <v>7.9249999999999998</v>
      </c>
      <c r="L75" s="6" t="s">
        <v>447</v>
      </c>
      <c r="M75" s="6"/>
    </row>
    <row r="76" spans="2:14" ht="18" x14ac:dyDescent="0.35">
      <c r="B76" t="s">
        <v>477</v>
      </c>
      <c r="D76" s="116" t="s">
        <v>478</v>
      </c>
      <c r="E76" s="25">
        <f>E46</f>
        <v>5.4852260404385325</v>
      </c>
      <c r="F76" s="6" t="s">
        <v>447</v>
      </c>
      <c r="G76" t="s">
        <v>479</v>
      </c>
      <c r="I76" t="s">
        <v>480</v>
      </c>
      <c r="J76" s="116" t="s">
        <v>481</v>
      </c>
      <c r="K76" s="38">
        <f>K46</f>
        <v>5.4852260404385325</v>
      </c>
      <c r="L76" s="6" t="s">
        <v>447</v>
      </c>
      <c r="M76" s="6" t="s">
        <v>9</v>
      </c>
    </row>
    <row r="77" spans="2:14" ht="18" x14ac:dyDescent="0.35">
      <c r="B77" t="s">
        <v>482</v>
      </c>
      <c r="D77" s="116" t="s">
        <v>483</v>
      </c>
      <c r="E77" s="5">
        <f>E75*E13/2</f>
        <v>59.4375</v>
      </c>
      <c r="F77" s="6" t="s">
        <v>452</v>
      </c>
      <c r="I77" t="s">
        <v>482</v>
      </c>
      <c r="J77" s="116" t="s">
        <v>484</v>
      </c>
      <c r="K77" s="38">
        <f>E13*K75/2</f>
        <v>59.4375</v>
      </c>
      <c r="L77" s="6" t="s">
        <v>452</v>
      </c>
      <c r="M77" s="6"/>
    </row>
    <row r="78" spans="2:14" ht="18" x14ac:dyDescent="0.35">
      <c r="B78" t="s">
        <v>485</v>
      </c>
      <c r="D78" s="116" t="s">
        <v>486</v>
      </c>
      <c r="E78" s="25">
        <f>E28</f>
        <v>65.822712485262386</v>
      </c>
      <c r="F78" s="6" t="s">
        <v>452</v>
      </c>
      <c r="I78" t="s">
        <v>487</v>
      </c>
      <c r="J78" s="116" t="s">
        <v>488</v>
      </c>
      <c r="K78" s="38">
        <f>K47</f>
        <v>65.822712485262386</v>
      </c>
      <c r="L78" s="6" t="s">
        <v>452</v>
      </c>
      <c r="M78" s="6"/>
    </row>
    <row r="79" spans="2:14" ht="18" x14ac:dyDescent="0.35">
      <c r="B79" s="218" t="s">
        <v>489</v>
      </c>
      <c r="D79" s="116" t="s">
        <v>478</v>
      </c>
      <c r="E79" s="25">
        <f>E46</f>
        <v>5.4852260404385325</v>
      </c>
      <c r="F79" s="6" t="s">
        <v>447</v>
      </c>
      <c r="I79" s="218" t="s">
        <v>480</v>
      </c>
      <c r="J79" s="116" t="s">
        <v>481</v>
      </c>
      <c r="K79" s="25">
        <f>K46</f>
        <v>5.4852260404385325</v>
      </c>
      <c r="L79" s="6" t="s">
        <v>447</v>
      </c>
      <c r="M79" s="6"/>
    </row>
    <row r="80" spans="2:14" ht="18" x14ac:dyDescent="0.35">
      <c r="B80" s="220" t="s">
        <v>462</v>
      </c>
      <c r="D80" s="116" t="s">
        <v>490</v>
      </c>
      <c r="E80" s="25">
        <f>E16-E75</f>
        <v>9.1068532523640471</v>
      </c>
      <c r="F80" s="6" t="s">
        <v>447</v>
      </c>
      <c r="G80" t="s">
        <v>479</v>
      </c>
      <c r="I80" s="223" t="s">
        <v>491</v>
      </c>
      <c r="J80" s="116" t="s">
        <v>492</v>
      </c>
      <c r="K80" s="25">
        <f>E80</f>
        <v>9.1068532523640471</v>
      </c>
      <c r="L80" s="6" t="s">
        <v>447</v>
      </c>
      <c r="M80" s="6" t="s">
        <v>67</v>
      </c>
    </row>
    <row r="81" spans="2:14" ht="18" x14ac:dyDescent="0.35">
      <c r="B81" s="220" t="s">
        <v>493</v>
      </c>
      <c r="D81" s="116" t="s">
        <v>494</v>
      </c>
      <c r="E81" s="38">
        <f>E77+E78</f>
        <v>125.26021248526239</v>
      </c>
      <c r="F81" s="6" t="s">
        <v>452</v>
      </c>
      <c r="I81" s="220" t="s">
        <v>493</v>
      </c>
      <c r="J81" s="116" t="s">
        <v>495</v>
      </c>
      <c r="K81" s="38">
        <f>K77+K78</f>
        <v>125.26021248526239</v>
      </c>
      <c r="L81" s="6" t="s">
        <v>452</v>
      </c>
      <c r="M81" s="6"/>
    </row>
    <row r="82" spans="2:14" ht="18" x14ac:dyDescent="0.35">
      <c r="B82" s="220" t="s">
        <v>464</v>
      </c>
      <c r="D82" s="116" t="s">
        <v>496</v>
      </c>
      <c r="E82" s="38">
        <f>(E81+E78+E77)/E14</f>
        <v>10.438351040438532</v>
      </c>
      <c r="F82" s="6" t="s">
        <v>447</v>
      </c>
      <c r="I82" s="220" t="s">
        <v>464</v>
      </c>
      <c r="J82" s="116" t="s">
        <v>496</v>
      </c>
      <c r="K82" s="38">
        <f>(K81+K78+K77)/E14</f>
        <v>10.438351040438532</v>
      </c>
      <c r="L82" s="6" t="s">
        <v>447</v>
      </c>
      <c r="M82" s="6"/>
    </row>
    <row r="83" spans="2:14" ht="18" x14ac:dyDescent="0.35">
      <c r="B83" s="220" t="s">
        <v>467</v>
      </c>
      <c r="D83" s="116" t="s">
        <v>497</v>
      </c>
      <c r="E83" s="38">
        <f>E82+E76</f>
        <v>15.923577080877063</v>
      </c>
      <c r="F83" s="6" t="s">
        <v>447</v>
      </c>
      <c r="I83" s="220" t="s">
        <v>467</v>
      </c>
      <c r="J83" s="116" t="s">
        <v>498</v>
      </c>
      <c r="K83" s="38">
        <f>K82+K76</f>
        <v>15.923577080877063</v>
      </c>
      <c r="L83" s="6" t="s">
        <v>447</v>
      </c>
      <c r="M83" s="6"/>
    </row>
    <row r="84" spans="2:14" x14ac:dyDescent="0.25">
      <c r="B84" s="220"/>
      <c r="D84" s="116"/>
      <c r="E84" s="38"/>
      <c r="F84" s="6"/>
      <c r="I84" s="220"/>
      <c r="K84" s="116"/>
      <c r="L84" s="206"/>
      <c r="M84" s="6"/>
      <c r="N84" s="6"/>
    </row>
    <row r="85" spans="2:14" x14ac:dyDescent="0.25">
      <c r="B85" s="220"/>
      <c r="D85" s="116"/>
      <c r="E85" s="206"/>
      <c r="F85" s="6"/>
      <c r="I85" s="220"/>
      <c r="K85" s="116"/>
      <c r="L85" s="206"/>
      <c r="M85" s="6"/>
      <c r="N85" s="6"/>
    </row>
    <row r="86" spans="2:14" x14ac:dyDescent="0.25">
      <c r="B86" s="220"/>
      <c r="D86" s="116"/>
      <c r="E86" s="206"/>
      <c r="I86" s="220"/>
      <c r="K86" s="116"/>
      <c r="L86" s="206"/>
      <c r="M86" s="6"/>
      <c r="N86" s="6"/>
    </row>
    <row r="87" spans="2:14" x14ac:dyDescent="0.25">
      <c r="B87" s="220"/>
      <c r="D87" s="116"/>
      <c r="E87" s="206"/>
      <c r="I87" s="220"/>
      <c r="K87" s="116"/>
      <c r="L87" s="206"/>
    </row>
    <row r="88" spans="2:14" x14ac:dyDescent="0.25">
      <c r="B88" s="220"/>
      <c r="D88" s="116"/>
      <c r="E88" s="206"/>
      <c r="I88" s="220"/>
      <c r="K88" s="116"/>
      <c r="L88" s="206"/>
    </row>
    <row r="89" spans="2:14" x14ac:dyDescent="0.25">
      <c r="B89" s="220"/>
      <c r="D89" s="116"/>
      <c r="E89" s="206"/>
      <c r="I89" s="220"/>
      <c r="K89" s="116"/>
      <c r="L89" s="206"/>
    </row>
    <row r="90" spans="2:14" x14ac:dyDescent="0.25">
      <c r="B90" s="220"/>
      <c r="D90" s="116"/>
      <c r="E90" s="206"/>
      <c r="I90" s="220"/>
      <c r="K90" s="116"/>
      <c r="L90" s="206"/>
    </row>
    <row r="91" spans="2:14" x14ac:dyDescent="0.25">
      <c r="B91" s="220"/>
      <c r="D91" s="116"/>
      <c r="E91" s="206"/>
      <c r="I91" s="220"/>
      <c r="K91" s="116"/>
      <c r="L91" s="206"/>
    </row>
    <row r="92" spans="2:14" x14ac:dyDescent="0.25">
      <c r="B92" s="220"/>
      <c r="D92" s="116"/>
      <c r="E92" s="206"/>
      <c r="I92" s="220"/>
      <c r="K92" s="116"/>
      <c r="L92" s="206"/>
    </row>
    <row r="93" spans="2:14" x14ac:dyDescent="0.25">
      <c r="B93" s="220"/>
      <c r="D93" s="116"/>
      <c r="E93" s="206"/>
      <c r="I93" s="220"/>
      <c r="K93" s="116"/>
      <c r="L93" s="206"/>
    </row>
    <row r="94" spans="2:14" x14ac:dyDescent="0.25">
      <c r="B94" s="220"/>
      <c r="D94" s="116"/>
      <c r="E94" s="206"/>
      <c r="I94" s="220"/>
      <c r="K94" s="116"/>
      <c r="L94" s="206"/>
    </row>
    <row r="95" spans="2:14" x14ac:dyDescent="0.25">
      <c r="F95" s="220"/>
    </row>
    <row r="96" spans="2:14" ht="15.75" thickBot="1" x14ac:dyDescent="0.3">
      <c r="B96" s="214" t="s">
        <v>499</v>
      </c>
      <c r="C96" s="214"/>
      <c r="D96" s="214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spans="2:9" ht="15.75" thickTop="1" x14ac:dyDescent="0.25">
      <c r="F97" s="220"/>
    </row>
    <row r="98" spans="2:9" ht="30" x14ac:dyDescent="0.25">
      <c r="B98" s="224"/>
      <c r="C98" s="225" t="s">
        <v>93</v>
      </c>
      <c r="D98" s="226" t="s">
        <v>500</v>
      </c>
      <c r="E98" s="226" t="s">
        <v>319</v>
      </c>
      <c r="F98" s="227" t="s">
        <v>501</v>
      </c>
      <c r="G98" s="226" t="s">
        <v>502</v>
      </c>
      <c r="H98" s="226" t="s">
        <v>503</v>
      </c>
      <c r="I98" s="228" t="s">
        <v>504</v>
      </c>
    </row>
    <row r="99" spans="2:9" ht="15.75" thickBot="1" x14ac:dyDescent="0.3">
      <c r="B99" s="229"/>
      <c r="C99" s="230" t="s">
        <v>505</v>
      </c>
      <c r="D99" s="231" t="s">
        <v>506</v>
      </c>
      <c r="E99" s="230" t="s">
        <v>507</v>
      </c>
      <c r="F99" s="230"/>
      <c r="G99" s="230" t="s">
        <v>190</v>
      </c>
      <c r="H99" s="230"/>
      <c r="I99" s="232" t="s">
        <v>328</v>
      </c>
    </row>
    <row r="100" spans="2:9" ht="15.75" thickTop="1" x14ac:dyDescent="0.25">
      <c r="B100" s="233" t="s">
        <v>508</v>
      </c>
      <c r="C100" s="234">
        <v>29</v>
      </c>
      <c r="D100" s="235" t="s">
        <v>504</v>
      </c>
      <c r="E100" s="235" t="s">
        <v>509</v>
      </c>
      <c r="F100" s="235" t="s">
        <v>510</v>
      </c>
      <c r="G100" s="236">
        <f>E80</f>
        <v>9.1068532523640471</v>
      </c>
      <c r="H100" s="237" t="str">
        <f>G80</f>
        <v xml:space="preserve">T </v>
      </c>
      <c r="I100" s="238">
        <f>E81</f>
        <v>125.26021248526239</v>
      </c>
    </row>
    <row r="101" spans="2:9" x14ac:dyDescent="0.25">
      <c r="B101" s="233" t="s">
        <v>511</v>
      </c>
      <c r="C101" s="234">
        <v>26</v>
      </c>
      <c r="D101" s="235" t="s">
        <v>504</v>
      </c>
      <c r="E101" s="235" t="s">
        <v>157</v>
      </c>
      <c r="F101" s="235" t="s">
        <v>510</v>
      </c>
      <c r="G101" s="236">
        <f>E44</f>
        <v>8.7763616647016516</v>
      </c>
      <c r="H101" s="237" t="s">
        <v>9</v>
      </c>
      <c r="I101" s="238">
        <f>E43</f>
        <v>65.822712485262386</v>
      </c>
    </row>
    <row r="102" spans="2:9" x14ac:dyDescent="0.25">
      <c r="B102" s="233" t="s">
        <v>512</v>
      </c>
      <c r="C102" s="234">
        <v>21</v>
      </c>
      <c r="D102" s="235" t="s">
        <v>504</v>
      </c>
      <c r="E102" s="235" t="s">
        <v>509</v>
      </c>
      <c r="F102" s="235" t="s">
        <v>513</v>
      </c>
      <c r="G102" s="236">
        <f>E83</f>
        <v>15.923577080877063</v>
      </c>
      <c r="H102" s="237" t="s">
        <v>67</v>
      </c>
      <c r="I102" s="238">
        <f>E77</f>
        <v>59.4375</v>
      </c>
    </row>
    <row r="103" spans="2:9" x14ac:dyDescent="0.25">
      <c r="B103" s="233" t="s">
        <v>514</v>
      </c>
      <c r="C103" s="234">
        <v>23</v>
      </c>
      <c r="D103" s="235" t="s">
        <v>504</v>
      </c>
      <c r="E103" s="235" t="s">
        <v>509</v>
      </c>
      <c r="F103" s="235" t="s">
        <v>513</v>
      </c>
      <c r="G103" s="236">
        <f>G102</f>
        <v>15.923577080877063</v>
      </c>
      <c r="H103" s="237" t="s">
        <v>9</v>
      </c>
      <c r="I103" s="238">
        <f>K77</f>
        <v>59.4375</v>
      </c>
    </row>
    <row r="104" spans="2:9" x14ac:dyDescent="0.25">
      <c r="B104" s="233" t="s">
        <v>515</v>
      </c>
      <c r="C104" s="234">
        <v>22</v>
      </c>
      <c r="D104" s="235" t="s">
        <v>504</v>
      </c>
      <c r="E104" s="235" t="s">
        <v>157</v>
      </c>
      <c r="F104" s="235" t="s">
        <v>513</v>
      </c>
      <c r="G104" s="236">
        <f>E80</f>
        <v>9.1068532523640471</v>
      </c>
      <c r="H104" s="237" t="s">
        <v>67</v>
      </c>
      <c r="I104" s="238">
        <f>E78</f>
        <v>65.822712485262386</v>
      </c>
    </row>
    <row r="105" spans="2:9" ht="15.75" thickBot="1" x14ac:dyDescent="0.3">
      <c r="B105" s="229" t="s">
        <v>516</v>
      </c>
      <c r="C105" s="239">
        <v>24</v>
      </c>
      <c r="D105" s="240" t="s">
        <v>504</v>
      </c>
      <c r="E105" s="240" t="s">
        <v>157</v>
      </c>
      <c r="F105" s="240" t="s">
        <v>513</v>
      </c>
      <c r="G105" s="241">
        <f>G104</f>
        <v>9.1068532523640471</v>
      </c>
      <c r="H105" s="242" t="s">
        <v>9</v>
      </c>
      <c r="I105" s="243">
        <f>K78</f>
        <v>65.822712485262386</v>
      </c>
    </row>
    <row r="106" spans="2:9" ht="15.75" thickTop="1" x14ac:dyDescent="0.25">
      <c r="F106" s="220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A-8&amp;"-,Regular"
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Layout" zoomScaleNormal="100" workbookViewId="0">
      <selection activeCell="F4" sqref="F4"/>
    </sheetView>
  </sheetViews>
  <sheetFormatPr defaultRowHeight="15" x14ac:dyDescent="0.25"/>
  <cols>
    <col min="1" max="1" width="18.7109375" customWidth="1"/>
    <col min="2" max="2" width="12.7109375" customWidth="1"/>
    <col min="3" max="4" width="10.5703125" customWidth="1"/>
    <col min="5" max="5" width="9.42578125" customWidth="1"/>
    <col min="6" max="6" width="9.28515625" customWidth="1"/>
    <col min="7" max="7" width="8.42578125" customWidth="1"/>
    <col min="8" max="8" width="11.7109375" customWidth="1"/>
    <col min="9" max="9" width="4.85546875" customWidth="1"/>
    <col min="10" max="10" width="3.140625" customWidth="1"/>
    <col min="11" max="11" width="5.5703125" customWidth="1"/>
  </cols>
  <sheetData>
    <row r="1" spans="1:10" x14ac:dyDescent="0.25">
      <c r="A1" s="4">
        <v>110</v>
      </c>
      <c r="B1" s="4"/>
      <c r="C1" s="4"/>
      <c r="D1" s="6" t="s">
        <v>19</v>
      </c>
    </row>
    <row r="2" spans="1:10" ht="18" x14ac:dyDescent="0.35">
      <c r="A2" s="116" t="s">
        <v>279</v>
      </c>
      <c r="B2" s="116"/>
      <c r="C2" s="116"/>
    </row>
    <row r="3" spans="1:10" x14ac:dyDescent="0.25">
      <c r="A3" s="7" t="s">
        <v>20</v>
      </c>
      <c r="B3" s="7"/>
      <c r="C3" s="7"/>
      <c r="D3" s="4">
        <v>74</v>
      </c>
      <c r="E3" s="6" t="s">
        <v>19</v>
      </c>
      <c r="J3" s="6"/>
    </row>
    <row r="4" spans="1:10" ht="18" x14ac:dyDescent="0.35">
      <c r="A4" s="6" t="s">
        <v>15</v>
      </c>
      <c r="B4" s="6"/>
      <c r="C4" s="6"/>
      <c r="D4" s="116" t="s">
        <v>229</v>
      </c>
      <c r="E4" s="6" t="s">
        <v>17</v>
      </c>
      <c r="F4" s="66" t="s">
        <v>175</v>
      </c>
      <c r="H4" s="139" t="s">
        <v>176</v>
      </c>
      <c r="I4" s="68" t="s">
        <v>177</v>
      </c>
    </row>
    <row r="5" spans="1:10" x14ac:dyDescent="0.25">
      <c r="F5" s="70" t="s">
        <v>178</v>
      </c>
      <c r="G5" s="70"/>
      <c r="H5" s="266" t="s">
        <v>179</v>
      </c>
      <c r="I5" s="266"/>
    </row>
    <row r="6" spans="1:10" ht="15.75" thickBot="1" x14ac:dyDescent="0.3">
      <c r="A6" s="54" t="s">
        <v>410</v>
      </c>
      <c r="B6" s="54"/>
      <c r="C6" s="54"/>
      <c r="D6" s="55"/>
      <c r="E6" s="55"/>
      <c r="F6" s="140"/>
    </row>
    <row r="7" spans="1:10" ht="15.75" thickTop="1" x14ac:dyDescent="0.25">
      <c r="F7" s="141"/>
    </row>
    <row r="8" spans="1:10" ht="18" x14ac:dyDescent="0.35">
      <c r="A8" s="31" t="s">
        <v>411</v>
      </c>
      <c r="B8" s="1" t="s">
        <v>412</v>
      </c>
      <c r="D8" s="31" t="s">
        <v>413</v>
      </c>
      <c r="E8" s="1" t="s">
        <v>414</v>
      </c>
      <c r="F8" s="141"/>
    </row>
    <row r="9" spans="1:10" x14ac:dyDescent="0.25">
      <c r="A9" s="31"/>
      <c r="B9" s="195"/>
      <c r="F9" s="141"/>
    </row>
    <row r="10" spans="1:10" x14ac:dyDescent="0.25">
      <c r="A10" s="196" t="s">
        <v>415</v>
      </c>
      <c r="B10" s="196" t="s">
        <v>416</v>
      </c>
      <c r="D10" s="196" t="s">
        <v>415</v>
      </c>
      <c r="E10" s="196" t="s">
        <v>416</v>
      </c>
      <c r="F10" s="196" t="s">
        <v>6</v>
      </c>
      <c r="G10" s="196" t="s">
        <v>417</v>
      </c>
      <c r="H10" s="196" t="s">
        <v>418</v>
      </c>
    </row>
    <row r="11" spans="1:10" x14ac:dyDescent="0.25">
      <c r="A11" s="197" t="s">
        <v>416</v>
      </c>
      <c r="B11" s="176">
        <v>1</v>
      </c>
      <c r="D11" s="197">
        <v>0.16700000000000001</v>
      </c>
      <c r="E11" s="176" t="s">
        <v>57</v>
      </c>
      <c r="F11" s="176" t="s">
        <v>57</v>
      </c>
      <c r="G11" s="176" t="s">
        <v>57</v>
      </c>
      <c r="H11" s="176" t="s">
        <v>57</v>
      </c>
    </row>
    <row r="12" spans="1:10" x14ac:dyDescent="0.25">
      <c r="A12" s="197" t="s">
        <v>6</v>
      </c>
      <c r="B12" s="176">
        <v>1</v>
      </c>
      <c r="D12" s="197">
        <v>0.33</v>
      </c>
      <c r="E12" s="176" t="s">
        <v>3</v>
      </c>
      <c r="F12" s="176" t="s">
        <v>3</v>
      </c>
      <c r="G12" s="176" t="s">
        <v>3</v>
      </c>
      <c r="H12" s="176" t="s">
        <v>9</v>
      </c>
    </row>
    <row r="13" spans="1:10" x14ac:dyDescent="0.25">
      <c r="A13" s="197" t="s">
        <v>417</v>
      </c>
      <c r="B13" s="176">
        <v>1.25</v>
      </c>
      <c r="D13" s="197">
        <v>0.5</v>
      </c>
      <c r="E13" s="176" t="s">
        <v>9</v>
      </c>
      <c r="F13" s="176" t="s">
        <v>9</v>
      </c>
      <c r="G13" s="176" t="s">
        <v>9</v>
      </c>
      <c r="H13" s="176" t="s">
        <v>419</v>
      </c>
    </row>
    <row r="14" spans="1:10" x14ac:dyDescent="0.25">
      <c r="A14" s="197" t="s">
        <v>418</v>
      </c>
      <c r="B14" s="176">
        <v>1.5</v>
      </c>
      <c r="D14" s="197">
        <v>0.5</v>
      </c>
      <c r="E14" s="176" t="s">
        <v>419</v>
      </c>
      <c r="F14" s="176" t="s">
        <v>419</v>
      </c>
      <c r="G14" s="176" t="s">
        <v>419</v>
      </c>
      <c r="H14" s="176" t="s">
        <v>419</v>
      </c>
    </row>
    <row r="15" spans="1:10" x14ac:dyDescent="0.25">
      <c r="D15" t="e">
        <f>IF(#REF!&lt;0.167,A,IF(#REF!&lt;0.33,HLOOKUP(#REF!,Tables!D10:H12,3,FALSE),IF(#REF!&lt;0.5,HLOOKUP(#REF!,Tables!D10:H13,4,FALSE),HLOOKUP(#REF!,Tables!D10:H14,4,FALSE))))</f>
        <v>#REF!</v>
      </c>
      <c r="F15" s="141"/>
    </row>
    <row r="16" spans="1:10" x14ac:dyDescent="0.25">
      <c r="F16" s="141"/>
    </row>
    <row r="17" spans="1:7" ht="29.25" customHeight="1" x14ac:dyDescent="0.25">
      <c r="A17" s="31" t="s">
        <v>420</v>
      </c>
      <c r="B17" s="269" t="s">
        <v>421</v>
      </c>
      <c r="C17" s="269"/>
      <c r="E17" s="31" t="s">
        <v>294</v>
      </c>
      <c r="F17" s="269" t="s">
        <v>430</v>
      </c>
      <c r="G17" s="269"/>
    </row>
    <row r="18" spans="1:7" x14ac:dyDescent="0.25">
      <c r="A18" s="31"/>
      <c r="B18" s="195"/>
      <c r="F18" s="141"/>
    </row>
    <row r="19" spans="1:7" ht="18" x14ac:dyDescent="0.35">
      <c r="A19" s="196" t="s">
        <v>422</v>
      </c>
      <c r="B19" s="196" t="s">
        <v>423</v>
      </c>
      <c r="E19" s="198" t="s">
        <v>67</v>
      </c>
      <c r="F19" s="198" t="s">
        <v>424</v>
      </c>
    </row>
    <row r="20" spans="1:7" x14ac:dyDescent="0.25">
      <c r="A20" s="199">
        <v>0.4</v>
      </c>
      <c r="B20" s="176">
        <v>1.4</v>
      </c>
      <c r="E20" s="176">
        <v>0.5</v>
      </c>
      <c r="F20" s="200">
        <v>1</v>
      </c>
    </row>
    <row r="21" spans="1:7" x14ac:dyDescent="0.25">
      <c r="A21" s="199">
        <v>0.3</v>
      </c>
      <c r="B21" s="176">
        <v>1.4</v>
      </c>
      <c r="E21" s="201">
        <f>'Seismic Analysis - Braced'!D52</f>
        <v>0.38455830575661065</v>
      </c>
      <c r="F21" s="202">
        <f>(F22-((E22-E21)*(F22-F20)/(E22-E20)))</f>
        <v>0.94227915287830522</v>
      </c>
    </row>
    <row r="22" spans="1:7" x14ac:dyDescent="0.25">
      <c r="A22" s="199">
        <v>0.2</v>
      </c>
      <c r="B22" s="176">
        <v>1.5</v>
      </c>
      <c r="E22" s="176">
        <v>2.5</v>
      </c>
      <c r="F22" s="200">
        <v>2</v>
      </c>
    </row>
    <row r="23" spans="1:7" x14ac:dyDescent="0.25">
      <c r="A23" s="199">
        <v>0.15</v>
      </c>
      <c r="B23" s="176">
        <v>1.6</v>
      </c>
      <c r="F23" s="141"/>
    </row>
    <row r="24" spans="1:7" x14ac:dyDescent="0.25">
      <c r="A24" s="199">
        <v>0.1</v>
      </c>
      <c r="B24" s="176">
        <v>1.7</v>
      </c>
      <c r="F24" s="141"/>
    </row>
    <row r="25" spans="1:7" x14ac:dyDescent="0.25">
      <c r="A25" s="203"/>
      <c r="B25" s="67"/>
      <c r="F25" s="141"/>
    </row>
    <row r="26" spans="1:7" ht="26.25" customHeight="1" x14ac:dyDescent="0.25">
      <c r="A26" s="31" t="s">
        <v>425</v>
      </c>
      <c r="B26" s="269" t="s">
        <v>426</v>
      </c>
      <c r="C26" s="269"/>
      <c r="D26" s="204"/>
      <c r="E26" s="31" t="s">
        <v>294</v>
      </c>
      <c r="F26" s="269" t="s">
        <v>431</v>
      </c>
      <c r="G26" s="269"/>
    </row>
    <row r="27" spans="1:7" x14ac:dyDescent="0.25">
      <c r="A27" s="31"/>
      <c r="B27" s="195"/>
      <c r="F27" s="141"/>
    </row>
    <row r="28" spans="1:7" ht="18" x14ac:dyDescent="0.35">
      <c r="A28" s="196" t="s">
        <v>422</v>
      </c>
      <c r="B28" s="196" t="s">
        <v>427</v>
      </c>
      <c r="C28" s="196" t="s">
        <v>20</v>
      </c>
      <c r="E28" s="198" t="s">
        <v>67</v>
      </c>
      <c r="F28" s="198" t="s">
        <v>424</v>
      </c>
    </row>
    <row r="29" spans="1:7" ht="30" x14ac:dyDescent="0.25">
      <c r="A29" s="199" t="s">
        <v>409</v>
      </c>
      <c r="B29" s="176">
        <v>2.8000000000000001E-2</v>
      </c>
      <c r="C29" s="176">
        <v>0.8</v>
      </c>
      <c r="E29" s="176">
        <v>0.5</v>
      </c>
      <c r="F29" s="200">
        <v>1</v>
      </c>
    </row>
    <row r="30" spans="1:7" ht="30" x14ac:dyDescent="0.25">
      <c r="A30" s="199" t="s">
        <v>428</v>
      </c>
      <c r="B30" s="176">
        <v>1.6E-2</v>
      </c>
      <c r="C30" s="176">
        <v>0.9</v>
      </c>
      <c r="E30" s="201">
        <f>'Seismic Analysis - Moment'!D52</f>
        <v>0.42545637465417929</v>
      </c>
      <c r="F30" s="202">
        <f>(F31-((E31-E30)*(F31-F29)/(E31-E29)))</f>
        <v>0.96272818732708965</v>
      </c>
    </row>
    <row r="31" spans="1:7" ht="30" x14ac:dyDescent="0.25">
      <c r="A31" s="199" t="s">
        <v>224</v>
      </c>
      <c r="B31" s="176">
        <v>0.03</v>
      </c>
      <c r="C31" s="176">
        <v>0.75</v>
      </c>
      <c r="E31" s="176">
        <v>2.5</v>
      </c>
      <c r="F31" s="200">
        <v>2</v>
      </c>
    </row>
    <row r="32" spans="1:7" ht="30" x14ac:dyDescent="0.25">
      <c r="A32" s="199" t="s">
        <v>429</v>
      </c>
      <c r="B32" s="176">
        <v>0.02</v>
      </c>
      <c r="C32" s="176">
        <v>0.75</v>
      </c>
    </row>
  </sheetData>
  <mergeCells count="5">
    <mergeCell ref="H5:I5"/>
    <mergeCell ref="B17:C17"/>
    <mergeCell ref="F17:G17"/>
    <mergeCell ref="B26:C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Information&amp;"-,Regular"
Tables&amp;R&amp;"-,Bold"Ana Gouveia
&amp;D</oddHeader>
    <oddFooter>&amp;CSection
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view="pageLayout" zoomScale="70" zoomScaleNormal="100" zoomScalePageLayoutView="70" workbookViewId="0">
      <selection activeCell="C14" sqref="C14"/>
    </sheetView>
  </sheetViews>
  <sheetFormatPr defaultRowHeight="15" x14ac:dyDescent="0.25"/>
  <cols>
    <col min="1" max="1" width="26.28515625" customWidth="1"/>
    <col min="2" max="2" width="5.7109375" customWidth="1"/>
    <col min="3" max="3" width="10.7109375" customWidth="1"/>
    <col min="4" max="4" width="8.85546875" customWidth="1"/>
    <col min="5" max="5" width="8.4257812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5" customWidth="1"/>
    <col min="11" max="11" width="8.7109375" customWidth="1"/>
  </cols>
  <sheetData>
    <row r="1" spans="1:9" ht="15.75" thickBot="1" x14ac:dyDescent="0.3">
      <c r="A1" s="207" t="s">
        <v>142</v>
      </c>
      <c r="B1" s="208"/>
      <c r="C1" s="208"/>
      <c r="D1" s="208"/>
      <c r="E1" s="208"/>
      <c r="F1" s="208"/>
      <c r="G1" s="208"/>
      <c r="H1" s="208"/>
      <c r="I1" s="208"/>
    </row>
    <row r="2" spans="1:9" ht="15.75" thickTop="1" x14ac:dyDescent="0.25"/>
    <row r="3" spans="1:9" x14ac:dyDescent="0.25">
      <c r="A3" t="s">
        <v>143</v>
      </c>
      <c r="C3" s="56">
        <v>2012</v>
      </c>
      <c r="D3" s="56" t="s">
        <v>144</v>
      </c>
    </row>
    <row r="4" spans="1:9" x14ac:dyDescent="0.25">
      <c r="A4" t="s">
        <v>145</v>
      </c>
      <c r="C4" s="262" t="s">
        <v>146</v>
      </c>
      <c r="D4" s="262"/>
      <c r="E4" s="262"/>
      <c r="F4" s="57" t="s">
        <v>147</v>
      </c>
    </row>
    <row r="5" spans="1:9" x14ac:dyDescent="0.25">
      <c r="A5" t="s">
        <v>148</v>
      </c>
      <c r="C5" s="56" t="s">
        <v>149</v>
      </c>
      <c r="D5" s="56" t="s">
        <v>150</v>
      </c>
    </row>
    <row r="6" spans="1:9" x14ac:dyDescent="0.25">
      <c r="A6" t="s">
        <v>151</v>
      </c>
      <c r="C6" s="56" t="s">
        <v>149</v>
      </c>
      <c r="D6" s="56" t="s">
        <v>150</v>
      </c>
    </row>
    <row r="7" spans="1:9" x14ac:dyDescent="0.25">
      <c r="A7" t="s">
        <v>152</v>
      </c>
      <c r="C7" s="56" t="s">
        <v>149</v>
      </c>
      <c r="D7" s="56" t="s">
        <v>150</v>
      </c>
    </row>
    <row r="8" spans="1:9" x14ac:dyDescent="0.25">
      <c r="A8" t="s">
        <v>153</v>
      </c>
      <c r="C8" s="56">
        <v>20</v>
      </c>
      <c r="D8" s="6" t="s">
        <v>154</v>
      </c>
    </row>
    <row r="9" spans="1:9" x14ac:dyDescent="0.25">
      <c r="A9" t="s">
        <v>155</v>
      </c>
      <c r="C9" s="56">
        <v>100</v>
      </c>
      <c r="D9" s="6" t="s">
        <v>154</v>
      </c>
    </row>
    <row r="11" spans="1:9" ht="15.75" thickBot="1" x14ac:dyDescent="0.3">
      <c r="A11" s="207" t="s">
        <v>156</v>
      </c>
      <c r="B11" s="208"/>
      <c r="C11" s="208"/>
      <c r="D11" s="208"/>
      <c r="E11" s="208"/>
      <c r="F11" s="208"/>
      <c r="G11" s="208"/>
      <c r="H11" s="208"/>
      <c r="I11" s="208"/>
    </row>
    <row r="12" spans="1:9" ht="15.75" thickTop="1" x14ac:dyDescent="0.25">
      <c r="A12" s="1"/>
    </row>
    <row r="13" spans="1:9" ht="15.75" thickBot="1" x14ac:dyDescent="0.3">
      <c r="C13" s="261" t="s">
        <v>157</v>
      </c>
      <c r="D13" s="261"/>
      <c r="F13" s="261" t="s">
        <v>158</v>
      </c>
      <c r="G13" s="261"/>
    </row>
    <row r="14" spans="1:9" ht="15.75" thickTop="1" x14ac:dyDescent="0.25">
      <c r="A14" t="s">
        <v>159</v>
      </c>
      <c r="C14" s="58">
        <f>'Load Analysis'!F15*1000</f>
        <v>12</v>
      </c>
      <c r="D14" s="6" t="s">
        <v>154</v>
      </c>
      <c r="F14" s="59">
        <f>'Load Analysis'!K15*1000</f>
        <v>113.99999999999999</v>
      </c>
      <c r="G14" s="6" t="s">
        <v>154</v>
      </c>
    </row>
    <row r="15" spans="1:9" x14ac:dyDescent="0.25">
      <c r="A15" t="s">
        <v>160</v>
      </c>
      <c r="C15" s="58"/>
      <c r="D15" s="6" t="s">
        <v>154</v>
      </c>
      <c r="F15" s="59">
        <f>C9</f>
        <v>100</v>
      </c>
      <c r="G15" s="6" t="s">
        <v>154</v>
      </c>
    </row>
    <row r="16" spans="1:9" x14ac:dyDescent="0.25">
      <c r="A16" t="s">
        <v>161</v>
      </c>
      <c r="C16" s="58">
        <f>C8</f>
        <v>20</v>
      </c>
      <c r="D16" s="6" t="s">
        <v>154</v>
      </c>
      <c r="F16" s="59"/>
      <c r="G16" s="6" t="s">
        <v>154</v>
      </c>
    </row>
    <row r="17" spans="1:7" x14ac:dyDescent="0.25">
      <c r="A17" t="s">
        <v>162</v>
      </c>
      <c r="C17" s="58">
        <f>'Load Analysis'!E29</f>
        <v>40.950000000000003</v>
      </c>
      <c r="D17" s="6" t="s">
        <v>154</v>
      </c>
      <c r="F17" s="59"/>
      <c r="G17" s="6" t="s">
        <v>154</v>
      </c>
    </row>
    <row r="18" spans="1:7" x14ac:dyDescent="0.25">
      <c r="A18" t="s">
        <v>163</v>
      </c>
      <c r="C18" s="58"/>
      <c r="D18" s="6" t="s">
        <v>154</v>
      </c>
      <c r="F18" s="59"/>
      <c r="G18" s="6" t="s">
        <v>154</v>
      </c>
    </row>
    <row r="19" spans="1:7" x14ac:dyDescent="0.25">
      <c r="A19" t="s">
        <v>164</v>
      </c>
      <c r="C19" s="58"/>
      <c r="D19" s="6" t="s">
        <v>154</v>
      </c>
      <c r="F19" s="59"/>
      <c r="G19" s="6" t="s">
        <v>154</v>
      </c>
    </row>
    <row r="20" spans="1:7" ht="15.75" thickBot="1" x14ac:dyDescent="0.3">
      <c r="A20" t="s">
        <v>165</v>
      </c>
      <c r="C20" s="60">
        <f>'Wind Analysis - M&amp;B'!F81</f>
        <v>-22.961000000000002</v>
      </c>
      <c r="D20" s="61" t="s">
        <v>154</v>
      </c>
      <c r="F20" s="62"/>
      <c r="G20" s="61" t="s">
        <v>154</v>
      </c>
    </row>
    <row r="21" spans="1:7" ht="15.75" thickTop="1" x14ac:dyDescent="0.25">
      <c r="D21" s="6"/>
    </row>
    <row r="22" spans="1:7" x14ac:dyDescent="0.25">
      <c r="A22" s="1" t="s">
        <v>166</v>
      </c>
      <c r="C22" s="63">
        <f>SUM(C14:C20)</f>
        <v>49.989000000000004</v>
      </c>
      <c r="D22" s="6" t="s">
        <v>154</v>
      </c>
      <c r="F22" s="64">
        <f>SUM(F14:F20)</f>
        <v>214</v>
      </c>
      <c r="G22" s="6" t="s">
        <v>154</v>
      </c>
    </row>
    <row r="24" spans="1:7" ht="15.75" thickBot="1" x14ac:dyDescent="0.3">
      <c r="A24" s="54" t="s">
        <v>406</v>
      </c>
      <c r="B24" s="55"/>
      <c r="C24" s="55"/>
      <c r="D24" s="55"/>
      <c r="E24" s="55"/>
      <c r="F24" s="55"/>
      <c r="G24" s="55"/>
    </row>
    <row r="25" spans="1:7" ht="15.75" thickTop="1" x14ac:dyDescent="0.25"/>
    <row r="26" spans="1:7" ht="15.75" thickBot="1" x14ac:dyDescent="0.3">
      <c r="C26" s="261" t="s">
        <v>157</v>
      </c>
      <c r="D26" s="261"/>
      <c r="F26" s="261" t="s">
        <v>158</v>
      </c>
      <c r="G26" s="261"/>
    </row>
    <row r="27" spans="1:7" ht="15.75" thickTop="1" x14ac:dyDescent="0.25">
      <c r="A27" t="s">
        <v>167</v>
      </c>
      <c r="C27" s="38">
        <f>1.4*C14</f>
        <v>16.799999999999997</v>
      </c>
      <c r="D27" s="6" t="s">
        <v>154</v>
      </c>
      <c r="F27" s="38">
        <f>1.4*F14</f>
        <v>159.59999999999997</v>
      </c>
      <c r="G27" s="6" t="s">
        <v>154</v>
      </c>
    </row>
    <row r="28" spans="1:7" x14ac:dyDescent="0.25">
      <c r="A28" t="s">
        <v>168</v>
      </c>
      <c r="C28" s="38">
        <f>1.2*$C$14+1.6*$C$15+0.5*MAX(C16:C18)</f>
        <v>34.875</v>
      </c>
      <c r="D28" s="6" t="s">
        <v>154</v>
      </c>
      <c r="F28" s="5">
        <f>1.2*$F$14+1.6*$F$15+0.5*MAX(F16:F18)</f>
        <v>296.79999999999995</v>
      </c>
      <c r="G28" s="6" t="s">
        <v>154</v>
      </c>
    </row>
    <row r="29" spans="1:7" x14ac:dyDescent="0.25">
      <c r="A29" t="s">
        <v>169</v>
      </c>
      <c r="C29" s="38">
        <f>1.2*$C$14+1.6*MAX(C16:C18)+MAX(C15,0.5*C20)</f>
        <v>68.43950000000001</v>
      </c>
      <c r="D29" s="6" t="s">
        <v>154</v>
      </c>
      <c r="F29" s="5">
        <f>1.2*$F$14+1.6*MAX(F16:F18)+MAX(F15,0.5*F20)</f>
        <v>236.79999999999998</v>
      </c>
      <c r="G29" s="6" t="s">
        <v>154</v>
      </c>
    </row>
    <row r="30" spans="1:7" x14ac:dyDescent="0.25">
      <c r="A30" t="s">
        <v>170</v>
      </c>
      <c r="C30" s="38">
        <f>1.2*$C$14+1*C20+0.5*MAX($C$16:$C$18)</f>
        <v>11.913999999999998</v>
      </c>
      <c r="D30" s="6" t="s">
        <v>154</v>
      </c>
      <c r="F30" s="5">
        <f>1.2*$F$14+1*F20+0.5*MAX($F$16:$F$18)</f>
        <v>136.79999999999998</v>
      </c>
      <c r="G30" s="6" t="s">
        <v>154</v>
      </c>
    </row>
    <row r="31" spans="1:7" x14ac:dyDescent="0.25">
      <c r="A31" t="s">
        <v>171</v>
      </c>
      <c r="C31" s="38">
        <f>1.2*$C$14+1*C19+0.2*C17+C15</f>
        <v>22.59</v>
      </c>
      <c r="D31" s="6" t="s">
        <v>154</v>
      </c>
      <c r="F31" s="5">
        <f>1.2*$F$14+1*F19+0.2*F17+F15</f>
        <v>236.79999999999998</v>
      </c>
      <c r="G31" s="6" t="s">
        <v>154</v>
      </c>
    </row>
    <row r="32" spans="1:7" x14ac:dyDescent="0.25">
      <c r="A32" t="s">
        <v>172</v>
      </c>
      <c r="C32" s="38">
        <f>0.9*$C$14+C20</f>
        <v>-12.161000000000001</v>
      </c>
      <c r="D32" s="6" t="s">
        <v>154</v>
      </c>
      <c r="F32" s="5">
        <f>0.9*$F$14+F20</f>
        <v>102.6</v>
      </c>
      <c r="G32" s="6" t="s">
        <v>154</v>
      </c>
    </row>
    <row r="33" spans="1:9" ht="15.75" thickBot="1" x14ac:dyDescent="0.3">
      <c r="A33" t="s">
        <v>173</v>
      </c>
      <c r="C33" s="205">
        <f>0.9*$C$14+C19</f>
        <v>10.8</v>
      </c>
      <c r="D33" s="61" t="s">
        <v>154</v>
      </c>
      <c r="F33" s="65">
        <f>0.9*$F$14+F19</f>
        <v>102.6</v>
      </c>
      <c r="G33" s="61" t="s">
        <v>154</v>
      </c>
    </row>
    <row r="34" spans="1:9" ht="15.75" thickTop="1" x14ac:dyDescent="0.25">
      <c r="C34" s="5"/>
      <c r="D34" s="6"/>
      <c r="F34" s="5"/>
      <c r="G34" s="6"/>
    </row>
    <row r="35" spans="1:9" x14ac:dyDescent="0.25">
      <c r="A35" s="1" t="s">
        <v>174</v>
      </c>
      <c r="C35" s="38">
        <f>MAX(C27:C33)</f>
        <v>68.43950000000001</v>
      </c>
      <c r="D35" s="6" t="s">
        <v>154</v>
      </c>
      <c r="F35" s="38">
        <f>MAX(F27:F33)</f>
        <v>296.79999999999995</v>
      </c>
      <c r="G35" s="6" t="s">
        <v>154</v>
      </c>
    </row>
    <row r="37" spans="1:9" ht="15.75" thickBot="1" x14ac:dyDescent="0.3">
      <c r="A37" s="207" t="s">
        <v>405</v>
      </c>
      <c r="B37" s="208"/>
      <c r="C37" s="208"/>
      <c r="D37" s="208"/>
      <c r="E37" s="208"/>
      <c r="F37" s="208"/>
      <c r="G37" s="208"/>
      <c r="H37" s="208"/>
      <c r="I37" s="208"/>
    </row>
    <row r="38" spans="1:9" ht="15.75" thickTop="1" x14ac:dyDescent="0.25">
      <c r="A38" s="1"/>
    </row>
    <row r="39" spans="1:9" ht="15.75" thickBot="1" x14ac:dyDescent="0.3">
      <c r="C39" s="261" t="s">
        <v>157</v>
      </c>
      <c r="D39" s="261"/>
      <c r="F39" s="261" t="s">
        <v>158</v>
      </c>
      <c r="G39" s="261"/>
    </row>
    <row r="40" spans="1:9" ht="15.75" thickTop="1" x14ac:dyDescent="0.25">
      <c r="A40" t="s">
        <v>159</v>
      </c>
      <c r="C40" s="58"/>
      <c r="D40" s="6" t="s">
        <v>154</v>
      </c>
      <c r="F40" s="59"/>
      <c r="G40" s="6" t="s">
        <v>154</v>
      </c>
    </row>
    <row r="41" spans="1:9" x14ac:dyDescent="0.25">
      <c r="A41" t="s">
        <v>160</v>
      </c>
      <c r="C41" s="58"/>
      <c r="D41" s="6" t="s">
        <v>154</v>
      </c>
      <c r="F41" s="59"/>
      <c r="G41" s="6" t="s">
        <v>154</v>
      </c>
    </row>
    <row r="42" spans="1:9" x14ac:dyDescent="0.25">
      <c r="A42" t="s">
        <v>161</v>
      </c>
      <c r="C42" s="58"/>
      <c r="D42" s="6" t="s">
        <v>154</v>
      </c>
      <c r="F42" s="59"/>
      <c r="G42" s="6" t="s">
        <v>154</v>
      </c>
    </row>
    <row r="43" spans="1:9" x14ac:dyDescent="0.25">
      <c r="A43" t="s">
        <v>162</v>
      </c>
      <c r="C43" s="58"/>
      <c r="D43" s="6" t="s">
        <v>154</v>
      </c>
      <c r="F43" s="59"/>
      <c r="G43" s="6" t="s">
        <v>154</v>
      </c>
    </row>
    <row r="44" spans="1:9" x14ac:dyDescent="0.25">
      <c r="A44" t="s">
        <v>163</v>
      </c>
      <c r="C44" s="58"/>
      <c r="D44" s="6" t="s">
        <v>154</v>
      </c>
      <c r="F44" s="59"/>
      <c r="G44" s="6" t="s">
        <v>154</v>
      </c>
    </row>
    <row r="45" spans="1:9" x14ac:dyDescent="0.25">
      <c r="A45" t="s">
        <v>164</v>
      </c>
      <c r="C45" s="58">
        <f>'Seismic Analysis - Braced'!G72/2</f>
        <v>20.76727884361727</v>
      </c>
      <c r="D45" s="6" t="s">
        <v>154</v>
      </c>
      <c r="F45" s="58">
        <f>'Seismic Analysis - Braced'!G74/2</f>
        <v>20.438676327511949</v>
      </c>
      <c r="G45" s="6" t="s">
        <v>154</v>
      </c>
    </row>
    <row r="46" spans="1:9" ht="15.75" thickBot="1" x14ac:dyDescent="0.3">
      <c r="A46" t="s">
        <v>165</v>
      </c>
      <c r="C46" s="60">
        <f>'Wind Analysis - M&amp;B'!E55</f>
        <v>6.4418549999999986</v>
      </c>
      <c r="D46" s="61" t="s">
        <v>154</v>
      </c>
      <c r="F46" s="60">
        <f>'Wind Analysis - M&amp;B'!F55</f>
        <v>12.883709999999997</v>
      </c>
      <c r="G46" s="61" t="s">
        <v>154</v>
      </c>
    </row>
    <row r="47" spans="1:9" ht="15.75" thickTop="1" x14ac:dyDescent="0.25">
      <c r="D47" s="6"/>
    </row>
    <row r="48" spans="1:9" x14ac:dyDescent="0.25">
      <c r="A48" s="1" t="s">
        <v>166</v>
      </c>
      <c r="C48" s="63">
        <f>SUM(C40:C46)</f>
        <v>27.209133843617266</v>
      </c>
      <c r="D48" s="6" t="s">
        <v>154</v>
      </c>
      <c r="F48" s="63">
        <f>SUM(F40:F46)</f>
        <v>33.32238632751195</v>
      </c>
      <c r="G48" s="6" t="s">
        <v>154</v>
      </c>
    </row>
    <row r="49" spans="1:9" x14ac:dyDescent="0.25">
      <c r="F49" s="206"/>
    </row>
    <row r="50" spans="1:9" ht="15.75" thickBot="1" x14ac:dyDescent="0.3">
      <c r="A50" s="54" t="s">
        <v>404</v>
      </c>
      <c r="B50" s="55"/>
      <c r="C50" s="55"/>
      <c r="D50" s="55"/>
      <c r="E50" s="55"/>
      <c r="F50" s="55"/>
      <c r="G50" s="55"/>
    </row>
    <row r="51" spans="1:9" ht="15.75" thickTop="1" x14ac:dyDescent="0.25"/>
    <row r="52" spans="1:9" ht="15.75" thickBot="1" x14ac:dyDescent="0.3">
      <c r="C52" s="261" t="s">
        <v>157</v>
      </c>
      <c r="D52" s="261"/>
      <c r="F52" s="261" t="s">
        <v>158</v>
      </c>
      <c r="G52" s="261"/>
    </row>
    <row r="53" spans="1:9" ht="15.75" thickTop="1" x14ac:dyDescent="0.25">
      <c r="A53" t="s">
        <v>167</v>
      </c>
      <c r="C53" s="38">
        <f>1.4*C40</f>
        <v>0</v>
      </c>
      <c r="D53" s="6" t="s">
        <v>154</v>
      </c>
      <c r="F53" s="38">
        <f>1.4*F40</f>
        <v>0</v>
      </c>
      <c r="G53" s="6" t="s">
        <v>154</v>
      </c>
    </row>
    <row r="54" spans="1:9" x14ac:dyDescent="0.25">
      <c r="A54" t="s">
        <v>168</v>
      </c>
      <c r="C54" s="38">
        <f>1.2*$C$40+1.6*$C$41+0.5*MAX(C42:C44)</f>
        <v>0</v>
      </c>
      <c r="D54" s="6" t="s">
        <v>154</v>
      </c>
      <c r="F54" s="38">
        <f>1.2*$F$40+1.6*$F$41+0.5*MAX(F42:F44)</f>
        <v>0</v>
      </c>
      <c r="G54" s="6" t="s">
        <v>154</v>
      </c>
    </row>
    <row r="55" spans="1:9" x14ac:dyDescent="0.25">
      <c r="A55" t="s">
        <v>169</v>
      </c>
      <c r="C55" s="38">
        <f>1.2*$C$40+1.6*MAX(C42:C44)+MAX(C41,0.5*C46)</f>
        <v>3.2209274999999993</v>
      </c>
      <c r="D55" s="6" t="s">
        <v>154</v>
      </c>
      <c r="F55" s="38">
        <f>1.2*$F$40+1.6*MAX(F42:F44)+MAX(F41,0.5*F46)</f>
        <v>6.4418549999999986</v>
      </c>
      <c r="G55" s="6" t="s">
        <v>154</v>
      </c>
    </row>
    <row r="56" spans="1:9" x14ac:dyDescent="0.25">
      <c r="A56" t="s">
        <v>170</v>
      </c>
      <c r="C56" s="38">
        <f>1.2*$C$40+1*C46+0.5*MAX(C42:C44)</f>
        <v>6.4418549999999986</v>
      </c>
      <c r="D56" s="6" t="s">
        <v>154</v>
      </c>
      <c r="F56" s="38">
        <f>1.2*$F$40+1*F46+0.5*MAX(F42:F44)</f>
        <v>12.883709999999997</v>
      </c>
      <c r="G56" s="6" t="s">
        <v>154</v>
      </c>
    </row>
    <row r="57" spans="1:9" x14ac:dyDescent="0.25">
      <c r="A57" t="s">
        <v>171</v>
      </c>
      <c r="C57" s="38">
        <f>1.2*$C$40+1*C45+0.2*C43+C41</f>
        <v>20.76727884361727</v>
      </c>
      <c r="D57" s="6" t="s">
        <v>154</v>
      </c>
      <c r="F57" s="38">
        <f>1.2*$F$40+1*F45+0.2*F43+F41</f>
        <v>20.438676327511949</v>
      </c>
      <c r="G57" s="6" t="s">
        <v>154</v>
      </c>
    </row>
    <row r="58" spans="1:9" x14ac:dyDescent="0.25">
      <c r="A58" t="s">
        <v>172</v>
      </c>
      <c r="C58" s="38">
        <f>0.9*$C$40+C46</f>
        <v>6.4418549999999986</v>
      </c>
      <c r="D58" s="6" t="s">
        <v>154</v>
      </c>
      <c r="F58" s="38">
        <f>0.9*$F$40+F46</f>
        <v>12.883709999999997</v>
      </c>
      <c r="G58" s="6" t="s">
        <v>154</v>
      </c>
    </row>
    <row r="59" spans="1:9" ht="15.75" thickBot="1" x14ac:dyDescent="0.3">
      <c r="A59" t="s">
        <v>173</v>
      </c>
      <c r="C59" s="205">
        <f>0.9*$C$40+C45</f>
        <v>20.76727884361727</v>
      </c>
      <c r="D59" s="61" t="s">
        <v>154</v>
      </c>
      <c r="F59" s="205">
        <f>0.9*$F$40+F45</f>
        <v>20.438676327511949</v>
      </c>
      <c r="G59" s="61" t="s">
        <v>154</v>
      </c>
    </row>
    <row r="60" spans="1:9" ht="15.75" thickTop="1" x14ac:dyDescent="0.25">
      <c r="C60" s="5"/>
      <c r="D60" s="6"/>
      <c r="F60" s="5"/>
      <c r="G60" s="6"/>
    </row>
    <row r="61" spans="1:9" x14ac:dyDescent="0.25">
      <c r="A61" s="1" t="s">
        <v>174</v>
      </c>
      <c r="C61" s="38">
        <f>MAX(C53:C59)</f>
        <v>20.76727884361727</v>
      </c>
      <c r="D61" s="6" t="s">
        <v>154</v>
      </c>
      <c r="F61" s="38">
        <f>MAX(F53:F59)</f>
        <v>20.438676327511949</v>
      </c>
      <c r="G61" s="6" t="s">
        <v>154</v>
      </c>
    </row>
    <row r="63" spans="1:9" ht="15.75" thickBot="1" x14ac:dyDescent="0.3">
      <c r="A63" s="207" t="s">
        <v>407</v>
      </c>
      <c r="B63" s="208"/>
      <c r="C63" s="208"/>
      <c r="D63" s="208"/>
      <c r="E63" s="208"/>
      <c r="F63" s="208"/>
      <c r="G63" s="208"/>
      <c r="H63" s="208"/>
      <c r="I63" s="208"/>
    </row>
    <row r="64" spans="1:9" ht="15.75" thickTop="1" x14ac:dyDescent="0.25">
      <c r="A64" s="1"/>
    </row>
    <row r="65" spans="1:7" ht="15.75" thickBot="1" x14ac:dyDescent="0.3">
      <c r="C65" s="261" t="s">
        <v>157</v>
      </c>
      <c r="D65" s="261"/>
      <c r="F65" s="261" t="s">
        <v>158</v>
      </c>
      <c r="G65" s="261"/>
    </row>
    <row r="66" spans="1:7" ht="15.75" thickTop="1" x14ac:dyDescent="0.25">
      <c r="A66" t="s">
        <v>159</v>
      </c>
      <c r="C66" s="58"/>
      <c r="D66" s="6" t="s">
        <v>154</v>
      </c>
      <c r="F66" s="59"/>
      <c r="G66" s="6" t="s">
        <v>154</v>
      </c>
    </row>
    <row r="67" spans="1:7" x14ac:dyDescent="0.25">
      <c r="A67" t="s">
        <v>160</v>
      </c>
      <c r="C67" s="58"/>
      <c r="D67" s="6" t="s">
        <v>154</v>
      </c>
      <c r="F67" s="59"/>
      <c r="G67" s="6" t="s">
        <v>154</v>
      </c>
    </row>
    <row r="68" spans="1:7" x14ac:dyDescent="0.25">
      <c r="A68" t="s">
        <v>161</v>
      </c>
      <c r="C68" s="58"/>
      <c r="D68" s="6" t="s">
        <v>154</v>
      </c>
      <c r="F68" s="59"/>
      <c r="G68" s="6" t="s">
        <v>154</v>
      </c>
    </row>
    <row r="69" spans="1:7" x14ac:dyDescent="0.25">
      <c r="A69" t="s">
        <v>162</v>
      </c>
      <c r="C69" s="58"/>
      <c r="D69" s="6" t="s">
        <v>154</v>
      </c>
      <c r="F69" s="59"/>
      <c r="G69" s="6" t="s">
        <v>154</v>
      </c>
    </row>
    <row r="70" spans="1:7" x14ac:dyDescent="0.25">
      <c r="A70" t="s">
        <v>163</v>
      </c>
      <c r="C70" s="58"/>
      <c r="D70" s="6" t="s">
        <v>154</v>
      </c>
      <c r="F70" s="59"/>
      <c r="G70" s="6" t="s">
        <v>154</v>
      </c>
    </row>
    <row r="71" spans="1:7" x14ac:dyDescent="0.25">
      <c r="A71" t="s">
        <v>164</v>
      </c>
      <c r="C71" s="58">
        <f>'Seismic Analysis - Moment'!G72/2</f>
        <v>17.552723329403303</v>
      </c>
      <c r="D71" s="6" t="s">
        <v>154</v>
      </c>
      <c r="F71" s="58">
        <f>'Seismic Analysis - Moment'!G74/2</f>
        <v>17.031853252364048</v>
      </c>
      <c r="G71" s="6" t="s">
        <v>154</v>
      </c>
    </row>
    <row r="72" spans="1:7" ht="15.75" thickBot="1" x14ac:dyDescent="0.3">
      <c r="A72" t="s">
        <v>165</v>
      </c>
      <c r="C72" s="60">
        <f>'Wind Analysis - M&amp;B'!E56</f>
        <v>9.7843199999999992</v>
      </c>
      <c r="D72" s="61" t="s">
        <v>154</v>
      </c>
      <c r="F72" s="60">
        <f>'Wind Analysis - M&amp;B'!F56</f>
        <v>19.568639999999998</v>
      </c>
      <c r="G72" s="61" t="s">
        <v>154</v>
      </c>
    </row>
    <row r="73" spans="1:7" ht="15.75" thickTop="1" x14ac:dyDescent="0.25">
      <c r="D73" s="6"/>
    </row>
    <row r="74" spans="1:7" x14ac:dyDescent="0.25">
      <c r="A74" s="1" t="s">
        <v>166</v>
      </c>
      <c r="C74" s="63">
        <f>SUM(C66:C72)</f>
        <v>27.337043329403301</v>
      </c>
      <c r="D74" s="6" t="s">
        <v>154</v>
      </c>
      <c r="F74" s="63">
        <f>SUM(F66:F72)</f>
        <v>36.600493252364046</v>
      </c>
      <c r="G74" s="6" t="s">
        <v>154</v>
      </c>
    </row>
    <row r="76" spans="1:7" ht="15.75" thickBot="1" x14ac:dyDescent="0.3">
      <c r="A76" s="54" t="s">
        <v>408</v>
      </c>
      <c r="B76" s="55"/>
      <c r="C76" s="55"/>
      <c r="D76" s="55"/>
      <c r="E76" s="55"/>
      <c r="F76" s="55"/>
      <c r="G76" s="55"/>
    </row>
    <row r="77" spans="1:7" ht="15.75" thickTop="1" x14ac:dyDescent="0.25"/>
    <row r="78" spans="1:7" ht="15.75" thickBot="1" x14ac:dyDescent="0.3">
      <c r="C78" s="261" t="s">
        <v>157</v>
      </c>
      <c r="D78" s="261"/>
      <c r="F78" s="261" t="s">
        <v>158</v>
      </c>
      <c r="G78" s="261"/>
    </row>
    <row r="79" spans="1:7" ht="15.75" thickTop="1" x14ac:dyDescent="0.25">
      <c r="A79" t="s">
        <v>167</v>
      </c>
      <c r="C79" s="38">
        <f>1.4*C66</f>
        <v>0</v>
      </c>
      <c r="D79" s="6" t="s">
        <v>154</v>
      </c>
      <c r="F79" s="38">
        <f>1.4*F66</f>
        <v>0</v>
      </c>
      <c r="G79" s="6" t="s">
        <v>154</v>
      </c>
    </row>
    <row r="80" spans="1:7" x14ac:dyDescent="0.25">
      <c r="A80" t="s">
        <v>168</v>
      </c>
      <c r="C80" s="38">
        <f>1.2*$C$66+1.6*$C$67+0.5*MAX(C68:C70)</f>
        <v>0</v>
      </c>
      <c r="D80" s="6" t="s">
        <v>154</v>
      </c>
      <c r="F80" s="38">
        <f>1.2*$F$66+1.6*$F$67+0.5*MAX(F68:F70)</f>
        <v>0</v>
      </c>
      <c r="G80" s="6" t="s">
        <v>154</v>
      </c>
    </row>
    <row r="81" spans="1:7" x14ac:dyDescent="0.25">
      <c r="A81" t="s">
        <v>169</v>
      </c>
      <c r="C81" s="38">
        <f>1.2*$C$66+1.6*MAX(C68:C70)+MAX(C67,0.5*C72)</f>
        <v>4.8921599999999996</v>
      </c>
      <c r="D81" s="6" t="s">
        <v>154</v>
      </c>
      <c r="F81" s="38">
        <f>1.2*$F$66+1.6*MAX(F68:F70)+MAX(F67,0.5*F72)</f>
        <v>9.7843199999999992</v>
      </c>
      <c r="G81" s="6" t="s">
        <v>154</v>
      </c>
    </row>
    <row r="82" spans="1:7" x14ac:dyDescent="0.25">
      <c r="A82" t="s">
        <v>170</v>
      </c>
      <c r="C82" s="38">
        <f>1.2*$C$66+1*C72+0.5*MAX(C68:C70)</f>
        <v>9.7843199999999992</v>
      </c>
      <c r="D82" s="6" t="s">
        <v>154</v>
      </c>
      <c r="F82" s="38">
        <f>1.2*$F$66+1*F72+0.5*MAX(F68:F70)</f>
        <v>19.568639999999998</v>
      </c>
      <c r="G82" s="6" t="s">
        <v>154</v>
      </c>
    </row>
    <row r="83" spans="1:7" x14ac:dyDescent="0.25">
      <c r="A83" t="s">
        <v>171</v>
      </c>
      <c r="C83" s="38">
        <f>1.2*$C$66+1*C71+0.2*C69+C67</f>
        <v>17.552723329403303</v>
      </c>
      <c r="D83" s="6" t="s">
        <v>154</v>
      </c>
      <c r="F83" s="38">
        <f>1.2*$F$66+1*F71+0.2*F69+F67</f>
        <v>17.031853252364048</v>
      </c>
      <c r="G83" s="6" t="s">
        <v>154</v>
      </c>
    </row>
    <row r="84" spans="1:7" x14ac:dyDescent="0.25">
      <c r="A84" t="s">
        <v>172</v>
      </c>
      <c r="C84" s="38">
        <f>0.9*$C$66+C72</f>
        <v>9.7843199999999992</v>
      </c>
      <c r="D84" s="6" t="s">
        <v>154</v>
      </c>
      <c r="F84" s="38">
        <f>0.9*$F$66+F72</f>
        <v>19.568639999999998</v>
      </c>
      <c r="G84" s="6" t="s">
        <v>154</v>
      </c>
    </row>
    <row r="85" spans="1:7" ht="15.75" thickBot="1" x14ac:dyDescent="0.3">
      <c r="A85" t="s">
        <v>173</v>
      </c>
      <c r="C85" s="205">
        <f>0.9*$C$66+C71</f>
        <v>17.552723329403303</v>
      </c>
      <c r="D85" s="61" t="s">
        <v>154</v>
      </c>
      <c r="F85" s="205">
        <f>0.9*$F$66+F71</f>
        <v>17.031853252364048</v>
      </c>
      <c r="G85" s="61" t="s">
        <v>154</v>
      </c>
    </row>
    <row r="86" spans="1:7" ht="15.75" thickTop="1" x14ac:dyDescent="0.25">
      <c r="C86" s="5"/>
      <c r="D86" s="6"/>
      <c r="F86" s="5"/>
      <c r="G86" s="6"/>
    </row>
    <row r="87" spans="1:7" x14ac:dyDescent="0.25">
      <c r="A87" s="1" t="s">
        <v>174</v>
      </c>
      <c r="C87" s="38">
        <f>MAX(C79:C85)</f>
        <v>17.552723329403303</v>
      </c>
      <c r="D87" s="6" t="s">
        <v>154</v>
      </c>
      <c r="F87" s="38">
        <f>MAX(F79:F85)</f>
        <v>19.568639999999998</v>
      </c>
      <c r="G87" s="6" t="s">
        <v>154</v>
      </c>
    </row>
  </sheetData>
  <mergeCells count="13">
    <mergeCell ref="C52:D52"/>
    <mergeCell ref="F52:G52"/>
    <mergeCell ref="C65:D65"/>
    <mergeCell ref="F65:G65"/>
    <mergeCell ref="C78:D78"/>
    <mergeCell ref="F78:G78"/>
    <mergeCell ref="C39:D39"/>
    <mergeCell ref="F39:G39"/>
    <mergeCell ref="C4:E4"/>
    <mergeCell ref="C13:D13"/>
    <mergeCell ref="F13:G13"/>
    <mergeCell ref="C26:D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Term Project&amp;C&amp;"-,Bold"Project Loads&amp;"-,Regular"
Load Summary&amp;R&amp;"-,Bold"Designed by: &amp;"-,Regular"ARGouveia
&amp;"-,Bold"Checked by:&amp;"-,Regular" ZZavalianos</oddHeader>
    <oddFooter>&amp;CSection
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view="pageLayout" topLeftCell="A4" zoomScale="85" zoomScaleNormal="100" zoomScalePageLayoutView="85" workbookViewId="0">
      <selection activeCell="F18" sqref="F18"/>
    </sheetView>
  </sheetViews>
  <sheetFormatPr defaultRowHeight="15" x14ac:dyDescent="0.25"/>
  <cols>
    <col min="1" max="1" width="4.7109375" customWidth="1"/>
    <col min="2" max="2" width="13.85546875" customWidth="1"/>
    <col min="3" max="3" width="12.140625" customWidth="1"/>
    <col min="4" max="4" width="9" customWidth="1"/>
    <col min="5" max="5" width="9.140625" customWidth="1"/>
    <col min="6" max="6" width="12" customWidth="1"/>
    <col min="7" max="7" width="10.85546875" customWidth="1"/>
    <col min="8" max="8" width="14.7109375" customWidth="1"/>
    <col min="9" max="9" width="8.7109375" customWidth="1"/>
    <col min="10" max="10" width="12.42578125" customWidth="1"/>
    <col min="11" max="11" width="12.28515625" customWidth="1"/>
    <col min="13" max="13" width="4.85546875" customWidth="1"/>
  </cols>
  <sheetData>
    <row r="1" spans="1:13" x14ac:dyDescent="0.25">
      <c r="H1" s="66" t="s">
        <v>175</v>
      </c>
      <c r="I1" s="66"/>
      <c r="J1" s="67" t="s">
        <v>176</v>
      </c>
      <c r="K1" s="68" t="s">
        <v>177</v>
      </c>
      <c r="L1" s="69"/>
      <c r="M1" s="66"/>
    </row>
    <row r="2" spans="1:13" x14ac:dyDescent="0.25">
      <c r="H2" s="70" t="s">
        <v>178</v>
      </c>
      <c r="I2" s="70"/>
      <c r="J2" s="266" t="s">
        <v>179</v>
      </c>
      <c r="K2" s="266"/>
      <c r="L2" s="71"/>
      <c r="M2" s="70"/>
    </row>
    <row r="3" spans="1:13" ht="15.75" thickBot="1" x14ac:dyDescent="0.3">
      <c r="A3" s="54" t="s">
        <v>180</v>
      </c>
      <c r="B3" s="55"/>
      <c r="C3" s="55"/>
      <c r="D3" s="55"/>
      <c r="E3" s="55"/>
      <c r="F3" s="55"/>
      <c r="G3" s="55"/>
      <c r="H3" s="65">
        <v>3</v>
      </c>
      <c r="I3" s="55"/>
      <c r="J3" s="55"/>
      <c r="K3" s="55"/>
      <c r="L3" s="72"/>
      <c r="M3" s="55"/>
    </row>
    <row r="4" spans="1:13" ht="15.75" thickTop="1" x14ac:dyDescent="0.25">
      <c r="A4" s="73"/>
      <c r="B4" s="66"/>
      <c r="C4" s="66"/>
      <c r="D4" s="66"/>
      <c r="E4" s="66"/>
      <c r="F4" s="66"/>
    </row>
    <row r="6" spans="1:13" x14ac:dyDescent="0.25">
      <c r="B6" s="74" t="s">
        <v>181</v>
      </c>
      <c r="C6" s="263" t="s">
        <v>157</v>
      </c>
      <c r="D6" s="264"/>
      <c r="E6" s="264"/>
      <c r="F6" s="264"/>
      <c r="G6" s="265"/>
      <c r="H6" s="263" t="s">
        <v>182</v>
      </c>
      <c r="I6" s="264"/>
      <c r="J6" s="264"/>
      <c r="K6" s="264"/>
      <c r="L6" s="265"/>
    </row>
    <row r="7" spans="1:13" x14ac:dyDescent="0.25">
      <c r="B7" s="75"/>
      <c r="C7" s="76" t="s">
        <v>183</v>
      </c>
      <c r="D7" s="77" t="s">
        <v>184</v>
      </c>
      <c r="E7" s="77" t="s">
        <v>185</v>
      </c>
      <c r="F7" s="77" t="s">
        <v>186</v>
      </c>
      <c r="G7" s="78" t="s">
        <v>187</v>
      </c>
      <c r="H7" s="76" t="s">
        <v>183</v>
      </c>
      <c r="I7" s="77" t="s">
        <v>184</v>
      </c>
      <c r="J7" s="77" t="s">
        <v>185</v>
      </c>
      <c r="K7" s="77" t="s">
        <v>186</v>
      </c>
      <c r="L7" s="78" t="s">
        <v>187</v>
      </c>
    </row>
    <row r="8" spans="1:13" x14ac:dyDescent="0.25">
      <c r="B8" s="79"/>
      <c r="C8" s="80"/>
      <c r="D8" s="81" t="s">
        <v>188</v>
      </c>
      <c r="E8" s="82"/>
      <c r="F8" s="81" t="s">
        <v>189</v>
      </c>
      <c r="G8" s="83" t="s">
        <v>190</v>
      </c>
      <c r="H8" s="80"/>
      <c r="I8" s="81" t="s">
        <v>188</v>
      </c>
      <c r="J8" s="81"/>
      <c r="K8" s="81" t="s">
        <v>189</v>
      </c>
      <c r="L8" s="83" t="s">
        <v>190</v>
      </c>
    </row>
    <row r="9" spans="1:13" x14ac:dyDescent="0.25">
      <c r="B9" s="84"/>
      <c r="C9" s="85"/>
      <c r="D9" s="86"/>
      <c r="E9" s="87"/>
      <c r="F9" s="88"/>
      <c r="G9" s="89"/>
      <c r="H9" s="85" t="s">
        <v>191</v>
      </c>
      <c r="I9" s="86">
        <f>'[3]Project Information'!$C$14</f>
        <v>7776</v>
      </c>
      <c r="J9" s="87" t="s">
        <v>192</v>
      </c>
      <c r="K9" s="88">
        <f>'[3]Project Information'!I69*'[3]Project Information'!C70/12</f>
        <v>7.4999999999999997E-2</v>
      </c>
      <c r="L9" s="90">
        <f t="shared" ref="L9:L14" si="0">I9*K9</f>
        <v>583.19999999999993</v>
      </c>
    </row>
    <row r="10" spans="1:13" x14ac:dyDescent="0.25">
      <c r="B10" s="84"/>
      <c r="C10" s="91"/>
      <c r="D10" s="92"/>
      <c r="E10" s="93"/>
      <c r="F10" s="92"/>
      <c r="G10" s="94"/>
      <c r="H10" s="91" t="s">
        <v>434</v>
      </c>
      <c r="I10" s="92">
        <f>'[3]Project Information'!$C$14</f>
        <v>7776</v>
      </c>
      <c r="J10" s="93" t="s">
        <v>192</v>
      </c>
      <c r="K10" s="92">
        <f>F10</f>
        <v>0</v>
      </c>
      <c r="L10" s="95">
        <f t="shared" si="0"/>
        <v>0</v>
      </c>
    </row>
    <row r="11" spans="1:13" ht="30" x14ac:dyDescent="0.25">
      <c r="B11" s="84"/>
      <c r="C11" s="96" t="s">
        <v>193</v>
      </c>
      <c r="D11" s="92">
        <f>'[3]Project Information'!$C$14</f>
        <v>7776</v>
      </c>
      <c r="E11" s="93" t="s">
        <v>192</v>
      </c>
      <c r="F11" s="92">
        <v>1E-3</v>
      </c>
      <c r="G11" s="94">
        <f>D11*F11</f>
        <v>7.7759999999999998</v>
      </c>
      <c r="H11" s="91" t="s">
        <v>194</v>
      </c>
      <c r="I11" s="92">
        <f>'[3]Project Information'!$C$14</f>
        <v>7776</v>
      </c>
      <c r="J11" s="93" t="s">
        <v>192</v>
      </c>
      <c r="K11" s="92">
        <v>0.01</v>
      </c>
      <c r="L11" s="95">
        <f t="shared" si="0"/>
        <v>77.760000000000005</v>
      </c>
    </row>
    <row r="12" spans="1:13" x14ac:dyDescent="0.25">
      <c r="B12" s="84"/>
      <c r="C12" s="91" t="s">
        <v>195</v>
      </c>
      <c r="D12" s="92">
        <f>'[3]Project Information'!$C$14</f>
        <v>7776</v>
      </c>
      <c r="E12" s="93" t="s">
        <v>192</v>
      </c>
      <c r="F12" s="92">
        <v>6.0000000000000001E-3</v>
      </c>
      <c r="G12" s="94">
        <f>D12*F12</f>
        <v>46.655999999999999</v>
      </c>
      <c r="H12" s="91" t="s">
        <v>196</v>
      </c>
      <c r="I12" s="92">
        <f>'[3]Project Information'!$C$14</f>
        <v>7776</v>
      </c>
      <c r="J12" s="93" t="s">
        <v>192</v>
      </c>
      <c r="K12" s="92">
        <v>0.01</v>
      </c>
      <c r="L12" s="95">
        <f t="shared" si="0"/>
        <v>77.760000000000005</v>
      </c>
    </row>
    <row r="13" spans="1:13" ht="30" x14ac:dyDescent="0.25">
      <c r="B13" s="84"/>
      <c r="C13" s="96" t="s">
        <v>197</v>
      </c>
      <c r="D13" s="92">
        <f>'[3]Project Information'!$C$14</f>
        <v>7776</v>
      </c>
      <c r="E13" s="93" t="s">
        <v>192</v>
      </c>
      <c r="F13" s="92">
        <v>5.0000000000000001E-3</v>
      </c>
      <c r="G13" s="94">
        <f>D13*F13</f>
        <v>38.880000000000003</v>
      </c>
      <c r="H13" s="96" t="s">
        <v>197</v>
      </c>
      <c r="I13" s="92">
        <f>'[3]Project Information'!$C$14</f>
        <v>7776</v>
      </c>
      <c r="J13" s="93" t="s">
        <v>192</v>
      </c>
      <c r="K13" s="92">
        <v>7.0000000000000001E-3</v>
      </c>
      <c r="L13" s="95">
        <f t="shared" si="0"/>
        <v>54.432000000000002</v>
      </c>
    </row>
    <row r="14" spans="1:13" x14ac:dyDescent="0.25">
      <c r="B14" s="84"/>
      <c r="C14" s="97"/>
      <c r="D14" s="98"/>
      <c r="E14" s="99"/>
      <c r="F14" s="98"/>
      <c r="G14" s="100"/>
      <c r="H14" s="101" t="s">
        <v>198</v>
      </c>
      <c r="I14" s="98">
        <f>'[3]Project Information'!$C$14</f>
        <v>7776</v>
      </c>
      <c r="J14" s="99" t="s">
        <v>192</v>
      </c>
      <c r="K14" s="98">
        <v>1.2E-2</v>
      </c>
      <c r="L14" s="102">
        <f t="shared" si="0"/>
        <v>93.311999999999998</v>
      </c>
    </row>
    <row r="15" spans="1:13" x14ac:dyDescent="0.25">
      <c r="B15" s="103" t="s">
        <v>199</v>
      </c>
      <c r="C15" s="104">
        <f>SUM(G9:G14)</f>
        <v>93.312000000000012</v>
      </c>
      <c r="D15" s="105"/>
      <c r="E15" s="105"/>
      <c r="F15" s="106">
        <f>SUM(F9:F14)</f>
        <v>1.2E-2</v>
      </c>
      <c r="G15" s="107">
        <f>SUM(G9:G14)</f>
        <v>93.312000000000012</v>
      </c>
      <c r="H15" s="104">
        <f>SUM(L9:L14)</f>
        <v>886.46399999999994</v>
      </c>
      <c r="I15" s="105"/>
      <c r="J15" s="105"/>
      <c r="K15" s="106">
        <f>SUM(K9:K14)</f>
        <v>0.11399999999999999</v>
      </c>
      <c r="L15" s="107">
        <f>SUM(L9:L14)</f>
        <v>886.46399999999994</v>
      </c>
    </row>
    <row r="16" spans="1:13" x14ac:dyDescent="0.25">
      <c r="B16" s="108" t="s">
        <v>200</v>
      </c>
      <c r="C16" s="109">
        <f>C15</f>
        <v>93.312000000000012</v>
      </c>
      <c r="D16" s="110"/>
      <c r="E16" s="110"/>
      <c r="F16" s="111"/>
      <c r="G16" s="112">
        <f>G15</f>
        <v>93.312000000000012</v>
      </c>
      <c r="H16" s="109">
        <f>H15+C15</f>
        <v>979.77599999999995</v>
      </c>
      <c r="I16" s="110"/>
      <c r="J16" s="110"/>
      <c r="K16" s="110"/>
      <c r="L16" s="113">
        <f>L15+G16</f>
        <v>979.77599999999995</v>
      </c>
    </row>
    <row r="17" spans="1:13" x14ac:dyDescent="0.25">
      <c r="B17" s="114"/>
      <c r="C17" s="115"/>
      <c r="D17" s="92"/>
      <c r="E17" s="92"/>
      <c r="F17" s="92"/>
      <c r="G17" s="114"/>
      <c r="H17" s="115"/>
      <c r="I17" s="92"/>
      <c r="J17" s="92"/>
      <c r="K17" s="92"/>
      <c r="L17" s="69"/>
    </row>
    <row r="18" spans="1:13" x14ac:dyDescent="0.25">
      <c r="B18" s="211" t="s">
        <v>435</v>
      </c>
      <c r="C18" s="115"/>
      <c r="D18" s="92"/>
      <c r="E18" s="92"/>
      <c r="F18" s="92"/>
      <c r="G18" s="114"/>
      <c r="H18" s="115"/>
      <c r="I18" s="92"/>
      <c r="J18" s="92"/>
      <c r="K18" s="92"/>
      <c r="L18" s="69"/>
    </row>
    <row r="19" spans="1:13" x14ac:dyDescent="0.25">
      <c r="B19" s="114"/>
      <c r="C19" s="115"/>
      <c r="D19" s="92"/>
      <c r="E19" s="92"/>
      <c r="F19" s="92"/>
      <c r="G19" s="114"/>
      <c r="H19" s="115"/>
      <c r="I19" s="92"/>
      <c r="J19" s="92"/>
      <c r="K19" s="92"/>
      <c r="L19" s="69"/>
    </row>
    <row r="20" spans="1:13" x14ac:dyDescent="0.25">
      <c r="B20" s="114"/>
      <c r="C20" s="115"/>
      <c r="D20" s="92"/>
      <c r="E20" s="92"/>
      <c r="F20" s="92"/>
      <c r="G20" s="114"/>
      <c r="H20" s="66" t="s">
        <v>175</v>
      </c>
      <c r="I20" s="66"/>
      <c r="J20" s="67" t="s">
        <v>176</v>
      </c>
      <c r="K20" s="68" t="s">
        <v>177</v>
      </c>
      <c r="L20" s="69"/>
      <c r="M20" s="66"/>
    </row>
    <row r="21" spans="1:13" x14ac:dyDescent="0.25">
      <c r="B21" s="114"/>
      <c r="C21" s="115"/>
      <c r="D21" s="92"/>
      <c r="E21" s="92"/>
      <c r="F21" s="92"/>
      <c r="G21" s="114"/>
      <c r="H21" s="70" t="s">
        <v>178</v>
      </c>
      <c r="I21" s="70"/>
      <c r="J21" s="266" t="s">
        <v>179</v>
      </c>
      <c r="K21" s="266"/>
      <c r="L21" s="71"/>
      <c r="M21" s="70"/>
    </row>
    <row r="22" spans="1:13" ht="15.75" thickBot="1" x14ac:dyDescent="0.3">
      <c r="A22" s="54" t="s">
        <v>201</v>
      </c>
      <c r="B22" s="55"/>
      <c r="C22" s="55"/>
      <c r="D22" s="55"/>
      <c r="E22" s="55"/>
      <c r="F22" s="55"/>
      <c r="G22" s="55"/>
      <c r="H22" s="65">
        <v>7</v>
      </c>
      <c r="I22" s="55"/>
      <c r="J22" s="55"/>
      <c r="K22" s="55"/>
      <c r="L22" s="72"/>
      <c r="M22" s="55"/>
    </row>
    <row r="23" spans="1:13" ht="15.75" thickTop="1" x14ac:dyDescent="0.25">
      <c r="B23" s="114"/>
      <c r="C23" s="115"/>
      <c r="D23" s="92"/>
      <c r="E23" s="92"/>
      <c r="F23" s="92"/>
      <c r="G23" s="114"/>
      <c r="H23" s="115"/>
      <c r="I23" s="92"/>
      <c r="J23" s="92"/>
      <c r="K23" s="92"/>
      <c r="L23" s="69"/>
    </row>
    <row r="24" spans="1:13" ht="18" x14ac:dyDescent="0.35">
      <c r="B24" t="s">
        <v>202</v>
      </c>
      <c r="D24" s="116" t="s">
        <v>203</v>
      </c>
      <c r="E24" s="117">
        <v>0.9</v>
      </c>
      <c r="F24" s="92"/>
      <c r="G24" s="114"/>
      <c r="H24" s="115"/>
      <c r="I24" s="92"/>
      <c r="J24" s="92" t="s">
        <v>204</v>
      </c>
      <c r="K24" s="118" t="s">
        <v>205</v>
      </c>
      <c r="L24" s="69"/>
    </row>
    <row r="25" spans="1:13" ht="18" x14ac:dyDescent="0.35">
      <c r="B25" t="s">
        <v>206</v>
      </c>
      <c r="D25" s="116" t="s">
        <v>207</v>
      </c>
      <c r="E25" s="117">
        <v>1</v>
      </c>
      <c r="F25" s="92"/>
      <c r="G25" s="114"/>
      <c r="H25" s="115"/>
      <c r="I25" s="92"/>
      <c r="J25" s="92" t="s">
        <v>204</v>
      </c>
      <c r="K25" s="118" t="s">
        <v>208</v>
      </c>
      <c r="L25" s="69"/>
    </row>
    <row r="26" spans="1:13" ht="18" x14ac:dyDescent="0.35">
      <c r="B26" t="s">
        <v>209</v>
      </c>
      <c r="D26" s="116" t="s">
        <v>210</v>
      </c>
      <c r="E26" s="117">
        <v>1</v>
      </c>
      <c r="F26" s="92"/>
      <c r="G26" s="114"/>
      <c r="H26" s="1"/>
      <c r="I26" s="92"/>
      <c r="J26" s="92" t="s">
        <v>204</v>
      </c>
      <c r="K26" s="118" t="s">
        <v>211</v>
      </c>
      <c r="L26" s="69"/>
    </row>
    <row r="27" spans="1:13" ht="18" x14ac:dyDescent="0.35">
      <c r="B27" t="s">
        <v>212</v>
      </c>
      <c r="D27" s="116" t="s">
        <v>213</v>
      </c>
      <c r="E27" s="117">
        <v>65</v>
      </c>
      <c r="F27" s="119" t="s">
        <v>154</v>
      </c>
      <c r="G27" s="69"/>
      <c r="I27" s="92"/>
      <c r="J27" s="92" t="s">
        <v>570</v>
      </c>
      <c r="K27" s="118" t="s">
        <v>571</v>
      </c>
      <c r="L27" s="69"/>
    </row>
    <row r="28" spans="1:13" x14ac:dyDescent="0.25">
      <c r="L28" s="69"/>
    </row>
    <row r="29" spans="1:13" ht="18" x14ac:dyDescent="0.35">
      <c r="B29" s="1" t="s">
        <v>215</v>
      </c>
      <c r="D29" s="116" t="s">
        <v>216</v>
      </c>
      <c r="E29" s="117">
        <f>0.7*E24*E25*E26*E27</f>
        <v>40.950000000000003</v>
      </c>
      <c r="F29" s="119" t="s">
        <v>154</v>
      </c>
      <c r="G29" s="69"/>
      <c r="I29" s="92"/>
      <c r="J29" s="92" t="s">
        <v>217</v>
      </c>
      <c r="K29" s="118" t="s">
        <v>218</v>
      </c>
      <c r="L29" s="69"/>
    </row>
    <row r="30" spans="1:13" x14ac:dyDescent="0.25">
      <c r="B30" s="1"/>
      <c r="D30" s="116"/>
      <c r="E30" s="66"/>
      <c r="F30" s="119"/>
      <c r="G30" s="69"/>
      <c r="H30" s="66" t="s">
        <v>175</v>
      </c>
      <c r="I30" s="66"/>
      <c r="J30" s="67" t="s">
        <v>176</v>
      </c>
      <c r="K30" s="68" t="s">
        <v>177</v>
      </c>
      <c r="L30" s="69"/>
      <c r="M30" s="66"/>
    </row>
    <row r="31" spans="1:13" x14ac:dyDescent="0.25">
      <c r="A31" s="66"/>
      <c r="B31" s="66"/>
      <c r="C31" s="66"/>
      <c r="D31" s="66"/>
      <c r="E31" s="66"/>
      <c r="F31" s="66"/>
      <c r="G31" s="66"/>
      <c r="H31" s="70" t="s">
        <v>178</v>
      </c>
      <c r="I31" s="70"/>
      <c r="J31" s="266" t="s">
        <v>179</v>
      </c>
      <c r="K31" s="266"/>
      <c r="L31" s="71"/>
      <c r="M31" s="70"/>
    </row>
    <row r="32" spans="1:13" ht="15.75" thickBot="1" x14ac:dyDescent="0.3">
      <c r="A32" s="54" t="s">
        <v>219</v>
      </c>
      <c r="B32" s="55"/>
      <c r="C32" s="55"/>
      <c r="D32" s="55"/>
      <c r="E32" s="55"/>
      <c r="F32" s="55"/>
      <c r="G32" s="55"/>
      <c r="H32" s="65">
        <v>12</v>
      </c>
      <c r="I32" s="55"/>
      <c r="J32" s="55"/>
      <c r="K32" s="55"/>
      <c r="L32" s="72"/>
      <c r="M32" s="55"/>
    </row>
    <row r="33" spans="2:14" ht="15.75" thickTop="1" x14ac:dyDescent="0.25"/>
    <row r="34" spans="2:14" x14ac:dyDescent="0.25">
      <c r="B34" s="1" t="s">
        <v>220</v>
      </c>
      <c r="D34" s="120">
        <f>'[3]Project Information'!I18</f>
        <v>2</v>
      </c>
    </row>
    <row r="35" spans="2:14" x14ac:dyDescent="0.25">
      <c r="B35" s="121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spans="2:14" x14ac:dyDescent="0.25">
      <c r="B36" s="123" t="s">
        <v>181</v>
      </c>
      <c r="C36" s="263" t="s">
        <v>157</v>
      </c>
      <c r="D36" s="264"/>
      <c r="E36" s="264"/>
      <c r="F36" s="264"/>
      <c r="G36" s="265"/>
      <c r="H36" s="263" t="s">
        <v>182</v>
      </c>
      <c r="I36" s="264"/>
      <c r="J36" s="264"/>
      <c r="K36" s="264"/>
      <c r="L36" s="265"/>
      <c r="M36" s="122"/>
      <c r="N36" s="122"/>
    </row>
    <row r="37" spans="2:14" x14ac:dyDescent="0.25">
      <c r="B37" s="124"/>
      <c r="C37" s="76" t="s">
        <v>183</v>
      </c>
      <c r="D37" s="77" t="s">
        <v>184</v>
      </c>
      <c r="E37" s="77" t="s">
        <v>185</v>
      </c>
      <c r="F37" s="77" t="s">
        <v>186</v>
      </c>
      <c r="G37" s="78" t="s">
        <v>187</v>
      </c>
      <c r="H37" s="76" t="s">
        <v>183</v>
      </c>
      <c r="I37" s="77" t="s">
        <v>184</v>
      </c>
      <c r="J37" s="77" t="s">
        <v>185</v>
      </c>
      <c r="K37" s="77" t="s">
        <v>186</v>
      </c>
      <c r="L37" s="78" t="s">
        <v>187</v>
      </c>
      <c r="M37" s="122"/>
      <c r="N37" s="122"/>
    </row>
    <row r="38" spans="2:14" x14ac:dyDescent="0.25">
      <c r="B38" s="125"/>
      <c r="C38" s="80"/>
      <c r="D38" s="81" t="s">
        <v>188</v>
      </c>
      <c r="E38" s="82"/>
      <c r="F38" s="81" t="s">
        <v>189</v>
      </c>
      <c r="G38" s="83" t="s">
        <v>190</v>
      </c>
      <c r="H38" s="80"/>
      <c r="I38" s="81" t="s">
        <v>188</v>
      </c>
      <c r="J38" s="81"/>
      <c r="K38" s="81" t="s">
        <v>189</v>
      </c>
      <c r="L38" s="83" t="s">
        <v>190</v>
      </c>
      <c r="M38" s="122"/>
      <c r="N38" s="122"/>
    </row>
    <row r="39" spans="2:14" x14ac:dyDescent="0.25">
      <c r="B39" s="91"/>
      <c r="C39" s="85"/>
      <c r="D39" s="86"/>
      <c r="E39" s="87"/>
      <c r="F39" s="88"/>
      <c r="G39" s="89"/>
      <c r="H39" s="85" t="s">
        <v>191</v>
      </c>
      <c r="I39" s="86">
        <f>'[3]Project Information'!$C$14</f>
        <v>7776</v>
      </c>
      <c r="J39" s="87" t="s">
        <v>192</v>
      </c>
      <c r="K39" s="88">
        <f>'[3]Project Information'!I69*'[3]Project Information'!C70/12</f>
        <v>7.4999999999999997E-2</v>
      </c>
      <c r="L39" s="90">
        <f t="shared" ref="L39:L44" si="1">I39*K39</f>
        <v>583.19999999999993</v>
      </c>
      <c r="M39" s="122"/>
      <c r="N39" s="122"/>
    </row>
    <row r="40" spans="2:14" x14ac:dyDescent="0.25">
      <c r="B40" s="91"/>
      <c r="C40" s="91" t="s">
        <v>124</v>
      </c>
      <c r="D40" s="92">
        <f>'[3]Project Information'!$C$14</f>
        <v>7776</v>
      </c>
      <c r="E40" s="93" t="s">
        <v>192</v>
      </c>
      <c r="F40" s="92">
        <f>F10</f>
        <v>0</v>
      </c>
      <c r="G40" s="95">
        <f>D40*F40</f>
        <v>0</v>
      </c>
      <c r="H40" s="91" t="s">
        <v>124</v>
      </c>
      <c r="I40" s="92">
        <f>'[3]Project Information'!$C$14</f>
        <v>7776</v>
      </c>
      <c r="J40" s="93" t="s">
        <v>192</v>
      </c>
      <c r="K40" s="92">
        <f>F40</f>
        <v>0</v>
      </c>
      <c r="L40" s="95">
        <f t="shared" si="1"/>
        <v>0</v>
      </c>
      <c r="M40" s="122"/>
      <c r="N40" s="122"/>
    </row>
    <row r="41" spans="2:14" ht="30" x14ac:dyDescent="0.25">
      <c r="B41" s="91"/>
      <c r="C41" s="96" t="s">
        <v>193</v>
      </c>
      <c r="D41" s="92">
        <f>'[3]Project Information'!$C$14</f>
        <v>7776</v>
      </c>
      <c r="E41" s="93" t="s">
        <v>192</v>
      </c>
      <c r="F41" s="92">
        <v>1E-3</v>
      </c>
      <c r="G41" s="95">
        <f>D41*F41</f>
        <v>7.7759999999999998</v>
      </c>
      <c r="H41" s="91" t="s">
        <v>194</v>
      </c>
      <c r="I41" s="92">
        <f>'[3]Project Information'!$C$14</f>
        <v>7776</v>
      </c>
      <c r="J41" s="93" t="s">
        <v>192</v>
      </c>
      <c r="K41" s="92">
        <v>0.01</v>
      </c>
      <c r="L41" s="95">
        <f t="shared" si="1"/>
        <v>77.760000000000005</v>
      </c>
      <c r="M41" s="122"/>
      <c r="N41" s="122"/>
    </row>
    <row r="42" spans="2:14" x14ac:dyDescent="0.25">
      <c r="B42" s="91"/>
      <c r="C42" s="91" t="s">
        <v>195</v>
      </c>
      <c r="D42" s="92">
        <f>'[3]Project Information'!$C$14</f>
        <v>7776</v>
      </c>
      <c r="E42" s="93" t="s">
        <v>192</v>
      </c>
      <c r="F42" s="92">
        <v>6.0000000000000001E-3</v>
      </c>
      <c r="G42" s="95">
        <f>D42*F42</f>
        <v>46.655999999999999</v>
      </c>
      <c r="H42" s="91" t="s">
        <v>196</v>
      </c>
      <c r="I42" s="92">
        <f>'[3]Project Information'!$C$14</f>
        <v>7776</v>
      </c>
      <c r="J42" s="93" t="s">
        <v>192</v>
      </c>
      <c r="K42" s="92">
        <v>0.01</v>
      </c>
      <c r="L42" s="95">
        <f t="shared" si="1"/>
        <v>77.760000000000005</v>
      </c>
      <c r="M42" s="122"/>
      <c r="N42" s="122"/>
    </row>
    <row r="43" spans="2:14" ht="30" x14ac:dyDescent="0.25">
      <c r="B43" s="91"/>
      <c r="C43" s="96" t="s">
        <v>197</v>
      </c>
      <c r="D43" s="92">
        <f>'[3]Project Information'!$C$14</f>
        <v>7776</v>
      </c>
      <c r="E43" s="93" t="s">
        <v>192</v>
      </c>
      <c r="F43" s="92">
        <v>5.0000000000000001E-3</v>
      </c>
      <c r="G43" s="95">
        <f>D43*F43</f>
        <v>38.880000000000003</v>
      </c>
      <c r="H43" s="96" t="s">
        <v>197</v>
      </c>
      <c r="I43" s="92">
        <f>'[3]Project Information'!$C$14</f>
        <v>7776</v>
      </c>
      <c r="J43" s="93" t="s">
        <v>192</v>
      </c>
      <c r="K43" s="92">
        <v>7.0000000000000001E-3</v>
      </c>
      <c r="L43" s="95">
        <f t="shared" si="1"/>
        <v>54.432000000000002</v>
      </c>
      <c r="M43" s="122"/>
      <c r="N43" s="122"/>
    </row>
    <row r="44" spans="2:14" x14ac:dyDescent="0.25">
      <c r="B44" s="91"/>
      <c r="C44" s="101" t="s">
        <v>148</v>
      </c>
      <c r="D44" s="98">
        <f>'[3]Project Information'!$C$14</f>
        <v>7776</v>
      </c>
      <c r="E44" s="99" t="s">
        <v>192</v>
      </c>
      <c r="F44" s="98">
        <f>E29/1000</f>
        <v>4.095E-2</v>
      </c>
      <c r="G44" s="102">
        <f>D44*F44</f>
        <v>318.42720000000003</v>
      </c>
      <c r="H44" s="91" t="s">
        <v>198</v>
      </c>
      <c r="I44" s="92">
        <f>'[3]Project Information'!$C$14</f>
        <v>7776</v>
      </c>
      <c r="J44" s="93" t="s">
        <v>192</v>
      </c>
      <c r="K44" s="92">
        <v>1.2E-2</v>
      </c>
      <c r="L44" s="95">
        <f t="shared" si="1"/>
        <v>93.311999999999998</v>
      </c>
      <c r="M44" s="122"/>
      <c r="N44" s="122"/>
    </row>
    <row r="45" spans="2:14" x14ac:dyDescent="0.25">
      <c r="B45" s="85" t="s">
        <v>199</v>
      </c>
      <c r="C45" s="126">
        <f>SUM(G39:G44)</f>
        <v>411.73920000000004</v>
      </c>
      <c r="D45" s="92"/>
      <c r="E45" s="92"/>
      <c r="F45" s="92"/>
      <c r="G45" s="127">
        <f>SUM(G39:G44)</f>
        <v>411.73920000000004</v>
      </c>
      <c r="H45" s="128">
        <f>SUM(L39:L44)</f>
        <v>886.46399999999994</v>
      </c>
      <c r="I45" s="86"/>
      <c r="J45" s="86"/>
      <c r="K45" s="86"/>
      <c r="L45" s="129">
        <f>SUM(L39:L44)</f>
        <v>886.46399999999994</v>
      </c>
      <c r="M45" s="122"/>
      <c r="N45" s="122"/>
    </row>
    <row r="46" spans="2:14" x14ac:dyDescent="0.25">
      <c r="B46" s="101" t="s">
        <v>200</v>
      </c>
      <c r="C46" s="130">
        <f>C45</f>
        <v>411.73920000000004</v>
      </c>
      <c r="D46" s="98"/>
      <c r="E46" s="98"/>
      <c r="F46" s="98"/>
      <c r="G46" s="131">
        <f>G45</f>
        <v>411.73920000000004</v>
      </c>
      <c r="H46" s="132">
        <f>H45+C45</f>
        <v>1298.2031999999999</v>
      </c>
      <c r="I46" s="98"/>
      <c r="J46" s="98"/>
      <c r="K46" s="98"/>
      <c r="L46" s="131">
        <f>L45+G46</f>
        <v>1298.2031999999999</v>
      </c>
      <c r="M46" s="122"/>
      <c r="N46" s="122"/>
    </row>
    <row r="47" spans="2:14" x14ac:dyDescent="0.25">
      <c r="B47" s="133" t="s">
        <v>221</v>
      </c>
      <c r="C47" s="122"/>
      <c r="D47" s="122"/>
      <c r="E47" s="122"/>
      <c r="F47" s="122"/>
      <c r="G47" s="122">
        <v>107</v>
      </c>
      <c r="H47" s="122"/>
      <c r="I47" s="122"/>
      <c r="J47" s="122"/>
      <c r="K47" s="122"/>
      <c r="L47" s="122">
        <v>58</v>
      </c>
      <c r="M47" s="122"/>
      <c r="N47" s="122"/>
    </row>
    <row r="48" spans="2:14" x14ac:dyDescent="0.25">
      <c r="B48" s="133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</row>
  </sheetData>
  <mergeCells count="7">
    <mergeCell ref="C36:G36"/>
    <mergeCell ref="H36:L36"/>
    <mergeCell ref="J2:K2"/>
    <mergeCell ref="C6:G6"/>
    <mergeCell ref="H6:L6"/>
    <mergeCell ref="J21:K21"/>
    <mergeCell ref="J31:K31"/>
  </mergeCells>
  <pageMargins left="0.25" right="0.85784313725490191" top="0.75" bottom="0.75" header="0.3" footer="0.3"/>
  <pageSetup paperSize="9" orientation="landscape" r:id="rId1"/>
  <headerFooter>
    <oddHeader>&amp;L&amp;"-,Bold"14.551 Advanced Steel Design
Homework #3&amp;C&amp;"-,Bold"Load Calculations&amp;R&amp;"-,Bold"Designed by:&amp;"-,Regular" ARGouveia&amp;"-,Bold"
Checked by: &amp;"-,Regular"ZZavalianos</oddHeader>
    <oddFooter>&amp;CSection
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view="pageLayout" topLeftCell="A43" zoomScale="85" zoomScalePageLayoutView="85" workbookViewId="0">
      <selection activeCell="D37" sqref="D37"/>
    </sheetView>
  </sheetViews>
  <sheetFormatPr defaultColWidth="8.85546875" defaultRowHeight="15" x14ac:dyDescent="0.25"/>
  <cols>
    <col min="1" max="1" width="1.85546875" customWidth="1"/>
    <col min="2" max="2" width="1" customWidth="1"/>
    <col min="3" max="3" width="13.85546875" customWidth="1"/>
    <col min="4" max="4" width="12.140625" customWidth="1"/>
    <col min="5" max="5" width="9" customWidth="1"/>
    <col min="6" max="6" width="9.140625" customWidth="1"/>
    <col min="7" max="7" width="8.28515625" customWidth="1"/>
    <col min="8" max="8" width="6.42578125" customWidth="1"/>
    <col min="9" max="9" width="8.42578125" customWidth="1"/>
    <col min="10" max="10" width="9.5703125" customWidth="1"/>
    <col min="11" max="11" width="9.7109375" customWidth="1"/>
    <col min="12" max="12" width="5.85546875" customWidth="1"/>
    <col min="13" max="13" width="1.42578125" customWidth="1"/>
    <col min="14" max="14" width="0.7109375" customWidth="1"/>
  </cols>
  <sheetData>
    <row r="1" spans="2:15" ht="15.75" thickBot="1" x14ac:dyDescent="0.3">
      <c r="B1" s="54" t="s">
        <v>436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66"/>
      <c r="O1" s="122"/>
    </row>
    <row r="2" spans="2:15" ht="15.75" thickTop="1" x14ac:dyDescent="0.25">
      <c r="B2" s="73"/>
      <c r="C2" s="66"/>
      <c r="D2" s="66"/>
      <c r="E2" s="66"/>
      <c r="F2" s="66"/>
      <c r="G2" s="66"/>
      <c r="H2" s="66"/>
      <c r="I2" s="67"/>
      <c r="J2" s="66"/>
      <c r="K2" s="66"/>
      <c r="L2" s="66"/>
      <c r="M2" s="69"/>
      <c r="N2" s="66"/>
      <c r="O2" s="122"/>
    </row>
    <row r="3" spans="2:15" x14ac:dyDescent="0.25">
      <c r="C3" s="114"/>
      <c r="D3" s="115"/>
      <c r="E3" s="92"/>
      <c r="F3" s="92"/>
      <c r="G3" s="92"/>
      <c r="H3" s="114"/>
      <c r="O3" s="122"/>
    </row>
    <row r="4" spans="2:15" x14ac:dyDescent="0.25">
      <c r="C4" s="137"/>
      <c r="D4" s="137"/>
      <c r="E4" s="137"/>
      <c r="F4" s="138"/>
      <c r="G4" s="137"/>
      <c r="I4" s="66" t="s">
        <v>175</v>
      </c>
      <c r="K4" s="139" t="s">
        <v>176</v>
      </c>
      <c r="L4" s="68" t="s">
        <v>177</v>
      </c>
      <c r="O4" s="122"/>
    </row>
    <row r="5" spans="2:15" x14ac:dyDescent="0.25">
      <c r="I5" s="70" t="s">
        <v>178</v>
      </c>
      <c r="J5" s="70"/>
      <c r="K5" s="210" t="s">
        <v>179</v>
      </c>
      <c r="L5" s="210"/>
      <c r="O5" s="122"/>
    </row>
    <row r="6" spans="2:15" ht="15.75" thickBot="1" x14ac:dyDescent="0.3">
      <c r="C6" s="54" t="s">
        <v>334</v>
      </c>
      <c r="D6" s="54"/>
      <c r="E6" s="54"/>
      <c r="F6" s="55"/>
      <c r="G6" s="55"/>
      <c r="H6" s="55"/>
      <c r="I6" s="140" t="s">
        <v>335</v>
      </c>
      <c r="O6" s="122"/>
    </row>
    <row r="7" spans="2:15" ht="15.75" thickTop="1" x14ac:dyDescent="0.25">
      <c r="I7" s="141"/>
      <c r="O7" s="122"/>
    </row>
    <row r="8" spans="2:15" ht="18" x14ac:dyDescent="0.35">
      <c r="C8" s="33" t="s">
        <v>336</v>
      </c>
      <c r="E8" s="116" t="s">
        <v>367</v>
      </c>
      <c r="F8" s="120">
        <f>'[4]Project Information'!D17</f>
        <v>30</v>
      </c>
      <c r="G8" s="6" t="s">
        <v>19</v>
      </c>
      <c r="I8" s="151" t="s">
        <v>287</v>
      </c>
      <c r="O8" s="122"/>
    </row>
    <row r="9" spans="2:15" ht="18" x14ac:dyDescent="0.35">
      <c r="C9" s="33" t="s">
        <v>337</v>
      </c>
      <c r="E9" s="116" t="s">
        <v>286</v>
      </c>
      <c r="F9" s="120">
        <f>F8/2</f>
        <v>15</v>
      </c>
      <c r="G9" s="6" t="s">
        <v>19</v>
      </c>
      <c r="I9" s="151"/>
      <c r="J9" s="148"/>
      <c r="O9" s="122"/>
    </row>
    <row r="10" spans="2:15" x14ac:dyDescent="0.25">
      <c r="C10" s="209" t="s">
        <v>359</v>
      </c>
      <c r="E10" s="116" t="s">
        <v>361</v>
      </c>
      <c r="F10" s="59">
        <f>'[4]Project Information'!D15+'[4]Project Information'!J13</f>
        <v>112</v>
      </c>
      <c r="G10" s="6" t="s">
        <v>19</v>
      </c>
      <c r="I10" s="141"/>
      <c r="O10" s="122"/>
    </row>
    <row r="11" spans="2:15" x14ac:dyDescent="0.25">
      <c r="C11" s="209" t="s">
        <v>360</v>
      </c>
      <c r="E11" s="116" t="s">
        <v>362</v>
      </c>
      <c r="F11" s="59">
        <f>'[4]Project Information'!G15+'[4]Project Information'!J13</f>
        <v>76</v>
      </c>
      <c r="G11" s="6" t="s">
        <v>19</v>
      </c>
      <c r="I11" s="141"/>
      <c r="O11" s="122"/>
    </row>
    <row r="12" spans="2:15" x14ac:dyDescent="0.25">
      <c r="C12" s="209" t="s">
        <v>380</v>
      </c>
      <c r="E12" s="116"/>
      <c r="F12" s="48">
        <v>2</v>
      </c>
      <c r="G12" s="6"/>
      <c r="I12" s="141"/>
      <c r="O12" s="122"/>
    </row>
    <row r="13" spans="2:15" x14ac:dyDescent="0.25">
      <c r="C13" s="209" t="s">
        <v>381</v>
      </c>
      <c r="F13" s="48">
        <v>2</v>
      </c>
      <c r="I13" s="141"/>
      <c r="O13" s="122"/>
    </row>
    <row r="14" spans="2:15" x14ac:dyDescent="0.25">
      <c r="H14" s="66"/>
      <c r="I14" s="141"/>
      <c r="O14" s="122"/>
    </row>
    <row r="15" spans="2:15" ht="15.75" thickBot="1" x14ac:dyDescent="0.3">
      <c r="C15" s="54" t="s">
        <v>338</v>
      </c>
      <c r="D15" s="54"/>
      <c r="E15" s="54"/>
      <c r="F15" s="55"/>
      <c r="G15" s="55"/>
      <c r="H15" s="55"/>
      <c r="I15" s="140">
        <v>26.4</v>
      </c>
      <c r="O15" s="122"/>
    </row>
    <row r="16" spans="2:15" ht="15.75" thickTop="1" x14ac:dyDescent="0.25">
      <c r="O16" s="122"/>
    </row>
    <row r="17" spans="3:15" x14ac:dyDescent="0.25">
      <c r="C17" t="s">
        <v>265</v>
      </c>
      <c r="F17" s="120" t="str">
        <f>'[4]Project Information'!D5</f>
        <v>B</v>
      </c>
      <c r="I17" s="30"/>
      <c r="K17" t="s">
        <v>204</v>
      </c>
      <c r="L17" s="147" t="s">
        <v>266</v>
      </c>
      <c r="O17" s="122"/>
    </row>
    <row r="18" spans="3:15" x14ac:dyDescent="0.25">
      <c r="C18" s="33" t="s">
        <v>339</v>
      </c>
      <c r="D18" s="1"/>
      <c r="F18" s="2" t="s">
        <v>3</v>
      </c>
      <c r="L18" s="141" t="s">
        <v>340</v>
      </c>
      <c r="O18" s="122"/>
    </row>
    <row r="19" spans="3:15" x14ac:dyDescent="0.25">
      <c r="C19" s="33" t="s">
        <v>341</v>
      </c>
      <c r="D19" s="1"/>
      <c r="F19" s="2" t="s">
        <v>9</v>
      </c>
      <c r="L19" s="141" t="s">
        <v>340</v>
      </c>
      <c r="O19" s="122"/>
    </row>
    <row r="20" spans="3:15" x14ac:dyDescent="0.25">
      <c r="O20" s="122"/>
    </row>
    <row r="21" spans="3:15" ht="15.75" thickBot="1" x14ac:dyDescent="0.3">
      <c r="C21" s="54" t="s">
        <v>342</v>
      </c>
      <c r="D21" s="54"/>
      <c r="E21" s="54"/>
      <c r="F21" s="55"/>
      <c r="G21" s="55"/>
      <c r="H21" s="55"/>
      <c r="I21" s="140">
        <v>26.5</v>
      </c>
      <c r="O21" s="122"/>
    </row>
    <row r="22" spans="3:15" ht="15.75" thickTop="1" x14ac:dyDescent="0.25">
      <c r="N22" s="122"/>
      <c r="O22" s="122"/>
    </row>
    <row r="23" spans="3:15" x14ac:dyDescent="0.25">
      <c r="C23" s="33" t="s">
        <v>343</v>
      </c>
      <c r="E23" s="116" t="s">
        <v>344</v>
      </c>
      <c r="F23" s="2">
        <v>120</v>
      </c>
      <c r="G23" s="6" t="s">
        <v>345</v>
      </c>
      <c r="I23" s="190">
        <v>26.5</v>
      </c>
      <c r="K23" t="s">
        <v>214</v>
      </c>
      <c r="L23" t="s">
        <v>346</v>
      </c>
      <c r="N23" s="122"/>
      <c r="O23" s="122"/>
    </row>
    <row r="24" spans="3:15" x14ac:dyDescent="0.25">
      <c r="C24" s="33"/>
      <c r="E24" s="116"/>
      <c r="F24" s="151"/>
      <c r="G24" s="6"/>
      <c r="I24" s="151"/>
      <c r="N24" s="122"/>
      <c r="O24" s="122"/>
    </row>
    <row r="25" spans="3:15" ht="18" x14ac:dyDescent="0.35">
      <c r="C25" s="33" t="s">
        <v>347</v>
      </c>
      <c r="E25" s="116" t="s">
        <v>348</v>
      </c>
      <c r="F25" s="2">
        <v>22.8</v>
      </c>
      <c r="G25" s="6" t="s">
        <v>154</v>
      </c>
      <c r="H25" s="212"/>
      <c r="I25" s="151"/>
      <c r="K25" t="s">
        <v>214</v>
      </c>
      <c r="L25" t="s">
        <v>363</v>
      </c>
      <c r="N25" s="122"/>
      <c r="O25" s="122"/>
    </row>
    <row r="26" spans="3:15" ht="18" x14ac:dyDescent="0.35">
      <c r="C26" s="33" t="s">
        <v>349</v>
      </c>
      <c r="E26" s="116" t="s">
        <v>348</v>
      </c>
      <c r="F26" s="2">
        <v>15.1</v>
      </c>
      <c r="G26" s="6" t="s">
        <v>154</v>
      </c>
      <c r="I26" s="151"/>
      <c r="K26" t="s">
        <v>214</v>
      </c>
      <c r="L26" t="s">
        <v>363</v>
      </c>
      <c r="N26" s="122"/>
      <c r="O26" s="122"/>
    </row>
    <row r="27" spans="3:15" ht="18" x14ac:dyDescent="0.35">
      <c r="C27" s="33"/>
      <c r="E27" s="116" t="s">
        <v>350</v>
      </c>
      <c r="F27" s="3">
        <f>0.1*F11</f>
        <v>7.6000000000000005</v>
      </c>
      <c r="G27" s="6" t="s">
        <v>19</v>
      </c>
      <c r="I27" s="148" t="s">
        <v>364</v>
      </c>
      <c r="N27" s="122"/>
      <c r="O27" s="122"/>
    </row>
    <row r="28" spans="3:15" ht="18" x14ac:dyDescent="0.35">
      <c r="C28" s="33"/>
      <c r="E28" s="116" t="s">
        <v>351</v>
      </c>
      <c r="F28" s="3">
        <f>0.4*F8</f>
        <v>12</v>
      </c>
      <c r="G28" s="6" t="s">
        <v>19</v>
      </c>
      <c r="I28" s="148" t="s">
        <v>366</v>
      </c>
      <c r="N28" s="122"/>
      <c r="O28" s="122"/>
    </row>
    <row r="29" spans="3:15" x14ac:dyDescent="0.25">
      <c r="C29" s="33"/>
      <c r="E29" s="116" t="s">
        <v>352</v>
      </c>
      <c r="F29" s="3">
        <f>MIN(F27:F28)</f>
        <v>7.6000000000000005</v>
      </c>
      <c r="G29" s="6" t="s">
        <v>19</v>
      </c>
      <c r="I29" s="148" t="s">
        <v>365</v>
      </c>
      <c r="N29" s="122"/>
      <c r="O29" s="122"/>
    </row>
    <row r="30" spans="3:15" x14ac:dyDescent="0.25">
      <c r="C30" s="33"/>
      <c r="E30" s="116" t="s">
        <v>353</v>
      </c>
      <c r="F30" s="3">
        <f>2*F29</f>
        <v>15.200000000000001</v>
      </c>
      <c r="G30" s="6" t="s">
        <v>19</v>
      </c>
      <c r="I30" s="151"/>
      <c r="N30" s="122"/>
      <c r="O30" s="122"/>
    </row>
    <row r="31" spans="3:15" ht="18" x14ac:dyDescent="0.35">
      <c r="C31" s="1" t="s">
        <v>368</v>
      </c>
      <c r="E31" s="116"/>
      <c r="G31" s="6"/>
      <c r="I31" s="151"/>
      <c r="N31" s="122"/>
      <c r="O31" s="122"/>
    </row>
    <row r="32" spans="3:15" x14ac:dyDescent="0.25">
      <c r="C32" s="33" t="s">
        <v>354</v>
      </c>
      <c r="E32" s="116"/>
      <c r="F32" s="192">
        <f>$F$25*($F$30/F10)+$F$26*((F10-$F$30)/F10)</f>
        <v>16.145</v>
      </c>
      <c r="G32" s="6" t="s">
        <v>154</v>
      </c>
      <c r="I32" s="151"/>
      <c r="N32" s="122"/>
      <c r="O32" s="122"/>
    </row>
    <row r="33" spans="3:15" x14ac:dyDescent="0.25">
      <c r="C33" s="33" t="s">
        <v>355</v>
      </c>
      <c r="E33" s="116"/>
      <c r="F33" s="192">
        <f>$F$25*($F$30/F11)+$F$26*((F11-$F$30)/F11)</f>
        <v>16.64</v>
      </c>
      <c r="G33" s="6" t="s">
        <v>154</v>
      </c>
      <c r="I33" s="151"/>
      <c r="N33" s="122"/>
      <c r="O33" s="122"/>
    </row>
    <row r="34" spans="3:15" x14ac:dyDescent="0.25">
      <c r="F34" s="6"/>
      <c r="G34" s="6"/>
      <c r="I34" s="151"/>
      <c r="N34" s="122"/>
      <c r="O34" s="122"/>
    </row>
    <row r="35" spans="3:15" ht="15.75" thickBot="1" x14ac:dyDescent="0.3">
      <c r="C35" s="54" t="s">
        <v>371</v>
      </c>
      <c r="D35" s="54"/>
      <c r="E35" s="54"/>
      <c r="F35" s="55"/>
      <c r="G35" s="55"/>
      <c r="H35" s="55"/>
      <c r="I35" s="140">
        <v>26.8</v>
      </c>
      <c r="N35" s="122"/>
      <c r="O35" s="122"/>
    </row>
    <row r="36" spans="3:15" ht="15.75" thickTop="1" x14ac:dyDescent="0.25">
      <c r="C36" s="73"/>
      <c r="D36" s="73"/>
      <c r="E36" s="73"/>
      <c r="F36" s="66"/>
      <c r="G36" s="66"/>
      <c r="H36" s="66"/>
      <c r="I36" s="139"/>
      <c r="N36" s="122"/>
      <c r="O36" s="122"/>
    </row>
    <row r="37" spans="3:15" x14ac:dyDescent="0.25">
      <c r="C37" s="33" t="s">
        <v>356</v>
      </c>
      <c r="E37" s="116" t="s">
        <v>357</v>
      </c>
      <c r="F37" s="2">
        <v>1.4</v>
      </c>
      <c r="G37" s="6"/>
      <c r="I37" s="151"/>
      <c r="K37" t="s">
        <v>214</v>
      </c>
      <c r="L37" t="s">
        <v>363</v>
      </c>
    </row>
    <row r="38" spans="3:15" ht="18" x14ac:dyDescent="0.35">
      <c r="C38" s="33"/>
      <c r="E38" s="116" t="s">
        <v>358</v>
      </c>
      <c r="F38" s="2">
        <v>1</v>
      </c>
      <c r="G38" s="6"/>
      <c r="I38" s="151">
        <v>26.8</v>
      </c>
    </row>
    <row r="39" spans="3:15" ht="18" x14ac:dyDescent="0.35">
      <c r="C39" s="209" t="s">
        <v>370</v>
      </c>
      <c r="E39" s="116"/>
      <c r="F39" s="192">
        <f>$F$37*$F$38*F32</f>
        <v>22.602999999999998</v>
      </c>
      <c r="G39" s="6" t="s">
        <v>303</v>
      </c>
      <c r="I39" s="151"/>
    </row>
    <row r="40" spans="3:15" ht="18" x14ac:dyDescent="0.35">
      <c r="C40" s="209" t="s">
        <v>369</v>
      </c>
      <c r="E40" s="116"/>
      <c r="F40" s="192">
        <f>$F$37*$F$38*F33</f>
        <v>23.295999999999999</v>
      </c>
      <c r="G40" s="6" t="s">
        <v>303</v>
      </c>
      <c r="I40" s="151"/>
    </row>
    <row r="41" spans="3:15" x14ac:dyDescent="0.25">
      <c r="C41" s="209"/>
      <c r="E41" s="116"/>
      <c r="F41" s="192"/>
      <c r="G41" s="6"/>
      <c r="I41" s="151"/>
    </row>
    <row r="44" spans="3:15" ht="15.75" thickBot="1" x14ac:dyDescent="0.3">
      <c r="C44" s="54" t="s">
        <v>372</v>
      </c>
      <c r="D44" s="54"/>
      <c r="E44" s="54"/>
      <c r="F44" s="55"/>
      <c r="G44" s="55"/>
      <c r="H44" s="55"/>
      <c r="I44" s="140">
        <v>26.8</v>
      </c>
    </row>
    <row r="45" spans="3:15" ht="15.75" thickTop="1" x14ac:dyDescent="0.25">
      <c r="C45" s="73"/>
      <c r="D45" s="73"/>
      <c r="E45" s="73"/>
      <c r="F45" s="66"/>
      <c r="G45" s="66"/>
      <c r="H45" s="66"/>
      <c r="I45" s="139"/>
    </row>
    <row r="46" spans="3:15" ht="18" x14ac:dyDescent="0.35">
      <c r="C46" s="1" t="s">
        <v>157</v>
      </c>
      <c r="E46" s="116" t="s">
        <v>374</v>
      </c>
      <c r="F46" s="192">
        <f>$F$39*$F$11*$F$9/(2000)</f>
        <v>12.883709999999997</v>
      </c>
      <c r="G46" s="6" t="s">
        <v>303</v>
      </c>
      <c r="I46" s="151"/>
      <c r="K46" t="s">
        <v>214</v>
      </c>
      <c r="L46" t="s">
        <v>363</v>
      </c>
    </row>
    <row r="47" spans="3:15" ht="18" x14ac:dyDescent="0.35">
      <c r="C47" s="33"/>
      <c r="E47" s="116" t="s">
        <v>375</v>
      </c>
      <c r="F47" s="192">
        <f>$F$40*$F$10*$F$9/(2000)</f>
        <v>19.568639999999998</v>
      </c>
      <c r="G47" s="6" t="s">
        <v>303</v>
      </c>
      <c r="I47" s="151">
        <v>26.8</v>
      </c>
    </row>
    <row r="48" spans="3:15" ht="18" x14ac:dyDescent="0.35">
      <c r="C48" s="149" t="s">
        <v>373</v>
      </c>
      <c r="E48" s="116" t="s">
        <v>374</v>
      </c>
      <c r="F48" s="192">
        <f>$F$39*$F$11*$F$9/(1000)</f>
        <v>25.767419999999994</v>
      </c>
      <c r="G48" s="6" t="s">
        <v>303</v>
      </c>
      <c r="I48" s="151"/>
    </row>
    <row r="49" spans="3:12" ht="18" x14ac:dyDescent="0.35">
      <c r="C49" s="209"/>
      <c r="E49" s="116" t="s">
        <v>375</v>
      </c>
      <c r="F49" s="192">
        <f>$F$40*$F$10*$F$9/(1000)</f>
        <v>39.137279999999997</v>
      </c>
      <c r="G49" s="6" t="s">
        <v>303</v>
      </c>
      <c r="I49" s="151"/>
    </row>
    <row r="50" spans="3:12" x14ac:dyDescent="0.25">
      <c r="C50" s="209"/>
      <c r="E50" s="116"/>
      <c r="F50" s="192"/>
      <c r="G50" s="6"/>
      <c r="I50" s="151"/>
    </row>
    <row r="52" spans="3:12" ht="15.75" thickBot="1" x14ac:dyDescent="0.3">
      <c r="C52" s="54" t="s">
        <v>382</v>
      </c>
      <c r="D52" s="54"/>
      <c r="E52" s="54"/>
      <c r="F52" s="55"/>
      <c r="G52" s="55"/>
      <c r="H52" s="55"/>
      <c r="I52" s="140"/>
    </row>
    <row r="53" spans="3:12" ht="15.75" thickTop="1" x14ac:dyDescent="0.25">
      <c r="C53" s="73"/>
      <c r="D53" s="73"/>
      <c r="E53" s="73"/>
      <c r="F53" s="66"/>
      <c r="G53" s="66"/>
      <c r="H53" s="66"/>
      <c r="I53" s="139"/>
    </row>
    <row r="54" spans="3:12" ht="15.75" thickBot="1" x14ac:dyDescent="0.3">
      <c r="C54" s="66"/>
      <c r="D54" s="66"/>
      <c r="E54" s="194" t="s">
        <v>157</v>
      </c>
      <c r="F54" s="194" t="s">
        <v>373</v>
      </c>
      <c r="I54" s="151"/>
    </row>
    <row r="55" spans="3:12" ht="15.75" thickTop="1" x14ac:dyDescent="0.25">
      <c r="C55" s="1" t="s">
        <v>376</v>
      </c>
      <c r="D55" s="7" t="s">
        <v>378</v>
      </c>
      <c r="E55" s="25">
        <f>F46/$F$12</f>
        <v>6.4418549999999986</v>
      </c>
      <c r="F55" s="25">
        <f>F48/$F$12</f>
        <v>12.883709999999997</v>
      </c>
      <c r="G55" s="6" t="s">
        <v>303</v>
      </c>
      <c r="I55" s="151"/>
    </row>
    <row r="56" spans="3:12" x14ac:dyDescent="0.25">
      <c r="C56" s="149" t="s">
        <v>377</v>
      </c>
      <c r="D56" s="7" t="s">
        <v>379</v>
      </c>
      <c r="E56" s="25">
        <f>F47/$F$13</f>
        <v>9.7843199999999992</v>
      </c>
      <c r="F56" s="25">
        <f>F49/$F$13</f>
        <v>19.568639999999998</v>
      </c>
      <c r="G56" s="6" t="s">
        <v>303</v>
      </c>
      <c r="I56" s="151"/>
    </row>
    <row r="57" spans="3:12" x14ac:dyDescent="0.25">
      <c r="C57" s="149"/>
      <c r="D57" s="7"/>
      <c r="E57" s="25"/>
      <c r="F57" s="25"/>
      <c r="G57" s="6"/>
      <c r="I57" s="151"/>
    </row>
    <row r="58" spans="3:12" x14ac:dyDescent="0.25">
      <c r="C58" s="209"/>
      <c r="I58" s="151"/>
    </row>
    <row r="59" spans="3:12" ht="15.75" thickBot="1" x14ac:dyDescent="0.3">
      <c r="C59" s="54" t="s">
        <v>383</v>
      </c>
      <c r="D59" s="54"/>
      <c r="E59" s="54"/>
      <c r="F59" s="55"/>
      <c r="G59" s="55"/>
      <c r="H59" s="55"/>
      <c r="I59" s="140"/>
    </row>
    <row r="60" spans="3:12" ht="15.75" thickTop="1" x14ac:dyDescent="0.25">
      <c r="C60" s="73"/>
      <c r="D60" s="73"/>
      <c r="E60" s="73"/>
      <c r="F60" s="66"/>
      <c r="G60" s="66"/>
      <c r="H60" s="66"/>
      <c r="I60" s="139"/>
    </row>
    <row r="61" spans="3:12" ht="18" x14ac:dyDescent="0.35">
      <c r="E61" s="116" t="s">
        <v>384</v>
      </c>
      <c r="F61" s="48">
        <v>-27.4</v>
      </c>
      <c r="G61" s="193" t="s">
        <v>154</v>
      </c>
      <c r="K61" t="s">
        <v>214</v>
      </c>
      <c r="L61" t="s">
        <v>363</v>
      </c>
    </row>
    <row r="62" spans="3:12" ht="18" x14ac:dyDescent="0.35">
      <c r="E62" s="116" t="s">
        <v>385</v>
      </c>
      <c r="F62" s="48">
        <v>-15.6</v>
      </c>
      <c r="G62" s="193" t="s">
        <v>154</v>
      </c>
      <c r="K62" t="s">
        <v>214</v>
      </c>
      <c r="L62" t="s">
        <v>363</v>
      </c>
    </row>
    <row r="63" spans="3:12" ht="18" x14ac:dyDescent="0.35">
      <c r="E63" s="116" t="s">
        <v>386</v>
      </c>
      <c r="F63" s="48">
        <v>-19.100000000000001</v>
      </c>
      <c r="G63" s="193" t="s">
        <v>154</v>
      </c>
      <c r="K63" t="s">
        <v>214</v>
      </c>
      <c r="L63" t="s">
        <v>363</v>
      </c>
    </row>
    <row r="64" spans="3:12" ht="18" x14ac:dyDescent="0.35">
      <c r="E64" s="116" t="s">
        <v>387</v>
      </c>
      <c r="F64" s="48">
        <v>-12.1</v>
      </c>
      <c r="G64" s="193" t="s">
        <v>154</v>
      </c>
      <c r="K64" t="s">
        <v>214</v>
      </c>
      <c r="L64" t="s">
        <v>363</v>
      </c>
    </row>
    <row r="65" spans="3:10" x14ac:dyDescent="0.25">
      <c r="F65" s="5"/>
      <c r="G65" s="193"/>
    </row>
    <row r="66" spans="3:10" ht="18" x14ac:dyDescent="0.35">
      <c r="E66" s="116" t="s">
        <v>391</v>
      </c>
      <c r="F66" s="5">
        <f>F61*$F$37*$F$38</f>
        <v>-38.359999999999992</v>
      </c>
      <c r="G66" s="193" t="s">
        <v>154</v>
      </c>
    </row>
    <row r="67" spans="3:10" ht="18" x14ac:dyDescent="0.35">
      <c r="E67" s="116" t="s">
        <v>388</v>
      </c>
      <c r="F67" s="5">
        <f>F62*$F$37*$F$38</f>
        <v>-21.84</v>
      </c>
      <c r="G67" s="193" t="s">
        <v>154</v>
      </c>
    </row>
    <row r="68" spans="3:10" ht="18" x14ac:dyDescent="0.35">
      <c r="E68" s="116" t="s">
        <v>389</v>
      </c>
      <c r="F68" s="5">
        <f>F63*$F$37*$F$38</f>
        <v>-26.740000000000002</v>
      </c>
      <c r="G68" s="193" t="s">
        <v>154</v>
      </c>
    </row>
    <row r="69" spans="3:10" ht="18" x14ac:dyDescent="0.35">
      <c r="E69" s="116" t="s">
        <v>390</v>
      </c>
      <c r="F69" s="5">
        <f>F64*$F$37*$F$38</f>
        <v>-16.939999999999998</v>
      </c>
      <c r="G69" s="193" t="s">
        <v>154</v>
      </c>
    </row>
    <row r="70" spans="3:10" x14ac:dyDescent="0.25">
      <c r="E70" s="116"/>
      <c r="F70" s="5"/>
      <c r="G70" s="193"/>
      <c r="J70" s="213"/>
    </row>
    <row r="71" spans="3:10" x14ac:dyDescent="0.25">
      <c r="E71" s="116"/>
      <c r="F71" s="5"/>
      <c r="G71" s="193"/>
    </row>
    <row r="73" spans="3:10" ht="15.75" thickBot="1" x14ac:dyDescent="0.3">
      <c r="C73" s="54" t="s">
        <v>392</v>
      </c>
      <c r="D73" s="54"/>
      <c r="E73" s="54"/>
      <c r="F73" s="55"/>
      <c r="G73" s="55"/>
      <c r="H73" s="55"/>
      <c r="I73" s="140"/>
    </row>
    <row r="74" spans="3:10" ht="15.75" thickTop="1" x14ac:dyDescent="0.25">
      <c r="C74" s="73"/>
      <c r="D74" s="73"/>
      <c r="E74" s="73"/>
      <c r="F74" s="66"/>
      <c r="G74" s="66"/>
      <c r="H74" s="66"/>
      <c r="I74" s="139"/>
    </row>
    <row r="75" spans="3:10" ht="15.75" x14ac:dyDescent="0.25">
      <c r="E75" s="116" t="s">
        <v>393</v>
      </c>
      <c r="F75" s="5">
        <f>$F$30*$F$11/2</f>
        <v>577.6</v>
      </c>
      <c r="G75" s="6" t="s">
        <v>17</v>
      </c>
    </row>
    <row r="76" spans="3:10" ht="15.75" x14ac:dyDescent="0.25">
      <c r="E76" s="116" t="s">
        <v>394</v>
      </c>
      <c r="F76" s="5">
        <f>F75</f>
        <v>577.6</v>
      </c>
      <c r="G76" s="6" t="s">
        <v>17</v>
      </c>
    </row>
    <row r="77" spans="3:10" ht="15.75" x14ac:dyDescent="0.25">
      <c r="E77" s="116" t="s">
        <v>395</v>
      </c>
      <c r="F77" s="5">
        <f>(($F$10-$F$30)*$F$11)/2</f>
        <v>3678.4</v>
      </c>
      <c r="G77" s="6" t="s">
        <v>17</v>
      </c>
    </row>
    <row r="78" spans="3:10" ht="15.75" x14ac:dyDescent="0.25">
      <c r="E78" s="116" t="s">
        <v>396</v>
      </c>
      <c r="F78" s="5">
        <f>F77</f>
        <v>3678.4</v>
      </c>
      <c r="G78" s="6" t="s">
        <v>17</v>
      </c>
    </row>
    <row r="79" spans="3:10" ht="15.75" x14ac:dyDescent="0.25">
      <c r="E79" s="116" t="s">
        <v>397</v>
      </c>
      <c r="F79" s="5">
        <f>($F$10*$F$11)</f>
        <v>8512</v>
      </c>
      <c r="G79" s="6" t="s">
        <v>17</v>
      </c>
    </row>
    <row r="80" spans="3:10" x14ac:dyDescent="0.25">
      <c r="E80" s="116"/>
      <c r="F80" s="5"/>
      <c r="G80" s="6"/>
    </row>
    <row r="81" spans="3:9" ht="15" customHeight="1" x14ac:dyDescent="0.25">
      <c r="C81" s="267" t="s">
        <v>398</v>
      </c>
      <c r="D81" s="267"/>
      <c r="E81" s="267"/>
      <c r="F81" s="25">
        <f>(F75/$F$79)*F66+(F76/$F$79)*F67+(F77/$F$79)*F68+(F78/$F$79)*F69</f>
        <v>-22.961000000000002</v>
      </c>
      <c r="G81" s="193" t="s">
        <v>154</v>
      </c>
    </row>
    <row r="82" spans="3:9" x14ac:dyDescent="0.25">
      <c r="C82" s="267"/>
      <c r="D82" s="267"/>
      <c r="E82" s="267"/>
    </row>
    <row r="95" spans="3:9" ht="15.75" thickBot="1" x14ac:dyDescent="0.3">
      <c r="C95" s="54" t="s">
        <v>401</v>
      </c>
      <c r="D95" s="54"/>
      <c r="E95" s="54"/>
      <c r="F95" s="55"/>
      <c r="G95" s="55"/>
      <c r="H95" s="55"/>
      <c r="I95" s="140"/>
    </row>
    <row r="96" spans="3:9" ht="15.75" thickTop="1" x14ac:dyDescent="0.25">
      <c r="C96" s="73"/>
      <c r="D96" s="73"/>
      <c r="E96" s="73"/>
      <c r="F96" s="66"/>
      <c r="G96" s="66"/>
      <c r="H96" s="66"/>
      <c r="I96" s="139"/>
    </row>
    <row r="97" spans="3:9" ht="15.75" x14ac:dyDescent="0.25">
      <c r="E97" s="116" t="s">
        <v>393</v>
      </c>
      <c r="F97" s="5">
        <f>$F$30*$F$10/2</f>
        <v>851.2</v>
      </c>
      <c r="G97" s="6" t="s">
        <v>17</v>
      </c>
    </row>
    <row r="98" spans="3:9" ht="15.75" x14ac:dyDescent="0.25">
      <c r="C98" s="213"/>
      <c r="E98" s="116" t="s">
        <v>394</v>
      </c>
      <c r="F98" s="7">
        <f>F97</f>
        <v>851.2</v>
      </c>
      <c r="G98" s="6" t="s">
        <v>17</v>
      </c>
    </row>
    <row r="99" spans="3:9" ht="15.75" x14ac:dyDescent="0.25">
      <c r="E99" s="116" t="s">
        <v>395</v>
      </c>
      <c r="F99" s="5">
        <f>(($F$11-$F$30)*$F$10)/2</f>
        <v>3404.7999999999997</v>
      </c>
      <c r="G99" s="6" t="s">
        <v>17</v>
      </c>
    </row>
    <row r="100" spans="3:9" ht="15.75" x14ac:dyDescent="0.25">
      <c r="E100" s="116" t="s">
        <v>396</v>
      </c>
      <c r="F100" s="5">
        <f>F99</f>
        <v>3404.7999999999997</v>
      </c>
      <c r="G100" s="6" t="s">
        <v>17</v>
      </c>
    </row>
    <row r="101" spans="3:9" ht="15.75" x14ac:dyDescent="0.25">
      <c r="E101" s="116" t="s">
        <v>397</v>
      </c>
      <c r="F101" s="5">
        <f>($F$10*$F$11)</f>
        <v>8512</v>
      </c>
      <c r="G101" s="6" t="s">
        <v>17</v>
      </c>
    </row>
    <row r="102" spans="3:9" x14ac:dyDescent="0.25">
      <c r="E102" s="116"/>
      <c r="F102" s="5"/>
      <c r="G102" s="6"/>
    </row>
    <row r="103" spans="3:9" x14ac:dyDescent="0.25">
      <c r="C103" s="267" t="s">
        <v>399</v>
      </c>
      <c r="D103" s="267"/>
      <c r="E103" s="267"/>
      <c r="F103" s="25">
        <f>(F97/$F$101)*F66+(F98/$F$101)*F67+(F99/$F$101)*F68+(F100/$F$101)*F69</f>
        <v>-23.492000000000001</v>
      </c>
      <c r="G103" s="193" t="s">
        <v>154</v>
      </c>
    </row>
    <row r="104" spans="3:9" x14ac:dyDescent="0.25">
      <c r="C104" s="267"/>
      <c r="D104" s="267"/>
      <c r="E104" s="267"/>
    </row>
    <row r="106" spans="3:9" ht="15.75" thickBot="1" x14ac:dyDescent="0.3">
      <c r="C106" s="54" t="s">
        <v>400</v>
      </c>
      <c r="D106" s="54"/>
      <c r="E106" s="54"/>
      <c r="F106" s="55"/>
      <c r="G106" s="55"/>
      <c r="H106" s="55"/>
      <c r="I106" s="140"/>
    </row>
    <row r="107" spans="3:9" ht="15.75" thickTop="1" x14ac:dyDescent="0.25"/>
    <row r="108" spans="3:9" x14ac:dyDescent="0.25">
      <c r="C108" t="s">
        <v>402</v>
      </c>
      <c r="F108" s="25">
        <f>MIN(F103,F81)</f>
        <v>-23.492000000000001</v>
      </c>
      <c r="G108" s="193" t="s">
        <v>154</v>
      </c>
      <c r="I108" t="s">
        <v>403</v>
      </c>
    </row>
  </sheetData>
  <mergeCells count="2">
    <mergeCell ref="C81:E82"/>
    <mergeCell ref="C103:E104"/>
  </mergeCells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#3&amp;C&amp;"-,Bold"Wind Load Analysis&amp;"-,Regular"
Moment and Braced-Frame&amp;R&amp;"-,Bold"Ana Gouveia
&amp;D</oddHeader>
    <oddFooter>&amp;C&amp;"-,Bold"Section A-4&amp;"-,Regular"
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topLeftCell="A9" zoomScaleNormal="100" workbookViewId="0">
      <selection activeCell="E15" sqref="E15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222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223</v>
      </c>
      <c r="C3" s="135"/>
      <c r="D3" s="268" t="s">
        <v>224</v>
      </c>
      <c r="E3" s="268"/>
      <c r="F3" s="268"/>
      <c r="G3" s="268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66" t="s">
        <v>179</v>
      </c>
      <c r="J6" s="266"/>
    </row>
    <row r="7" spans="2:10" ht="15.75" thickBot="1" x14ac:dyDescent="0.3">
      <c r="B7" s="54" t="s">
        <v>225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'[3]Project Information'!C8</f>
        <v>C</v>
      </c>
      <c r="E9" t="str">
        <f>IF(D11&lt;=0.15,IF(D12&lt;0.04,"CLASS A",""),"")</f>
        <v/>
      </c>
      <c r="G9" s="141" t="s">
        <v>226</v>
      </c>
      <c r="I9" t="s">
        <v>227</v>
      </c>
    </row>
    <row r="10" spans="2:10" x14ac:dyDescent="0.25">
      <c r="B10" s="1" t="s">
        <v>228</v>
      </c>
      <c r="C10" s="1"/>
      <c r="D10" s="1"/>
    </row>
    <row r="11" spans="2:10" ht="18" x14ac:dyDescent="0.35">
      <c r="C11" s="116" t="s">
        <v>229</v>
      </c>
      <c r="D11" s="142">
        <v>0.25</v>
      </c>
      <c r="G11" t="s">
        <v>230</v>
      </c>
      <c r="I11" t="s">
        <v>231</v>
      </c>
      <c r="J11" t="s">
        <v>232</v>
      </c>
    </row>
    <row r="12" spans="2:10" ht="18" x14ac:dyDescent="0.35">
      <c r="C12" s="116" t="s">
        <v>233</v>
      </c>
      <c r="D12" s="2">
        <v>7.6999999999999999E-2</v>
      </c>
      <c r="G12" t="s">
        <v>230</v>
      </c>
      <c r="I12" t="s">
        <v>231</v>
      </c>
      <c r="J12" t="s">
        <v>232</v>
      </c>
    </row>
    <row r="13" spans="2:10" x14ac:dyDescent="0.25">
      <c r="B13" s="1" t="s">
        <v>234</v>
      </c>
      <c r="C13" s="1"/>
      <c r="D13" s="1"/>
    </row>
    <row r="14" spans="2:10" ht="18" x14ac:dyDescent="0.35">
      <c r="C14" s="116" t="s">
        <v>235</v>
      </c>
      <c r="D14" s="142">
        <v>1.2</v>
      </c>
      <c r="G14" t="s">
        <v>236</v>
      </c>
      <c r="I14" t="s">
        <v>204</v>
      </c>
      <c r="J14" t="s">
        <v>237</v>
      </c>
    </row>
    <row r="15" spans="2:10" ht="18" x14ac:dyDescent="0.35">
      <c r="C15" s="116" t="s">
        <v>238</v>
      </c>
      <c r="D15" s="142">
        <v>1.7</v>
      </c>
      <c r="G15" t="s">
        <v>236</v>
      </c>
      <c r="I15" t="s">
        <v>204</v>
      </c>
      <c r="J15" t="s">
        <v>239</v>
      </c>
    </row>
    <row r="16" spans="2:10" ht="18" x14ac:dyDescent="0.35">
      <c r="C16" s="116" t="s">
        <v>240</v>
      </c>
      <c r="D16" s="143">
        <f>D14*D11</f>
        <v>0.3</v>
      </c>
      <c r="G16" t="s">
        <v>236</v>
      </c>
      <c r="I16" t="s">
        <v>217</v>
      </c>
      <c r="J16" t="s">
        <v>237</v>
      </c>
    </row>
    <row r="17" spans="2:10" ht="18" x14ac:dyDescent="0.35">
      <c r="C17" s="116" t="s">
        <v>241</v>
      </c>
      <c r="D17" s="143">
        <f>D15*D12</f>
        <v>0.13089999999999999</v>
      </c>
      <c r="G17" t="s">
        <v>236</v>
      </c>
      <c r="I17" t="s">
        <v>217</v>
      </c>
      <c r="J17" t="s">
        <v>239</v>
      </c>
    </row>
    <row r="18" spans="2:10" x14ac:dyDescent="0.25">
      <c r="B18" s="1" t="s">
        <v>242</v>
      </c>
      <c r="C18" s="1"/>
      <c r="D18" s="1"/>
    </row>
    <row r="19" spans="2:10" ht="18" x14ac:dyDescent="0.35">
      <c r="C19" s="116" t="s">
        <v>243</v>
      </c>
      <c r="D19" s="3">
        <f>(2/3)*(D16)</f>
        <v>0.19999999999999998</v>
      </c>
      <c r="G19" t="s">
        <v>244</v>
      </c>
      <c r="I19" t="s">
        <v>217</v>
      </c>
      <c r="J19" t="s">
        <v>245</v>
      </c>
    </row>
    <row r="20" spans="2:10" ht="18" x14ac:dyDescent="0.35">
      <c r="C20" s="116" t="s">
        <v>246</v>
      </c>
      <c r="D20" s="144">
        <f>(2/3)*(D17)</f>
        <v>8.7266666666666659E-2</v>
      </c>
      <c r="G20" t="s">
        <v>244</v>
      </c>
      <c r="I20" t="s">
        <v>217</v>
      </c>
      <c r="J20" t="s">
        <v>247</v>
      </c>
    </row>
    <row r="21" spans="2:10" x14ac:dyDescent="0.25">
      <c r="B21" s="1" t="s">
        <v>248</v>
      </c>
      <c r="C21" s="1"/>
    </row>
    <row r="22" spans="2:10" ht="18" x14ac:dyDescent="0.35">
      <c r="C22" s="116" t="s">
        <v>249</v>
      </c>
      <c r="D22" s="143">
        <f>(0.2)*$D$20/$D$19</f>
        <v>8.7266666666666659E-2</v>
      </c>
      <c r="E22" s="6" t="s">
        <v>250</v>
      </c>
      <c r="G22" t="s">
        <v>251</v>
      </c>
    </row>
    <row r="23" spans="2:10" ht="18" x14ac:dyDescent="0.35">
      <c r="C23" s="116" t="s">
        <v>252</v>
      </c>
      <c r="D23" s="143">
        <f>$D$20/$D$19</f>
        <v>0.43633333333333335</v>
      </c>
      <c r="E23" s="6" t="s">
        <v>250</v>
      </c>
      <c r="G23" t="s">
        <v>251</v>
      </c>
    </row>
    <row r="24" spans="2:10" ht="18" x14ac:dyDescent="0.35">
      <c r="B24" t="s">
        <v>253</v>
      </c>
      <c r="D24" s="2">
        <v>6</v>
      </c>
      <c r="E24" s="6" t="s">
        <v>250</v>
      </c>
      <c r="F24" s="116"/>
      <c r="G24" t="s">
        <v>251</v>
      </c>
      <c r="I24" t="s">
        <v>231</v>
      </c>
      <c r="J24" t="s">
        <v>254</v>
      </c>
    </row>
    <row r="25" spans="2:10" x14ac:dyDescent="0.25">
      <c r="C25" s="116" t="s">
        <v>255</v>
      </c>
      <c r="D25" s="145">
        <f>1.4*D52</f>
        <v>0.53838162805925482</v>
      </c>
      <c r="E25" s="6" t="s">
        <v>250</v>
      </c>
      <c r="G25" t="s">
        <v>256</v>
      </c>
    </row>
    <row r="26" spans="2:10" ht="18" x14ac:dyDescent="0.35">
      <c r="B26" s="24"/>
      <c r="C26" s="116" t="s">
        <v>257</v>
      </c>
      <c r="D26" s="5" t="str">
        <f>IF(D25&lt;D22,D19*(0.4+0.6*D25/D22),"")</f>
        <v/>
      </c>
      <c r="G26" t="s">
        <v>251</v>
      </c>
      <c r="I26" t="s">
        <v>217</v>
      </c>
      <c r="J26" t="s">
        <v>258</v>
      </c>
    </row>
    <row r="27" spans="2:10" ht="18" x14ac:dyDescent="0.35">
      <c r="C27" s="116" t="s">
        <v>259</v>
      </c>
      <c r="D27" s="5" t="str">
        <f>IF(D25&lt;D23,IF(D22&lt;D25,D19,""),"")</f>
        <v/>
      </c>
      <c r="G27" t="s">
        <v>251</v>
      </c>
    </row>
    <row r="28" spans="2:10" ht="18" x14ac:dyDescent="0.35">
      <c r="C28" s="116" t="s">
        <v>260</v>
      </c>
      <c r="D28" s="146">
        <f>IF(D25&lt;D24,IF(D23&lt;D25,D20/D25,""),"")</f>
        <v>0.1620907217455459</v>
      </c>
      <c r="G28" t="s">
        <v>251</v>
      </c>
      <c r="I28" t="s">
        <v>217</v>
      </c>
      <c r="J28" t="s">
        <v>261</v>
      </c>
    </row>
    <row r="29" spans="2:10" ht="18.75" x14ac:dyDescent="0.35">
      <c r="C29" s="116" t="s">
        <v>262</v>
      </c>
      <c r="D29" s="5" t="str">
        <f>IF(D25&gt;D24,D20*D24/(D25^2),"")</f>
        <v/>
      </c>
      <c r="G29" t="s">
        <v>251</v>
      </c>
      <c r="I29" t="s">
        <v>217</v>
      </c>
      <c r="J29" t="s">
        <v>263</v>
      </c>
    </row>
    <row r="31" spans="2:10" ht="15.75" thickBot="1" x14ac:dyDescent="0.3">
      <c r="B31" s="54" t="s">
        <v>264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265</v>
      </c>
      <c r="D33" s="120" t="str">
        <f>'[3]Project Information'!C7</f>
        <v>II</v>
      </c>
      <c r="I33" t="s">
        <v>204</v>
      </c>
      <c r="J33" s="147" t="s">
        <v>266</v>
      </c>
    </row>
    <row r="34" spans="2:10" x14ac:dyDescent="0.25">
      <c r="B34" t="s">
        <v>10</v>
      </c>
      <c r="D34" s="3">
        <f>VLOOKUP(D33,[3]Tables!A11:B14,2,FALSE)</f>
        <v>1</v>
      </c>
      <c r="I34" t="s">
        <v>204</v>
      </c>
      <c r="J34" t="s">
        <v>267</v>
      </c>
    </row>
    <row r="36" spans="2:10" ht="15.75" thickBot="1" x14ac:dyDescent="0.3">
      <c r="B36" s="54" t="s">
        <v>268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269</v>
      </c>
      <c r="D38" s="2" t="s">
        <v>3</v>
      </c>
      <c r="I38" t="s">
        <v>204</v>
      </c>
      <c r="J38" t="s">
        <v>270</v>
      </c>
    </row>
    <row r="39" spans="2:10" x14ac:dyDescent="0.25">
      <c r="B39" t="s">
        <v>271</v>
      </c>
      <c r="D39" s="2" t="s">
        <v>3</v>
      </c>
      <c r="I39" t="s">
        <v>204</v>
      </c>
      <c r="J39" t="s">
        <v>272</v>
      </c>
    </row>
    <row r="40" spans="2:10" x14ac:dyDescent="0.25">
      <c r="B40" s="116" t="s">
        <v>273</v>
      </c>
      <c r="C40" s="116"/>
      <c r="D40" s="31" t="str">
        <f>IF(D38=D39,D38,"UPDATE")</f>
        <v>B</v>
      </c>
      <c r="G40" s="148" t="s">
        <v>274</v>
      </c>
    </row>
    <row r="42" spans="2:10" ht="15.75" thickBot="1" x14ac:dyDescent="0.3">
      <c r="B42" s="54" t="s">
        <v>275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276</v>
      </c>
      <c r="C44" s="116"/>
      <c r="D44" s="2">
        <v>3.25</v>
      </c>
      <c r="G44" t="s">
        <v>277</v>
      </c>
      <c r="I44" t="s">
        <v>204</v>
      </c>
      <c r="J44" t="s">
        <v>278</v>
      </c>
    </row>
    <row r="45" spans="2:10" ht="18" x14ac:dyDescent="0.35">
      <c r="B45" s="116" t="s">
        <v>279</v>
      </c>
      <c r="C45" s="116"/>
      <c r="D45" s="2">
        <v>2</v>
      </c>
      <c r="G45" t="s">
        <v>277</v>
      </c>
      <c r="I45" t="s">
        <v>204</v>
      </c>
      <c r="J45" t="s">
        <v>278</v>
      </c>
    </row>
    <row r="46" spans="2:10" ht="18" x14ac:dyDescent="0.35">
      <c r="B46" s="116" t="s">
        <v>280</v>
      </c>
      <c r="C46" s="116"/>
      <c r="D46" s="2">
        <v>3.25</v>
      </c>
      <c r="G46" t="s">
        <v>277</v>
      </c>
      <c r="I46" t="s">
        <v>204</v>
      </c>
      <c r="J46" t="s">
        <v>278</v>
      </c>
    </row>
    <row r="48" spans="2:10" ht="18" x14ac:dyDescent="0.35">
      <c r="B48" s="149" t="s">
        <v>281</v>
      </c>
      <c r="C48" s="149"/>
      <c r="D48" s="149"/>
      <c r="G48" t="s">
        <v>282</v>
      </c>
    </row>
    <row r="49" spans="2:10" ht="18" x14ac:dyDescent="0.35">
      <c r="C49" s="116" t="s">
        <v>207</v>
      </c>
      <c r="D49" s="120">
        <f>VLOOKUP($D$3,[3]Tables!$A$29:$C$32,2,FALSE)</f>
        <v>0.03</v>
      </c>
      <c r="G49" s="150" t="s">
        <v>283</v>
      </c>
      <c r="I49" t="s">
        <v>204</v>
      </c>
      <c r="J49" t="s">
        <v>284</v>
      </c>
    </row>
    <row r="50" spans="2:10" x14ac:dyDescent="0.25">
      <c r="C50" s="116" t="s">
        <v>285</v>
      </c>
      <c r="D50" s="120">
        <f>VLOOKUP($D$3,[3]Tables!$A$29:$C$32,3,FALSE)</f>
        <v>0.75</v>
      </c>
      <c r="I50" t="s">
        <v>204</v>
      </c>
      <c r="J50" t="s">
        <v>284</v>
      </c>
    </row>
    <row r="51" spans="2:10" ht="18" x14ac:dyDescent="0.35">
      <c r="C51" s="116" t="s">
        <v>286</v>
      </c>
      <c r="D51" s="120">
        <f>'[3]Project Information'!C17</f>
        <v>30</v>
      </c>
      <c r="E51" s="6" t="s">
        <v>19</v>
      </c>
      <c r="G51" s="151" t="s">
        <v>287</v>
      </c>
    </row>
    <row r="52" spans="2:10" ht="18.75" x14ac:dyDescent="0.35">
      <c r="C52" s="116" t="s">
        <v>288</v>
      </c>
      <c r="D52" s="146">
        <f>D49*D51^D50</f>
        <v>0.38455830575661065</v>
      </c>
      <c r="E52" s="6" t="s">
        <v>250</v>
      </c>
      <c r="G52" t="s">
        <v>282</v>
      </c>
      <c r="I52" t="s">
        <v>217</v>
      </c>
      <c r="J52" t="s">
        <v>289</v>
      </c>
    </row>
    <row r="53" spans="2:10" x14ac:dyDescent="0.25">
      <c r="B53" s="149" t="s">
        <v>290</v>
      </c>
      <c r="G53" t="s">
        <v>291</v>
      </c>
    </row>
    <row r="54" spans="2:10" ht="18" x14ac:dyDescent="0.35">
      <c r="B54" s="116"/>
      <c r="C54" s="116" t="s">
        <v>292</v>
      </c>
      <c r="D54" s="143">
        <f>D19*D34/D44</f>
        <v>6.1538461538461535E-2</v>
      </c>
      <c r="I54" t="s">
        <v>217</v>
      </c>
      <c r="J54" t="s">
        <v>284</v>
      </c>
    </row>
    <row r="55" spans="2:10" ht="18" x14ac:dyDescent="0.35">
      <c r="B55" s="116"/>
      <c r="C55" s="116" t="s">
        <v>293</v>
      </c>
      <c r="D55" s="143">
        <f>IF(D25&lt;=D24,(D20*D34)/(D25*D44),"")</f>
        <v>4.9874068229398737E-2</v>
      </c>
      <c r="I55" t="s">
        <v>217</v>
      </c>
      <c r="J55" t="s">
        <v>294</v>
      </c>
    </row>
    <row r="56" spans="2:10" ht="18.75" x14ac:dyDescent="0.35">
      <c r="B56" s="116"/>
      <c r="C56" s="116" t="s">
        <v>295</v>
      </c>
      <c r="D56" s="122" t="str">
        <f>IF(D25&gt;D24,(D20*D34*D24)/((D25^2)*D44),"")</f>
        <v/>
      </c>
      <c r="I56" t="s">
        <v>217</v>
      </c>
      <c r="J56" t="s">
        <v>296</v>
      </c>
    </row>
    <row r="57" spans="2:10" ht="18" x14ac:dyDescent="0.35">
      <c r="B57" s="116"/>
      <c r="C57" s="116" t="s">
        <v>297</v>
      </c>
      <c r="D57" s="152">
        <v>0.01</v>
      </c>
      <c r="G57" s="148" t="s">
        <v>298</v>
      </c>
      <c r="I57" t="s">
        <v>217</v>
      </c>
      <c r="J57" t="s">
        <v>299</v>
      </c>
    </row>
    <row r="58" spans="2:10" ht="18" x14ac:dyDescent="0.35">
      <c r="B58" s="116"/>
      <c r="C58" s="116" t="s">
        <v>300</v>
      </c>
      <c r="D58" s="146">
        <f>IF(MAX(D54:D56)&lt;D57,D57,MIN(D54:D56))</f>
        <v>4.9874068229398737E-2</v>
      </c>
    </row>
    <row r="59" spans="2:10" x14ac:dyDescent="0.25">
      <c r="B59" s="149" t="s">
        <v>301</v>
      </c>
      <c r="C59" s="149"/>
      <c r="D59" s="5"/>
      <c r="G59" t="s">
        <v>277</v>
      </c>
    </row>
    <row r="60" spans="2:10" x14ac:dyDescent="0.25">
      <c r="B60" s="24"/>
      <c r="C60" s="116" t="s">
        <v>302</v>
      </c>
      <c r="D60" s="153">
        <f>D77</f>
        <v>1652.3999999999996</v>
      </c>
      <c r="E60" s="6" t="s">
        <v>303</v>
      </c>
      <c r="G60" t="s">
        <v>304</v>
      </c>
      <c r="J60" s="6" t="s">
        <v>305</v>
      </c>
    </row>
    <row r="61" spans="2:10" x14ac:dyDescent="0.25">
      <c r="B61" s="24" t="s">
        <v>306</v>
      </c>
      <c r="D61" s="38">
        <f>D60*D58</f>
        <v>82.411910342258452</v>
      </c>
      <c r="E61" s="6" t="s">
        <v>303</v>
      </c>
      <c r="G61" t="s">
        <v>277</v>
      </c>
      <c r="I61" t="s">
        <v>217</v>
      </c>
      <c r="J61" t="s">
        <v>307</v>
      </c>
    </row>
    <row r="63" spans="2:10" x14ac:dyDescent="0.25">
      <c r="B63" s="1" t="s">
        <v>308</v>
      </c>
      <c r="C63" s="1"/>
      <c r="D63" s="1"/>
      <c r="G63" t="s">
        <v>309</v>
      </c>
    </row>
    <row r="64" spans="2:10" ht="18" x14ac:dyDescent="0.35">
      <c r="B64" t="s">
        <v>433</v>
      </c>
      <c r="D64" s="116" t="s">
        <v>310</v>
      </c>
      <c r="I64" t="s">
        <v>217</v>
      </c>
      <c r="J64" t="s">
        <v>311</v>
      </c>
    </row>
    <row r="65" spans="2:10" ht="18.75" x14ac:dyDescent="0.35">
      <c r="D65" s="116" t="s">
        <v>312</v>
      </c>
      <c r="G65" s="148" t="s">
        <v>313</v>
      </c>
    </row>
    <row r="66" spans="2:10" x14ac:dyDescent="0.25">
      <c r="C66" s="116" t="s">
        <v>314</v>
      </c>
      <c r="D66" s="154">
        <f>Tables!F21</f>
        <v>0.94227915287830522</v>
      </c>
      <c r="G66" t="s">
        <v>309</v>
      </c>
    </row>
    <row r="67" spans="2:10" x14ac:dyDescent="0.25">
      <c r="B67" s="1" t="s">
        <v>315</v>
      </c>
      <c r="C67" s="1"/>
      <c r="D67" s="1"/>
      <c r="G67" t="s">
        <v>316</v>
      </c>
    </row>
    <row r="68" spans="2:10" ht="18" x14ac:dyDescent="0.35">
      <c r="C68" s="116" t="s">
        <v>317</v>
      </c>
      <c r="D68" s="116"/>
      <c r="I68" t="s">
        <v>217</v>
      </c>
      <c r="J68" t="s">
        <v>318</v>
      </c>
    </row>
    <row r="69" spans="2:10" ht="15.75" thickBot="1" x14ac:dyDescent="0.3"/>
    <row r="70" spans="2:10" ht="32.25" customHeight="1" thickTop="1" x14ac:dyDescent="0.25">
      <c r="B70" s="155" t="s">
        <v>319</v>
      </c>
      <c r="C70" s="156" t="s">
        <v>320</v>
      </c>
      <c r="D70" s="157" t="s">
        <v>187</v>
      </c>
      <c r="E70" s="157" t="s">
        <v>321</v>
      </c>
      <c r="F70" s="157" t="s">
        <v>322</v>
      </c>
      <c r="G70" s="157" t="s">
        <v>323</v>
      </c>
      <c r="H70" s="157" t="s">
        <v>324</v>
      </c>
      <c r="I70" s="158" t="s">
        <v>325</v>
      </c>
      <c r="J70" s="159" t="s">
        <v>326</v>
      </c>
    </row>
    <row r="71" spans="2:10" ht="15.75" thickBot="1" x14ac:dyDescent="0.3">
      <c r="B71" s="160"/>
      <c r="C71" s="161" t="s">
        <v>327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328</v>
      </c>
      <c r="J71" s="163" t="s">
        <v>327</v>
      </c>
    </row>
    <row r="72" spans="2:10" ht="15.75" thickTop="1" x14ac:dyDescent="0.25">
      <c r="B72" s="164" t="s">
        <v>157</v>
      </c>
      <c r="C72" s="165">
        <f>'Seismic Analysis - Moment'!C72</f>
        <v>15</v>
      </c>
      <c r="D72" s="166">
        <f>HLOOKUP(B72,'[3]Load Analysis'!C36:L45,10,FALSE)</f>
        <v>571.53599999999994</v>
      </c>
      <c r="E72" s="166">
        <f>D72*J72^$D$66</f>
        <v>14089.778169472835</v>
      </c>
      <c r="F72" s="167">
        <f>E72/$E$77</f>
        <v>0.50398731827402887</v>
      </c>
      <c r="G72" s="168">
        <f>F72*$D$61</f>
        <v>41.534557687234539</v>
      </c>
      <c r="H72" s="168">
        <f>SUM(G72)</f>
        <v>41.534557687234539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41.534557687234539</v>
      </c>
      <c r="I73" s="176"/>
      <c r="J73" s="177">
        <f>J74</f>
        <v>15</v>
      </c>
    </row>
    <row r="74" spans="2:10" x14ac:dyDescent="0.25">
      <c r="B74" s="171" t="s">
        <v>182</v>
      </c>
      <c r="C74" s="172">
        <f>'Seismic Analysis - Moment'!C74</f>
        <v>15</v>
      </c>
      <c r="D74" s="166">
        <f>HLOOKUP(B74,'[3]Load Analysis'!$C$36:$L$45,10,FALSE)</f>
        <v>1080.8639999999998</v>
      </c>
      <c r="E74" s="173">
        <f>D74*J74^D66</f>
        <v>13866.834345550636</v>
      </c>
      <c r="F74" s="174">
        <f>E74/$E$77</f>
        <v>0.49601268172597102</v>
      </c>
      <c r="G74" s="175">
        <f>F74*$D$61</f>
        <v>40.877352655023898</v>
      </c>
      <c r="H74" s="175">
        <f>SUM($G$72:G74)</f>
        <v>82.411910342258437</v>
      </c>
      <c r="I74" s="173">
        <f>H73*C72+I72</f>
        <v>623.01836530851813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82.411910342258437</v>
      </c>
      <c r="I75" s="173"/>
      <c r="J75" s="177">
        <f>SUM(C75:$C$76)</f>
        <v>0</v>
      </c>
    </row>
    <row r="76" spans="2:10" ht="15.75" thickBot="1" x14ac:dyDescent="0.3">
      <c r="B76" s="178" t="s">
        <v>329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82.411910342258437</v>
      </c>
      <c r="I76" s="180">
        <f>H75*C74+I74</f>
        <v>1859.1970204423947</v>
      </c>
      <c r="J76" s="183">
        <f>SUM(C76:$C$76)</f>
        <v>0</v>
      </c>
    </row>
    <row r="77" spans="2:10" ht="16.5" thickTop="1" thickBot="1" x14ac:dyDescent="0.3">
      <c r="B77" s="184" t="s">
        <v>330</v>
      </c>
      <c r="C77" s="185">
        <f>SUM(C72:C76)</f>
        <v>30</v>
      </c>
      <c r="D77" s="186">
        <f>SUM(D72:D76)</f>
        <v>1652.3999999999996</v>
      </c>
      <c r="E77" s="186">
        <f>SUM(E72:E76)</f>
        <v>27956.612515023473</v>
      </c>
      <c r="F77" s="187">
        <f>E77/$E$77</f>
        <v>1</v>
      </c>
      <c r="G77" s="188">
        <f>SUM(G72:G76)</f>
        <v>82.411910342258437</v>
      </c>
      <c r="H77" s="188">
        <f>H72+H74</f>
        <v>123.94646802949298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331</v>
      </c>
      <c r="C81" s="5"/>
      <c r="D81" s="5"/>
      <c r="E81" s="5"/>
      <c r="F81" s="5"/>
      <c r="G81" s="5"/>
      <c r="H81" s="5"/>
      <c r="I81" s="24" t="s">
        <v>204</v>
      </c>
      <c r="J81" s="5" t="s">
        <v>332</v>
      </c>
    </row>
    <row r="82" spans="2:10" hidden="1" x14ac:dyDescent="0.25">
      <c r="B82" s="5" t="s">
        <v>333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Braced-Frame&amp;R&amp;"-,Bold"Ana Gouveia
&amp;D</oddHeader>
    <oddFooter>&amp;CSection
&amp;P/&amp;N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zoomScale="85" zoomScaleNormal="100" zoomScalePageLayoutView="85" workbookViewId="0">
      <selection activeCell="H10" sqref="H10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222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223</v>
      </c>
      <c r="C3" s="135"/>
      <c r="D3" s="268" t="s">
        <v>409</v>
      </c>
      <c r="E3" s="268"/>
      <c r="F3" s="268"/>
      <c r="G3" s="268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66" t="s">
        <v>179</v>
      </c>
      <c r="J6" s="266"/>
    </row>
    <row r="7" spans="2:10" ht="15.75" thickBot="1" x14ac:dyDescent="0.3">
      <c r="B7" s="54" t="s">
        <v>225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'[3]Project Information'!C8</f>
        <v>C</v>
      </c>
      <c r="E9" t="str">
        <f>IF(D11&lt;=0.15,IF(D12&lt;0.04,"CLASS A",""),"")</f>
        <v/>
      </c>
      <c r="G9" s="141" t="s">
        <v>226</v>
      </c>
      <c r="I9" t="s">
        <v>227</v>
      </c>
    </row>
    <row r="10" spans="2:10" x14ac:dyDescent="0.25">
      <c r="B10" s="1" t="s">
        <v>228</v>
      </c>
      <c r="C10" s="1"/>
      <c r="D10" s="1"/>
    </row>
    <row r="11" spans="2:10" ht="18" x14ac:dyDescent="0.35">
      <c r="C11" s="116" t="s">
        <v>229</v>
      </c>
      <c r="D11" s="142">
        <f>'[3]Seismic Analysis - Braced'!D11</f>
        <v>0.25</v>
      </c>
      <c r="G11" t="s">
        <v>230</v>
      </c>
      <c r="I11" t="s">
        <v>231</v>
      </c>
      <c r="J11" t="s">
        <v>232</v>
      </c>
    </row>
    <row r="12" spans="2:10" ht="18" x14ac:dyDescent="0.35">
      <c r="C12" s="116" t="s">
        <v>233</v>
      </c>
      <c r="D12" s="142">
        <f>'[3]Seismic Analysis - Braced'!D12</f>
        <v>7.6999999999999999E-2</v>
      </c>
      <c r="G12" t="s">
        <v>230</v>
      </c>
      <c r="I12" t="s">
        <v>231</v>
      </c>
      <c r="J12" t="s">
        <v>232</v>
      </c>
    </row>
    <row r="13" spans="2:10" x14ac:dyDescent="0.25">
      <c r="B13" s="1" t="s">
        <v>234</v>
      </c>
      <c r="C13" s="1"/>
      <c r="D13" s="1"/>
    </row>
    <row r="14" spans="2:10" ht="18" x14ac:dyDescent="0.35">
      <c r="C14" s="116" t="s">
        <v>235</v>
      </c>
      <c r="D14" s="142">
        <f>'[3]Seismic Analysis - Braced'!D14</f>
        <v>1.2</v>
      </c>
      <c r="G14" t="s">
        <v>236</v>
      </c>
      <c r="I14" t="s">
        <v>204</v>
      </c>
      <c r="J14" t="s">
        <v>237</v>
      </c>
    </row>
    <row r="15" spans="2:10" ht="18" x14ac:dyDescent="0.35">
      <c r="C15" s="116" t="s">
        <v>238</v>
      </c>
      <c r="D15" s="142">
        <f>'[3]Seismic Analysis - Braced'!D15</f>
        <v>1.7</v>
      </c>
      <c r="G15" t="s">
        <v>236</v>
      </c>
      <c r="I15" t="s">
        <v>204</v>
      </c>
      <c r="J15" t="s">
        <v>239</v>
      </c>
    </row>
    <row r="16" spans="2:10" ht="18" x14ac:dyDescent="0.35">
      <c r="C16" s="116" t="s">
        <v>240</v>
      </c>
      <c r="D16" s="122">
        <f>D14*D11</f>
        <v>0.3</v>
      </c>
      <c r="G16" t="s">
        <v>236</v>
      </c>
      <c r="I16" t="s">
        <v>217</v>
      </c>
      <c r="J16" t="s">
        <v>237</v>
      </c>
    </row>
    <row r="17" spans="2:10" ht="18" x14ac:dyDescent="0.35">
      <c r="C17" s="116" t="s">
        <v>241</v>
      </c>
      <c r="D17" s="143">
        <f>D15*D12</f>
        <v>0.13089999999999999</v>
      </c>
      <c r="G17" t="s">
        <v>236</v>
      </c>
      <c r="I17" t="s">
        <v>217</v>
      </c>
      <c r="J17" t="s">
        <v>239</v>
      </c>
    </row>
    <row r="18" spans="2:10" x14ac:dyDescent="0.25">
      <c r="B18" s="1" t="s">
        <v>242</v>
      </c>
      <c r="C18" s="1"/>
      <c r="D18" s="1"/>
    </row>
    <row r="19" spans="2:10" ht="18" x14ac:dyDescent="0.35">
      <c r="C19" s="116" t="s">
        <v>243</v>
      </c>
      <c r="D19" s="3">
        <f>(2/3)*(D16)</f>
        <v>0.19999999999999998</v>
      </c>
      <c r="G19" t="s">
        <v>244</v>
      </c>
      <c r="I19" t="s">
        <v>217</v>
      </c>
      <c r="J19" t="s">
        <v>245</v>
      </c>
    </row>
    <row r="20" spans="2:10" ht="18" x14ac:dyDescent="0.35">
      <c r="C20" s="116" t="s">
        <v>246</v>
      </c>
      <c r="D20" s="144">
        <f>(2/3)*(D17)</f>
        <v>8.7266666666666659E-2</v>
      </c>
      <c r="G20" t="s">
        <v>244</v>
      </c>
      <c r="I20" t="s">
        <v>217</v>
      </c>
      <c r="J20" t="s">
        <v>247</v>
      </c>
    </row>
    <row r="21" spans="2:10" x14ac:dyDescent="0.25">
      <c r="B21" s="1" t="s">
        <v>248</v>
      </c>
      <c r="C21" s="1"/>
    </row>
    <row r="22" spans="2:10" ht="18" x14ac:dyDescent="0.35">
      <c r="C22" s="116" t="s">
        <v>249</v>
      </c>
      <c r="D22" s="143">
        <f>(0.2)*$D$20/$D$19</f>
        <v>8.7266666666666659E-2</v>
      </c>
      <c r="E22" s="6" t="s">
        <v>250</v>
      </c>
      <c r="G22" t="s">
        <v>251</v>
      </c>
    </row>
    <row r="23" spans="2:10" ht="18" x14ac:dyDescent="0.35">
      <c r="C23" s="116" t="s">
        <v>252</v>
      </c>
      <c r="D23" s="143">
        <f>$D$20/$D$19</f>
        <v>0.43633333333333335</v>
      </c>
      <c r="E23" s="6" t="s">
        <v>250</v>
      </c>
      <c r="G23" t="s">
        <v>251</v>
      </c>
    </row>
    <row r="24" spans="2:10" ht="18" x14ac:dyDescent="0.35">
      <c r="B24" t="s">
        <v>253</v>
      </c>
      <c r="D24" s="2">
        <f>'[3]Seismic Analysis - Braced'!D24</f>
        <v>6</v>
      </c>
      <c r="E24" s="6" t="s">
        <v>250</v>
      </c>
      <c r="F24" s="116"/>
      <c r="G24" t="s">
        <v>251</v>
      </c>
      <c r="I24" t="s">
        <v>231</v>
      </c>
      <c r="J24" t="s">
        <v>254</v>
      </c>
    </row>
    <row r="25" spans="2:10" x14ac:dyDescent="0.25">
      <c r="C25" s="116" t="s">
        <v>255</v>
      </c>
      <c r="D25" s="145">
        <f>1.4*D52</f>
        <v>0.59563892451585099</v>
      </c>
      <c r="E25" s="6" t="s">
        <v>250</v>
      </c>
      <c r="G25" s="148" t="s">
        <v>256</v>
      </c>
    </row>
    <row r="26" spans="2:10" ht="18" x14ac:dyDescent="0.35">
      <c r="B26" s="24"/>
      <c r="C26" s="116" t="s">
        <v>257</v>
      </c>
      <c r="D26" s="5" t="str">
        <f>IF(D25&lt;D22,D19*(0.4+0.6*D25/D22),"")</f>
        <v/>
      </c>
      <c r="G26" t="s">
        <v>251</v>
      </c>
      <c r="I26" t="s">
        <v>217</v>
      </c>
      <c r="J26" t="s">
        <v>258</v>
      </c>
    </row>
    <row r="27" spans="2:10" ht="18" x14ac:dyDescent="0.35">
      <c r="C27" s="116" t="s">
        <v>259</v>
      </c>
      <c r="D27" s="5" t="str">
        <f>IF(D25&lt;D23,IF(D22&lt;D25,D19,""),"")</f>
        <v/>
      </c>
      <c r="G27" t="s">
        <v>251</v>
      </c>
    </row>
    <row r="28" spans="2:10" ht="18" x14ac:dyDescent="0.35">
      <c r="C28" s="116" t="s">
        <v>260</v>
      </c>
      <c r="D28" s="146">
        <f>IF(D25&lt;D24,IF(D23&lt;D25,D20/D25,""),"")</f>
        <v>0.14650934160758383</v>
      </c>
      <c r="G28" t="s">
        <v>251</v>
      </c>
      <c r="I28" t="s">
        <v>217</v>
      </c>
      <c r="J28" t="s">
        <v>261</v>
      </c>
    </row>
    <row r="29" spans="2:10" ht="18.75" x14ac:dyDescent="0.35">
      <c r="C29" s="116" t="s">
        <v>262</v>
      </c>
      <c r="D29" s="5" t="str">
        <f>IF(D25&gt;D24,D20*D24/(D25^2),"")</f>
        <v/>
      </c>
      <c r="G29" t="s">
        <v>251</v>
      </c>
      <c r="I29" t="s">
        <v>217</v>
      </c>
      <c r="J29" t="s">
        <v>263</v>
      </c>
    </row>
    <row r="31" spans="2:10" ht="15.75" thickBot="1" x14ac:dyDescent="0.3">
      <c r="B31" s="54" t="s">
        <v>264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265</v>
      </c>
      <c r="D33" s="120" t="str">
        <f>'[3]Project Information'!C7</f>
        <v>II</v>
      </c>
      <c r="I33" t="s">
        <v>204</v>
      </c>
      <c r="J33" s="147" t="s">
        <v>266</v>
      </c>
    </row>
    <row r="34" spans="2:10" x14ac:dyDescent="0.25">
      <c r="B34" t="s">
        <v>10</v>
      </c>
      <c r="D34" s="3">
        <f>VLOOKUP(D33,[3]Tables!A11:B14,2,FALSE)</f>
        <v>1</v>
      </c>
      <c r="I34" t="s">
        <v>204</v>
      </c>
      <c r="J34" t="s">
        <v>267</v>
      </c>
    </row>
    <row r="36" spans="2:10" ht="15.75" thickBot="1" x14ac:dyDescent="0.3">
      <c r="B36" s="54" t="s">
        <v>268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269</v>
      </c>
      <c r="D38" s="2" t="str">
        <f>'[3]Seismic Analysis - Braced'!D38</f>
        <v>B</v>
      </c>
      <c r="I38" t="s">
        <v>204</v>
      </c>
      <c r="J38" t="s">
        <v>270</v>
      </c>
    </row>
    <row r="39" spans="2:10" x14ac:dyDescent="0.25">
      <c r="B39" t="s">
        <v>271</v>
      </c>
      <c r="D39" s="2" t="str">
        <f>'[3]Seismic Analysis - Braced'!D39</f>
        <v>B</v>
      </c>
      <c r="I39" t="s">
        <v>204</v>
      </c>
      <c r="J39" t="s">
        <v>272</v>
      </c>
    </row>
    <row r="40" spans="2:10" x14ac:dyDescent="0.25">
      <c r="B40" s="116" t="s">
        <v>273</v>
      </c>
      <c r="C40" s="116"/>
      <c r="D40" s="31" t="str">
        <f>IF(D38=D39,D38,"UPDATE")</f>
        <v>B</v>
      </c>
      <c r="G40" s="148" t="s">
        <v>274</v>
      </c>
    </row>
    <row r="42" spans="2:10" ht="15.75" thickBot="1" x14ac:dyDescent="0.3">
      <c r="B42" s="54" t="s">
        <v>275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276</v>
      </c>
      <c r="C44" s="116"/>
      <c r="D44" s="2">
        <v>3.5</v>
      </c>
      <c r="G44" t="s">
        <v>277</v>
      </c>
      <c r="I44" t="s">
        <v>204</v>
      </c>
      <c r="J44" t="s">
        <v>278</v>
      </c>
    </row>
    <row r="45" spans="2:10" ht="18" x14ac:dyDescent="0.35">
      <c r="B45" s="116" t="s">
        <v>279</v>
      </c>
      <c r="C45" s="116"/>
      <c r="D45" s="2">
        <v>3</v>
      </c>
      <c r="G45" t="s">
        <v>277</v>
      </c>
      <c r="I45" t="s">
        <v>204</v>
      </c>
      <c r="J45" t="s">
        <v>278</v>
      </c>
    </row>
    <row r="46" spans="2:10" ht="18" x14ac:dyDescent="0.35">
      <c r="B46" s="116" t="s">
        <v>280</v>
      </c>
      <c r="C46" s="116"/>
      <c r="D46" s="2">
        <v>3</v>
      </c>
      <c r="G46" t="s">
        <v>277</v>
      </c>
      <c r="I46" t="s">
        <v>204</v>
      </c>
      <c r="J46" t="s">
        <v>278</v>
      </c>
    </row>
    <row r="48" spans="2:10" ht="18" x14ac:dyDescent="0.35">
      <c r="B48" s="149" t="s">
        <v>281</v>
      </c>
      <c r="C48" s="149"/>
      <c r="D48" s="149"/>
      <c r="G48" t="s">
        <v>282</v>
      </c>
    </row>
    <row r="49" spans="2:10" ht="18" x14ac:dyDescent="0.35">
      <c r="C49" s="116" t="s">
        <v>207</v>
      </c>
      <c r="D49" s="191">
        <f>VLOOKUP($D$3,[3]Tables!$A$29:$C$32,2,FALSE)</f>
        <v>2.8000000000000001E-2</v>
      </c>
      <c r="G49" s="150" t="s">
        <v>283</v>
      </c>
      <c r="I49" t="s">
        <v>204</v>
      </c>
      <c r="J49" t="s">
        <v>284</v>
      </c>
    </row>
    <row r="50" spans="2:10" x14ac:dyDescent="0.25">
      <c r="C50" s="116" t="s">
        <v>285</v>
      </c>
      <c r="D50" s="120">
        <f>VLOOKUP($D$3,[3]Tables!$A$29:$C$32,3,FALSE)</f>
        <v>0.8</v>
      </c>
      <c r="I50" t="s">
        <v>204</v>
      </c>
      <c r="J50" t="s">
        <v>284</v>
      </c>
    </row>
    <row r="51" spans="2:10" ht="18" x14ac:dyDescent="0.35">
      <c r="C51" s="116" t="s">
        <v>286</v>
      </c>
      <c r="D51" s="120">
        <f>'[3]Project Information'!C17</f>
        <v>30</v>
      </c>
      <c r="E51" s="6" t="s">
        <v>19</v>
      </c>
      <c r="G51" s="151" t="s">
        <v>287</v>
      </c>
    </row>
    <row r="52" spans="2:10" ht="18.75" x14ac:dyDescent="0.35">
      <c r="C52" s="116" t="s">
        <v>288</v>
      </c>
      <c r="D52" s="146">
        <f>D49*D51^D50</f>
        <v>0.42545637465417929</v>
      </c>
      <c r="E52" s="6" t="s">
        <v>250</v>
      </c>
      <c r="G52" t="s">
        <v>282</v>
      </c>
      <c r="I52" t="s">
        <v>217</v>
      </c>
      <c r="J52" t="s">
        <v>289</v>
      </c>
    </row>
    <row r="53" spans="2:10" x14ac:dyDescent="0.25">
      <c r="B53" s="149" t="s">
        <v>290</v>
      </c>
      <c r="G53" t="s">
        <v>291</v>
      </c>
    </row>
    <row r="54" spans="2:10" ht="18" x14ac:dyDescent="0.35">
      <c r="B54" s="116"/>
      <c r="C54" s="116" t="s">
        <v>292</v>
      </c>
      <c r="D54" s="143">
        <f>D19*D34/D44</f>
        <v>5.7142857142857141E-2</v>
      </c>
      <c r="I54" t="s">
        <v>217</v>
      </c>
      <c r="J54" t="s">
        <v>284</v>
      </c>
    </row>
    <row r="55" spans="2:10" ht="18" x14ac:dyDescent="0.35">
      <c r="B55" s="116"/>
      <c r="C55" s="116" t="s">
        <v>293</v>
      </c>
      <c r="D55" s="143">
        <f>IF(D25&lt;=D24,(D20*D34)/(D25*D44),"")</f>
        <v>4.1859811887881092E-2</v>
      </c>
      <c r="I55" t="s">
        <v>217</v>
      </c>
      <c r="J55" t="s">
        <v>294</v>
      </c>
    </row>
    <row r="56" spans="2:10" ht="18.75" x14ac:dyDescent="0.35">
      <c r="B56" s="116"/>
      <c r="C56" s="116" t="s">
        <v>295</v>
      </c>
      <c r="D56" s="122" t="str">
        <f>IF(D25&gt;D24,(D20*D34*D24)/((D25^2)*D44),"")</f>
        <v/>
      </c>
      <c r="I56" t="s">
        <v>217</v>
      </c>
      <c r="J56" t="s">
        <v>296</v>
      </c>
    </row>
    <row r="57" spans="2:10" ht="18" x14ac:dyDescent="0.35">
      <c r="B57" s="116"/>
      <c r="C57" s="116" t="s">
        <v>297</v>
      </c>
      <c r="D57" s="152">
        <v>0.01</v>
      </c>
      <c r="G57" s="148" t="s">
        <v>298</v>
      </c>
      <c r="I57" t="s">
        <v>217</v>
      </c>
      <c r="J57" t="s">
        <v>299</v>
      </c>
    </row>
    <row r="58" spans="2:10" ht="18" x14ac:dyDescent="0.35">
      <c r="B58" s="116"/>
      <c r="C58" s="116" t="s">
        <v>300</v>
      </c>
      <c r="D58" s="146">
        <f>IF(MAX(D54:D56)&lt;D57,D57,MIN(D54:D56))</f>
        <v>4.1859811887881092E-2</v>
      </c>
      <c r="G58" s="148" t="s">
        <v>432</v>
      </c>
    </row>
    <row r="59" spans="2:10" x14ac:dyDescent="0.25">
      <c r="B59" s="149" t="s">
        <v>301</v>
      </c>
      <c r="C59" s="149"/>
      <c r="D59" s="5"/>
      <c r="G59" t="s">
        <v>277</v>
      </c>
    </row>
    <row r="60" spans="2:10" x14ac:dyDescent="0.25">
      <c r="B60" s="24"/>
      <c r="C60" s="116" t="s">
        <v>302</v>
      </c>
      <c r="D60" s="153">
        <f>D77</f>
        <v>1652.3999999999996</v>
      </c>
      <c r="E60" s="6" t="s">
        <v>303</v>
      </c>
      <c r="G60" t="s">
        <v>304</v>
      </c>
      <c r="J60" s="6" t="s">
        <v>305</v>
      </c>
    </row>
    <row r="61" spans="2:10" x14ac:dyDescent="0.25">
      <c r="B61" s="24" t="s">
        <v>306</v>
      </c>
      <c r="D61" s="38">
        <f>D60*D58</f>
        <v>69.169153163534702</v>
      </c>
      <c r="E61" s="6" t="s">
        <v>303</v>
      </c>
      <c r="G61" t="s">
        <v>277</v>
      </c>
      <c r="I61" t="s">
        <v>217</v>
      </c>
      <c r="J61" t="s">
        <v>307</v>
      </c>
    </row>
    <row r="63" spans="2:10" x14ac:dyDescent="0.25">
      <c r="B63" s="1" t="s">
        <v>308</v>
      </c>
      <c r="C63" s="1"/>
      <c r="D63" s="1"/>
      <c r="G63" t="s">
        <v>309</v>
      </c>
    </row>
    <row r="64" spans="2:10" ht="18" x14ac:dyDescent="0.35">
      <c r="B64" t="s">
        <v>433</v>
      </c>
      <c r="D64" s="116" t="s">
        <v>310</v>
      </c>
      <c r="I64" t="s">
        <v>217</v>
      </c>
      <c r="J64" t="s">
        <v>311</v>
      </c>
    </row>
    <row r="65" spans="2:10" ht="18.75" x14ac:dyDescent="0.35">
      <c r="D65" s="116" t="s">
        <v>312</v>
      </c>
      <c r="G65" s="148" t="s">
        <v>313</v>
      </c>
    </row>
    <row r="66" spans="2:10" x14ac:dyDescent="0.25">
      <c r="C66" s="116" t="s">
        <v>314</v>
      </c>
      <c r="D66" s="154">
        <f>Tables!F30</f>
        <v>0.96272818732708965</v>
      </c>
      <c r="G66" t="s">
        <v>309</v>
      </c>
    </row>
    <row r="67" spans="2:10" x14ac:dyDescent="0.25">
      <c r="B67" s="1" t="s">
        <v>315</v>
      </c>
      <c r="C67" s="1"/>
      <c r="D67" s="1"/>
      <c r="G67" t="s">
        <v>316</v>
      </c>
    </row>
    <row r="68" spans="2:10" ht="18" x14ac:dyDescent="0.35">
      <c r="C68" s="116" t="s">
        <v>317</v>
      </c>
      <c r="D68" s="116"/>
      <c r="I68" t="s">
        <v>217</v>
      </c>
      <c r="J68" t="s">
        <v>318</v>
      </c>
    </row>
    <row r="69" spans="2:10" ht="15.75" thickBot="1" x14ac:dyDescent="0.3"/>
    <row r="70" spans="2:10" ht="32.25" customHeight="1" thickTop="1" x14ac:dyDescent="0.25">
      <c r="B70" s="155" t="s">
        <v>319</v>
      </c>
      <c r="C70" s="156" t="s">
        <v>320</v>
      </c>
      <c r="D70" s="157" t="s">
        <v>187</v>
      </c>
      <c r="E70" s="157" t="s">
        <v>321</v>
      </c>
      <c r="F70" s="157" t="s">
        <v>322</v>
      </c>
      <c r="G70" s="157" t="s">
        <v>323</v>
      </c>
      <c r="H70" s="157" t="s">
        <v>324</v>
      </c>
      <c r="I70" s="158" t="s">
        <v>325</v>
      </c>
      <c r="J70" s="159" t="s">
        <v>326</v>
      </c>
    </row>
    <row r="71" spans="2:10" ht="15.75" thickBot="1" x14ac:dyDescent="0.3">
      <c r="B71" s="160"/>
      <c r="C71" s="161" t="s">
        <v>327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328</v>
      </c>
      <c r="J71" s="163" t="s">
        <v>327</v>
      </c>
    </row>
    <row r="72" spans="2:10" ht="15.75" thickTop="1" x14ac:dyDescent="0.25">
      <c r="B72" s="164" t="s">
        <v>157</v>
      </c>
      <c r="C72" s="165">
        <v>15</v>
      </c>
      <c r="D72" s="166">
        <f>HLOOKUP(B72,'[3]Load Analysis'!$C$36:$L$45,10,FALSE)</f>
        <v>571.53599999999994</v>
      </c>
      <c r="E72" s="166">
        <f>D72*J72^$D$66</f>
        <v>15104.621919715149</v>
      </c>
      <c r="F72" s="167">
        <f>E72/$E$77</f>
        <v>0.50753038100391046</v>
      </c>
      <c r="G72" s="168">
        <f>F72*$D$61</f>
        <v>35.105446658806606</v>
      </c>
      <c r="H72" s="168">
        <f>SUM(G72)</f>
        <v>35.105446658806606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35.105446658806606</v>
      </c>
      <c r="I73" s="176"/>
      <c r="J73" s="177">
        <f>J74</f>
        <v>15</v>
      </c>
    </row>
    <row r="74" spans="2:10" x14ac:dyDescent="0.25">
      <c r="B74" s="171" t="s">
        <v>182</v>
      </c>
      <c r="C74" s="172">
        <v>15</v>
      </c>
      <c r="D74" s="166">
        <f>HLOOKUP(B74,'[3]Load Analysis'!$C$36:$L$45,10,FALSE)</f>
        <v>1080.8639999999998</v>
      </c>
      <c r="E74" s="173">
        <f>D74*J74^D66</f>
        <v>14656.3982774162</v>
      </c>
      <c r="F74" s="174">
        <f>E74/$E$77</f>
        <v>0.49246961899608949</v>
      </c>
      <c r="G74" s="175">
        <f>F74*$D$61</f>
        <v>34.063706504728096</v>
      </c>
      <c r="H74" s="175">
        <f>SUM($G$72:G74)</f>
        <v>69.169153163534702</v>
      </c>
      <c r="I74" s="173">
        <f>H73*C72+I72</f>
        <v>526.58169988209909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69.169153163534702</v>
      </c>
      <c r="I75" s="173"/>
      <c r="J75" s="177">
        <f>SUM(C75:$C$76)</f>
        <v>0</v>
      </c>
    </row>
    <row r="76" spans="2:10" ht="15.75" thickBot="1" x14ac:dyDescent="0.3">
      <c r="B76" s="178" t="s">
        <v>329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69.169153163534702</v>
      </c>
      <c r="I76" s="180">
        <f>H75*C74+I74</f>
        <v>1564.1189973351197</v>
      </c>
      <c r="J76" s="183">
        <f>SUM(C76:$C$76)</f>
        <v>0</v>
      </c>
    </row>
    <row r="77" spans="2:10" ht="16.5" thickTop="1" thickBot="1" x14ac:dyDescent="0.3">
      <c r="B77" s="184" t="s">
        <v>330</v>
      </c>
      <c r="C77" s="185">
        <f>SUM(C72:C76)</f>
        <v>30</v>
      </c>
      <c r="D77" s="186">
        <f>SUM(D72:D76)</f>
        <v>1652.3999999999996</v>
      </c>
      <c r="E77" s="186">
        <f>SUM(E72:E76)</f>
        <v>29761.020197131351</v>
      </c>
      <c r="F77" s="187">
        <f>E77/$E$77</f>
        <v>1</v>
      </c>
      <c r="G77" s="188">
        <f>SUM(G72:G76)</f>
        <v>69.169153163534702</v>
      </c>
      <c r="H77" s="188">
        <f>H72+H74</f>
        <v>104.27459982234132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331</v>
      </c>
      <c r="C81" s="5"/>
      <c r="D81" s="5"/>
      <c r="E81" s="5"/>
      <c r="F81" s="5"/>
      <c r="G81" s="5"/>
      <c r="H81" s="5"/>
      <c r="I81" s="24" t="s">
        <v>204</v>
      </c>
      <c r="J81" s="5" t="s">
        <v>332</v>
      </c>
    </row>
    <row r="82" spans="2:10" hidden="1" x14ac:dyDescent="0.25">
      <c r="B82" s="5" t="s">
        <v>333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Moment-Frame&amp;R&amp;"-,Bold"Ana Gouveia
&amp;D</oddHeader>
    <oddFooter>&amp;CSection
&amp;P/&amp;N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topLeftCell="A34" workbookViewId="0">
      <selection activeCell="J19" sqref="J19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" customWidth="1"/>
    <col min="4" max="4" width="9.140625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9.140625" customWidth="1"/>
    <col min="10" max="10" width="6.140625" customWidth="1"/>
    <col min="11" max="11" width="9.7109375" customWidth="1"/>
    <col min="12" max="12" width="9.140625" customWidth="1"/>
    <col min="13" max="13" width="0.42578125" customWidth="1"/>
    <col min="14" max="14" width="7.42578125" hidden="1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1" spans="2:14" x14ac:dyDescent="0.25">
      <c r="F11" t="s">
        <v>517</v>
      </c>
    </row>
    <row r="13" spans="2:14" x14ac:dyDescent="0.25">
      <c r="D13" s="116" t="s">
        <v>518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519</v>
      </c>
      <c r="E14" s="48">
        <v>15</v>
      </c>
      <c r="F14" t="s">
        <v>19</v>
      </c>
    </row>
    <row r="15" spans="2:14" x14ac:dyDescent="0.25">
      <c r="D15" s="116" t="s">
        <v>520</v>
      </c>
      <c r="E15" s="48">
        <v>36</v>
      </c>
      <c r="F15" t="s">
        <v>19</v>
      </c>
    </row>
    <row r="16" spans="2:14" ht="18" x14ac:dyDescent="0.35">
      <c r="D16" s="116" t="s">
        <v>521</v>
      </c>
      <c r="E16" s="145">
        <f>'[4]Project Loads'!D72</f>
        <v>9.7843199999999992</v>
      </c>
      <c r="F16" t="s">
        <v>303</v>
      </c>
      <c r="I16" s="245">
        <f>'[4]Project Loads'!D46</f>
        <v>6.4418549999999986</v>
      </c>
    </row>
    <row r="17" spans="2:14" ht="18" x14ac:dyDescent="0.35">
      <c r="D17" s="116" t="s">
        <v>522</v>
      </c>
      <c r="E17" s="145">
        <f>'[4]Project Loads'!G72</f>
        <v>19.568639999999998</v>
      </c>
      <c r="F17" t="s">
        <v>303</v>
      </c>
      <c r="I17" s="245">
        <f>'[4]Project Loads'!K72</f>
        <v>0</v>
      </c>
    </row>
    <row r="18" spans="2:14" x14ac:dyDescent="0.25">
      <c r="I18" s="246"/>
    </row>
    <row r="19" spans="2:14" ht="15.75" thickBot="1" x14ac:dyDescent="0.3">
      <c r="B19" s="214" t="s">
        <v>444</v>
      </c>
      <c r="C19" s="214"/>
      <c r="D19" s="214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 spans="2:14" ht="15.75" thickTop="1" x14ac:dyDescent="0.25">
      <c r="B20" s="1"/>
      <c r="C20" s="1"/>
      <c r="D20" s="1"/>
    </row>
    <row r="21" spans="2:14" x14ac:dyDescent="0.25">
      <c r="B21" s="1" t="s">
        <v>523</v>
      </c>
      <c r="F21" s="6"/>
    </row>
    <row r="22" spans="2:14" x14ac:dyDescent="0.25">
      <c r="B22" s="1"/>
      <c r="D22" s="116" t="s">
        <v>524</v>
      </c>
      <c r="E22" s="25"/>
      <c r="F22" s="6" t="str">
        <f>F16</f>
        <v>kip</v>
      </c>
      <c r="G22" t="s">
        <v>525</v>
      </c>
    </row>
    <row r="23" spans="2:14" x14ac:dyDescent="0.25">
      <c r="B23" s="1"/>
      <c r="D23" s="116" t="s">
        <v>526</v>
      </c>
      <c r="E23" s="25">
        <f>-E22</f>
        <v>0</v>
      </c>
      <c r="F23" s="6" t="str">
        <f>F22</f>
        <v>kip</v>
      </c>
      <c r="G23" t="s">
        <v>527</v>
      </c>
    </row>
    <row r="24" spans="2:14" x14ac:dyDescent="0.25">
      <c r="B24" s="1"/>
      <c r="D24" s="116" t="s">
        <v>528</v>
      </c>
      <c r="E24" s="25">
        <f>-(E17+E16)/2</f>
        <v>-14.676479999999998</v>
      </c>
      <c r="F24" s="6" t="str">
        <f>F16</f>
        <v>kip</v>
      </c>
      <c r="G24" t="s">
        <v>529</v>
      </c>
    </row>
    <row r="25" spans="2:14" x14ac:dyDescent="0.25">
      <c r="B25" s="1"/>
      <c r="D25" s="116" t="s">
        <v>530</v>
      </c>
      <c r="E25" s="25">
        <f>E24</f>
        <v>-14.676479999999998</v>
      </c>
      <c r="F25" s="6" t="str">
        <f>F24</f>
        <v>kip</v>
      </c>
      <c r="G25" t="s">
        <v>529</v>
      </c>
      <c r="H25" s="212"/>
    </row>
    <row r="26" spans="2:14" x14ac:dyDescent="0.25">
      <c r="B26" s="1" t="s">
        <v>531</v>
      </c>
      <c r="D26" s="116"/>
      <c r="F26" s="6"/>
      <c r="J26" s="1" t="s">
        <v>532</v>
      </c>
    </row>
    <row r="27" spans="2:14" ht="18" x14ac:dyDescent="0.35">
      <c r="B27" t="s">
        <v>533</v>
      </c>
      <c r="D27" s="116" t="s">
        <v>534</v>
      </c>
      <c r="E27" s="25">
        <f>(E16+E17)/2</f>
        <v>14.676479999999998</v>
      </c>
      <c r="F27" s="6" t="str">
        <f>F22</f>
        <v>kip</v>
      </c>
      <c r="J27" s="116" t="s">
        <v>534</v>
      </c>
      <c r="K27" s="25">
        <f>E27</f>
        <v>14.676479999999998</v>
      </c>
      <c r="L27" s="6" t="str">
        <f>F27</f>
        <v>kip</v>
      </c>
    </row>
    <row r="28" spans="2:14" ht="18" x14ac:dyDescent="0.35">
      <c r="B28" s="1"/>
      <c r="D28" s="116" t="s">
        <v>535</v>
      </c>
      <c r="E28" s="25">
        <f>-E14*E27/E15</f>
        <v>-6.1151999999999989</v>
      </c>
      <c r="F28" s="6" t="str">
        <f t="shared" ref="F28:F30" si="0">F23</f>
        <v>kip</v>
      </c>
      <c r="J28" s="116" t="s">
        <v>536</v>
      </c>
      <c r="K28" s="25">
        <f>E28</f>
        <v>-6.1151999999999989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537</v>
      </c>
      <c r="D29" s="116" t="s">
        <v>538</v>
      </c>
      <c r="E29" s="25">
        <f>-E24*E13/E15</f>
        <v>15.899519999999999</v>
      </c>
      <c r="F29" s="6" t="str">
        <f t="shared" si="0"/>
        <v>kip</v>
      </c>
      <c r="G29" t="s">
        <v>67</v>
      </c>
      <c r="J29" s="116" t="s">
        <v>539</v>
      </c>
      <c r="K29" s="25">
        <f>E29</f>
        <v>15.899519999999999</v>
      </c>
      <c r="L29" s="6" t="str">
        <f t="shared" si="1"/>
        <v>kip</v>
      </c>
      <c r="M29" t="s">
        <v>9</v>
      </c>
    </row>
    <row r="30" spans="2:14" ht="18" x14ac:dyDescent="0.35">
      <c r="B30" s="33" t="s">
        <v>540</v>
      </c>
      <c r="D30" s="116" t="s">
        <v>541</v>
      </c>
      <c r="E30" s="5">
        <f>(-E23-E29*E14/E13)</f>
        <v>-6.1151999999999997</v>
      </c>
      <c r="F30" s="6" t="str">
        <f t="shared" si="0"/>
        <v>kip</v>
      </c>
      <c r="G30" t="s">
        <v>67</v>
      </c>
      <c r="J30" s="116" t="s">
        <v>542</v>
      </c>
      <c r="K30" s="25">
        <f>E30</f>
        <v>-6.1151999999999997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543</v>
      </c>
      <c r="D32" s="5"/>
      <c r="F32" s="7"/>
      <c r="H32" s="5"/>
      <c r="I32" s="1"/>
      <c r="L32" s="6"/>
    </row>
    <row r="33" spans="2:13" ht="18" x14ac:dyDescent="0.35">
      <c r="B33" s="33" t="s">
        <v>544</v>
      </c>
      <c r="D33" s="5">
        <f>E14</f>
        <v>15</v>
      </c>
      <c r="E33" s="116" t="s">
        <v>545</v>
      </c>
      <c r="F33" s="247">
        <f>2*(E14*E15/E13)</f>
        <v>27.692307692307693</v>
      </c>
      <c r="G33" s="248" t="s">
        <v>546</v>
      </c>
      <c r="H33" s="5">
        <f>-E15</f>
        <v>-36</v>
      </c>
      <c r="I33" s="116" t="s">
        <v>547</v>
      </c>
      <c r="J33" s="116" t="s">
        <v>548</v>
      </c>
      <c r="K33" s="5">
        <v>-72.06</v>
      </c>
      <c r="L33" s="249">
        <f>+E17*E14-E15*E30+0.01</f>
        <v>513.68679999999995</v>
      </c>
    </row>
    <row r="34" spans="2:13" ht="18" x14ac:dyDescent="0.35">
      <c r="B34" s="33" t="s">
        <v>549</v>
      </c>
      <c r="D34" s="5">
        <v>-1</v>
      </c>
      <c r="E34" s="116" t="s">
        <v>545</v>
      </c>
      <c r="F34" s="250">
        <f>-E15/E13</f>
        <v>-0.92307692307692313</v>
      </c>
      <c r="G34" s="248" t="s">
        <v>546</v>
      </c>
      <c r="H34" s="5">
        <v>0</v>
      </c>
      <c r="I34" s="116" t="s">
        <v>547</v>
      </c>
      <c r="J34" s="116" t="s">
        <v>548</v>
      </c>
      <c r="K34" s="5">
        <v>-4.8</v>
      </c>
      <c r="L34" s="249">
        <f>((E15/E13)*K29-E17)</f>
        <v>-4.8921599999999987</v>
      </c>
    </row>
    <row r="35" spans="2:13" ht="18" x14ac:dyDescent="0.35">
      <c r="B35" s="33" t="s">
        <v>550</v>
      </c>
      <c r="D35" s="5">
        <v>0</v>
      </c>
      <c r="E35" s="116" t="s">
        <v>545</v>
      </c>
      <c r="F35" s="250">
        <f>-E14/E13</f>
        <v>-0.38461538461538464</v>
      </c>
      <c r="G35" s="248" t="s">
        <v>546</v>
      </c>
      <c r="H35" s="5">
        <v>1</v>
      </c>
      <c r="I35" s="116" t="s">
        <v>547</v>
      </c>
      <c r="J35" s="116" t="s">
        <v>548</v>
      </c>
      <c r="K35" s="5">
        <v>4</v>
      </c>
      <c r="L35" s="251">
        <f>+E30-(E14/E13)*K29</f>
        <v>-12.230399999999999</v>
      </c>
    </row>
    <row r="36" spans="2:13" x14ac:dyDescent="0.25">
      <c r="B36" s="1"/>
      <c r="F36" s="6"/>
      <c r="G36" s="216"/>
      <c r="I36" s="1"/>
      <c r="L36" s="6"/>
    </row>
    <row r="37" spans="2:13" x14ac:dyDescent="0.25">
      <c r="B37" s="1" t="s">
        <v>551</v>
      </c>
      <c r="F37" s="6"/>
      <c r="G37" s="216"/>
      <c r="J37" s="1" t="s">
        <v>552</v>
      </c>
      <c r="L37" s="6"/>
    </row>
    <row r="38" spans="2:13" ht="18" x14ac:dyDescent="0.35">
      <c r="B38" s="1"/>
      <c r="D38" s="7">
        <v>61.533000000000001</v>
      </c>
      <c r="E38" s="252">
        <v>922</v>
      </c>
      <c r="F38" s="7">
        <v>2215.1999999999998</v>
      </c>
      <c r="J38" s="222" t="s">
        <v>553</v>
      </c>
      <c r="K38" s="25">
        <f>D38*K33+E38*K34+F38*K35</f>
        <v>1.1320200000009208</v>
      </c>
      <c r="L38" s="6"/>
    </row>
    <row r="39" spans="2:13" ht="18" x14ac:dyDescent="0.35">
      <c r="B39" s="1"/>
      <c r="D39" s="7">
        <v>-66.665999999999997</v>
      </c>
      <c r="E39" s="252">
        <v>-1000</v>
      </c>
      <c r="F39" s="253">
        <v>-2400</v>
      </c>
      <c r="J39" s="222" t="s">
        <v>554</v>
      </c>
      <c r="K39" s="25">
        <f>D39*K33+E39*K34+F39*K35</f>
        <v>3.9519600000003265</v>
      </c>
      <c r="L39" s="6"/>
    </row>
    <row r="40" spans="2:13" ht="18" x14ac:dyDescent="0.35">
      <c r="B40" s="1"/>
      <c r="D40" s="7">
        <v>-25.666</v>
      </c>
      <c r="E40" s="7">
        <v>-385</v>
      </c>
      <c r="F40" s="253">
        <v>-923</v>
      </c>
      <c r="J40" s="222" t="s">
        <v>555</v>
      </c>
      <c r="K40" s="25">
        <f>D40*K33+E40*K34+F40*K35</f>
        <v>5.4919600000002902</v>
      </c>
      <c r="L40" s="6"/>
    </row>
    <row r="41" spans="2:13" x14ac:dyDescent="0.25">
      <c r="B41" s="1"/>
      <c r="F41" s="6"/>
      <c r="G41" s="216"/>
      <c r="I41" s="1"/>
      <c r="L41" s="6"/>
    </row>
    <row r="42" spans="2:13" x14ac:dyDescent="0.25">
      <c r="B42" s="1" t="s">
        <v>471</v>
      </c>
      <c r="F42" s="6"/>
      <c r="I42" s="1" t="s">
        <v>473</v>
      </c>
      <c r="L42" s="6"/>
    </row>
    <row r="43" spans="2:13" ht="18" x14ac:dyDescent="0.35">
      <c r="B43" s="33" t="s">
        <v>537</v>
      </c>
      <c r="D43" s="248" t="s">
        <v>546</v>
      </c>
      <c r="E43" s="154">
        <f>K39</f>
        <v>3.9519600000003265</v>
      </c>
      <c r="F43" s="6" t="str">
        <f>F22</f>
        <v>kip</v>
      </c>
      <c r="G43" s="254" t="s">
        <v>9</v>
      </c>
      <c r="J43" s="222" t="s">
        <v>556</v>
      </c>
      <c r="K43" s="25">
        <f>$E$29-($E$13/$E$15)*$E$44</f>
        <v>14.673164999999001</v>
      </c>
      <c r="L43" s="6" t="str">
        <f>L27</f>
        <v>kip</v>
      </c>
      <c r="M43" t="s">
        <v>9</v>
      </c>
    </row>
    <row r="44" spans="2:13" ht="18" x14ac:dyDescent="0.35">
      <c r="B44" s="33" t="s">
        <v>557</v>
      </c>
      <c r="D44" s="116" t="s">
        <v>545</v>
      </c>
      <c r="E44" s="154">
        <f>K38</f>
        <v>1.1320200000009208</v>
      </c>
      <c r="F44" s="6" t="str">
        <f>F23</f>
        <v>kip</v>
      </c>
      <c r="G44" t="s">
        <v>9</v>
      </c>
      <c r="J44" s="116" t="s">
        <v>545</v>
      </c>
      <c r="K44" s="154">
        <f>E44</f>
        <v>1.1320200000009208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540</v>
      </c>
      <c r="D45" s="116" t="s">
        <v>547</v>
      </c>
      <c r="E45" s="154">
        <f>K40</f>
        <v>5.4919600000002902</v>
      </c>
      <c r="F45" s="6" t="str">
        <f>F24</f>
        <v>kip</v>
      </c>
      <c r="G45" t="s">
        <v>67</v>
      </c>
      <c r="J45" s="222" t="s">
        <v>558</v>
      </c>
      <c r="K45" s="25">
        <f>$E$43*($E$14/$E$13)</f>
        <v>1.5199846153847412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455</v>
      </c>
      <c r="F47" s="6"/>
      <c r="I47" s="1" t="s">
        <v>457</v>
      </c>
      <c r="L47" s="6"/>
    </row>
    <row r="48" spans="2:13" ht="18" x14ac:dyDescent="0.35">
      <c r="B48" s="33" t="s">
        <v>537</v>
      </c>
      <c r="D48" s="116" t="s">
        <v>559</v>
      </c>
      <c r="E48" s="58">
        <f>K43</f>
        <v>14.673164999999001</v>
      </c>
      <c r="F48" s="6" t="str">
        <f>F22</f>
        <v>kip</v>
      </c>
      <c r="G48" t="str">
        <f>M43</f>
        <v>C</v>
      </c>
      <c r="J48" s="116" t="s">
        <v>546</v>
      </c>
      <c r="K48" s="58">
        <f>E43</f>
        <v>3.9519600000003265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557</v>
      </c>
      <c r="D49" s="222" t="s">
        <v>560</v>
      </c>
      <c r="E49" s="38">
        <f>E43*(E15/E13)</f>
        <v>3.6479630769233786</v>
      </c>
      <c r="F49" s="6" t="str">
        <f>F23</f>
        <v>kip</v>
      </c>
      <c r="G49" t="s">
        <v>67</v>
      </c>
      <c r="J49" s="116" t="s">
        <v>561</v>
      </c>
      <c r="K49" s="58">
        <f>E49</f>
        <v>3.6479630769233786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540</v>
      </c>
      <c r="D50" s="116" t="s">
        <v>562</v>
      </c>
      <c r="E50" s="154">
        <f>E45</f>
        <v>5.4919600000002902</v>
      </c>
      <c r="F50" s="6" t="str">
        <f>F24</f>
        <v>kip</v>
      </c>
      <c r="G50" t="str">
        <f>G45</f>
        <v>T</v>
      </c>
      <c r="J50" s="116" t="s">
        <v>563</v>
      </c>
      <c r="K50" s="58">
        <f>K45</f>
        <v>1.5199846153847412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20"/>
    </row>
    <row r="55" spans="2:14" ht="15.75" thickBot="1" x14ac:dyDescent="0.3">
      <c r="B55" s="214" t="s">
        <v>499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spans="2:14" ht="15.75" thickTop="1" x14ac:dyDescent="0.25">
      <c r="F56" s="220"/>
    </row>
    <row r="57" spans="2:14" x14ac:dyDescent="0.25">
      <c r="B57" s="224"/>
      <c r="C57" s="226" t="s">
        <v>93</v>
      </c>
      <c r="D57" s="226" t="s">
        <v>500</v>
      </c>
      <c r="E57" s="226" t="s">
        <v>319</v>
      </c>
      <c r="F57" s="226" t="s">
        <v>501</v>
      </c>
      <c r="G57" s="226" t="s">
        <v>502</v>
      </c>
      <c r="H57" s="226" t="s">
        <v>503</v>
      </c>
      <c r="I57" s="228" t="s">
        <v>504</v>
      </c>
    </row>
    <row r="58" spans="2:14" ht="15.75" thickBot="1" x14ac:dyDescent="0.3">
      <c r="B58" s="229"/>
      <c r="C58" s="230" t="s">
        <v>505</v>
      </c>
      <c r="D58" s="231" t="s">
        <v>506</v>
      </c>
      <c r="E58" s="230" t="s">
        <v>507</v>
      </c>
      <c r="F58" s="230"/>
      <c r="G58" s="230" t="s">
        <v>190</v>
      </c>
      <c r="H58" s="230"/>
      <c r="I58" s="232" t="s">
        <v>328</v>
      </c>
    </row>
    <row r="59" spans="2:14" ht="15.75" thickTop="1" x14ac:dyDescent="0.25">
      <c r="B59" s="233" t="s">
        <v>508</v>
      </c>
      <c r="C59" s="255">
        <v>10</v>
      </c>
      <c r="D59" s="235" t="s">
        <v>564</v>
      </c>
      <c r="E59" s="235" t="s">
        <v>509</v>
      </c>
      <c r="F59" s="235" t="s">
        <v>510</v>
      </c>
      <c r="G59" s="236">
        <f>K43</f>
        <v>14.673164999999001</v>
      </c>
      <c r="H59" s="236" t="str">
        <f>M43</f>
        <v>C</v>
      </c>
      <c r="I59" s="238"/>
    </row>
    <row r="60" spans="2:14" x14ac:dyDescent="0.25">
      <c r="B60" s="233" t="s">
        <v>511</v>
      </c>
      <c r="C60" s="255">
        <v>13</v>
      </c>
      <c r="D60" s="235" t="s">
        <v>564</v>
      </c>
      <c r="E60" s="235" t="s">
        <v>157</v>
      </c>
      <c r="F60" s="235" t="s">
        <v>510</v>
      </c>
      <c r="G60" s="236">
        <f>E49</f>
        <v>3.6479630769233786</v>
      </c>
      <c r="H60" s="236" t="str">
        <f>G49</f>
        <v>T</v>
      </c>
      <c r="I60" s="238"/>
    </row>
    <row r="61" spans="2:14" x14ac:dyDescent="0.25">
      <c r="B61" s="233" t="s">
        <v>565</v>
      </c>
      <c r="C61" s="255">
        <v>15</v>
      </c>
      <c r="D61" s="235" t="s">
        <v>564</v>
      </c>
      <c r="E61" s="235" t="s">
        <v>157</v>
      </c>
      <c r="F61" s="235" t="s">
        <v>566</v>
      </c>
      <c r="G61" s="236">
        <f>E48</f>
        <v>14.673164999999001</v>
      </c>
      <c r="H61" s="236" t="str">
        <f>G48</f>
        <v>C</v>
      </c>
      <c r="I61" s="238"/>
    </row>
    <row r="62" spans="2:14" x14ac:dyDescent="0.25">
      <c r="B62" s="233" t="s">
        <v>567</v>
      </c>
      <c r="C62" s="255">
        <v>16</v>
      </c>
      <c r="D62" s="235" t="s">
        <v>564</v>
      </c>
      <c r="E62" s="235" t="s">
        <v>157</v>
      </c>
      <c r="F62" s="235" t="s">
        <v>566</v>
      </c>
      <c r="G62" s="236">
        <f>K48</f>
        <v>3.9519600000003265</v>
      </c>
      <c r="H62" s="236" t="str">
        <f>M48</f>
        <v>C</v>
      </c>
      <c r="I62" s="238"/>
    </row>
    <row r="63" spans="2:14" x14ac:dyDescent="0.25">
      <c r="B63" s="233" t="s">
        <v>568</v>
      </c>
      <c r="C63" s="255">
        <v>17</v>
      </c>
      <c r="D63" s="235" t="s">
        <v>564</v>
      </c>
      <c r="E63" s="235" t="s">
        <v>509</v>
      </c>
      <c r="F63" s="235" t="s">
        <v>566</v>
      </c>
      <c r="G63" s="236">
        <f>E29</f>
        <v>15.899519999999999</v>
      </c>
      <c r="H63" s="236" t="str">
        <f>G29</f>
        <v>T</v>
      </c>
      <c r="I63" s="256"/>
    </row>
    <row r="64" spans="2:14" x14ac:dyDescent="0.25">
      <c r="B64" s="233" t="s">
        <v>569</v>
      </c>
      <c r="C64" s="255">
        <v>18</v>
      </c>
      <c r="D64" s="235" t="s">
        <v>564</v>
      </c>
      <c r="E64" s="235" t="s">
        <v>509</v>
      </c>
      <c r="F64" s="235" t="s">
        <v>566</v>
      </c>
      <c r="G64" s="236">
        <f>K29</f>
        <v>15.899519999999999</v>
      </c>
      <c r="H64" s="236" t="str">
        <f>M29</f>
        <v>C</v>
      </c>
      <c r="I64" s="238"/>
    </row>
    <row r="65" spans="2:10" x14ac:dyDescent="0.25">
      <c r="B65" s="233" t="s">
        <v>512</v>
      </c>
      <c r="C65" s="255">
        <v>3</v>
      </c>
      <c r="D65" s="235" t="s">
        <v>564</v>
      </c>
      <c r="E65" s="235" t="s">
        <v>509</v>
      </c>
      <c r="F65" s="235" t="s">
        <v>513</v>
      </c>
      <c r="G65" s="236">
        <f>E30</f>
        <v>-6.1151999999999997</v>
      </c>
      <c r="H65" s="236" t="str">
        <f>G30</f>
        <v>T</v>
      </c>
      <c r="I65" s="238"/>
    </row>
    <row r="66" spans="2:10" x14ac:dyDescent="0.25">
      <c r="B66" s="233" t="s">
        <v>515</v>
      </c>
      <c r="C66" s="255">
        <v>4</v>
      </c>
      <c r="D66" s="235" t="s">
        <v>564</v>
      </c>
      <c r="E66" s="235" t="s">
        <v>157</v>
      </c>
      <c r="F66" s="235" t="s">
        <v>513</v>
      </c>
      <c r="G66" s="236">
        <f>E45</f>
        <v>5.4919600000002902</v>
      </c>
      <c r="H66" s="236" t="str">
        <f>G45</f>
        <v>T</v>
      </c>
      <c r="I66" s="238"/>
    </row>
    <row r="67" spans="2:10" x14ac:dyDescent="0.25">
      <c r="B67" s="233" t="s">
        <v>514</v>
      </c>
      <c r="C67" s="255">
        <v>5</v>
      </c>
      <c r="D67" s="235" t="s">
        <v>564</v>
      </c>
      <c r="E67" s="235" t="s">
        <v>509</v>
      </c>
      <c r="F67" s="235" t="s">
        <v>513</v>
      </c>
      <c r="G67" s="236">
        <f>K30</f>
        <v>-6.1151999999999997</v>
      </c>
      <c r="H67" s="236" t="str">
        <f>M30</f>
        <v>C</v>
      </c>
      <c r="I67" s="238"/>
    </row>
    <row r="68" spans="2:10" ht="15.75" thickBot="1" x14ac:dyDescent="0.3">
      <c r="B68" s="229" t="s">
        <v>516</v>
      </c>
      <c r="C68" s="257">
        <v>6</v>
      </c>
      <c r="D68" s="240" t="s">
        <v>564</v>
      </c>
      <c r="E68" s="240" t="s">
        <v>157</v>
      </c>
      <c r="F68" s="240" t="s">
        <v>513</v>
      </c>
      <c r="G68" s="241">
        <f>K50</f>
        <v>1.5199846153847412</v>
      </c>
      <c r="H68" s="241" t="str">
        <f>M50</f>
        <v>T</v>
      </c>
      <c r="I68" s="243"/>
    </row>
    <row r="69" spans="2:10" ht="15.75" thickTop="1" x14ac:dyDescent="0.25">
      <c r="F69" s="220"/>
    </row>
    <row r="70" spans="2:10" x14ac:dyDescent="0.25">
      <c r="J70" s="213"/>
    </row>
    <row r="98" spans="3:6" x14ac:dyDescent="0.25">
      <c r="C98" s="213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#1
Braced-Frame: &amp;"-,Regular"Wind&amp;R&amp;"-,Bold"Ana Gouveia
&amp;D</oddHeader>
    <oddFooter>&amp;CSection A-9
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workbookViewId="0">
      <selection activeCell="J30" sqref="J30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.5703125" customWidth="1"/>
    <col min="4" max="4" width="11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8.42578125" customWidth="1"/>
    <col min="10" max="10" width="6.5703125" customWidth="1"/>
    <col min="11" max="11" width="9.7109375" customWidth="1"/>
    <col min="12" max="12" width="6.42578125" customWidth="1"/>
    <col min="13" max="13" width="1.42578125" customWidth="1"/>
    <col min="14" max="14" width="0.5703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K9" s="148"/>
    </row>
    <row r="11" spans="2:14" x14ac:dyDescent="0.25">
      <c r="E11" t="s">
        <v>517</v>
      </c>
    </row>
    <row r="13" spans="2:14" x14ac:dyDescent="0.25">
      <c r="D13" s="116" t="s">
        <v>518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519</v>
      </c>
      <c r="E14" s="48">
        <v>15</v>
      </c>
      <c r="F14" t="s">
        <v>19</v>
      </c>
    </row>
    <row r="15" spans="2:14" x14ac:dyDescent="0.25">
      <c r="D15" s="116" t="s">
        <v>520</v>
      </c>
      <c r="E15" s="48">
        <v>36</v>
      </c>
      <c r="F15" t="s">
        <v>19</v>
      </c>
    </row>
    <row r="16" spans="2:14" ht="18" x14ac:dyDescent="0.35">
      <c r="D16" s="116" t="s">
        <v>521</v>
      </c>
      <c r="E16" s="145">
        <f>'Project Loads'!C45</f>
        <v>20.76727884361727</v>
      </c>
      <c r="F16" t="s">
        <v>303</v>
      </c>
      <c r="I16" s="258"/>
    </row>
    <row r="17" spans="2:14" ht="18" x14ac:dyDescent="0.35">
      <c r="D17" s="116" t="s">
        <v>522</v>
      </c>
      <c r="E17" s="145">
        <f>'Project Loads'!F45</f>
        <v>20.438676327511949</v>
      </c>
      <c r="F17" t="s">
        <v>303</v>
      </c>
      <c r="I17" s="258"/>
    </row>
    <row r="19" spans="2:14" ht="15.75" thickBot="1" x14ac:dyDescent="0.3">
      <c r="B19" s="214" t="s">
        <v>444</v>
      </c>
      <c r="C19" s="214"/>
      <c r="D19" s="214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 spans="2:14" ht="15.75" thickTop="1" x14ac:dyDescent="0.25">
      <c r="B20" s="1"/>
      <c r="C20" s="1"/>
      <c r="D20" s="1"/>
    </row>
    <row r="21" spans="2:14" x14ac:dyDescent="0.25">
      <c r="B21" s="1" t="s">
        <v>523</v>
      </c>
      <c r="F21" s="6"/>
    </row>
    <row r="22" spans="2:14" x14ac:dyDescent="0.25">
      <c r="B22" s="1"/>
      <c r="D22" s="116" t="s">
        <v>524</v>
      </c>
      <c r="E22" s="5"/>
      <c r="F22" s="6" t="str">
        <f>F16</f>
        <v>kip</v>
      </c>
      <c r="G22" t="s">
        <v>525</v>
      </c>
    </row>
    <row r="23" spans="2:14" x14ac:dyDescent="0.25">
      <c r="B23" s="1"/>
      <c r="D23" s="116" t="s">
        <v>526</v>
      </c>
      <c r="E23" s="5">
        <f>-E22</f>
        <v>0</v>
      </c>
      <c r="F23" s="6" t="str">
        <f>F22</f>
        <v>kip</v>
      </c>
      <c r="G23" t="s">
        <v>527</v>
      </c>
    </row>
    <row r="24" spans="2:14" x14ac:dyDescent="0.25">
      <c r="B24" s="1"/>
      <c r="D24" s="116" t="s">
        <v>528</v>
      </c>
      <c r="E24" s="5">
        <f>-(E17+E16)/2</f>
        <v>-20.602977585564609</v>
      </c>
      <c r="F24" s="6" t="str">
        <f>F16</f>
        <v>kip</v>
      </c>
      <c r="G24" t="s">
        <v>529</v>
      </c>
    </row>
    <row r="25" spans="2:14" x14ac:dyDescent="0.25">
      <c r="B25" s="1"/>
      <c r="D25" s="116" t="s">
        <v>530</v>
      </c>
      <c r="E25" s="5">
        <f>E24</f>
        <v>-20.602977585564609</v>
      </c>
      <c r="F25" s="6" t="str">
        <f>F24</f>
        <v>kip</v>
      </c>
      <c r="G25" t="s">
        <v>529</v>
      </c>
      <c r="H25" s="212"/>
    </row>
    <row r="26" spans="2:14" x14ac:dyDescent="0.25">
      <c r="B26" s="1" t="s">
        <v>531</v>
      </c>
      <c r="F26" s="6"/>
      <c r="J26" s="1" t="s">
        <v>532</v>
      </c>
    </row>
    <row r="27" spans="2:14" ht="18" x14ac:dyDescent="0.35">
      <c r="B27" t="s">
        <v>533</v>
      </c>
      <c r="D27" s="116" t="s">
        <v>534</v>
      </c>
      <c r="E27" s="25">
        <f>(E16+E17)/2</f>
        <v>20.602977585564609</v>
      </c>
      <c r="F27" s="6" t="str">
        <f>F22</f>
        <v>kip</v>
      </c>
      <c r="J27" t="s">
        <v>534</v>
      </c>
      <c r="K27" s="25">
        <f>E27</f>
        <v>20.602977585564609</v>
      </c>
      <c r="L27" s="6" t="str">
        <f>F27</f>
        <v>kip</v>
      </c>
    </row>
    <row r="28" spans="2:14" ht="18" x14ac:dyDescent="0.35">
      <c r="B28" s="1"/>
      <c r="D28" s="116" t="s">
        <v>535</v>
      </c>
      <c r="E28" s="25">
        <f>-E14*E27/E15</f>
        <v>-8.5845739939852539</v>
      </c>
      <c r="F28" s="6" t="str">
        <f t="shared" ref="F28:F30" si="0">F23</f>
        <v>kip</v>
      </c>
      <c r="J28" t="s">
        <v>536</v>
      </c>
      <c r="K28" s="25">
        <f>E28</f>
        <v>-8.5845739939852539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537</v>
      </c>
      <c r="D29" s="116" t="s">
        <v>538</v>
      </c>
      <c r="E29" s="25">
        <f>-E24*E13/E15</f>
        <v>22.319892384361662</v>
      </c>
      <c r="F29" s="6" t="str">
        <f t="shared" si="0"/>
        <v>kip</v>
      </c>
      <c r="G29" t="s">
        <v>67</v>
      </c>
      <c r="J29" t="s">
        <v>539</v>
      </c>
      <c r="K29" s="25">
        <f>E29</f>
        <v>22.319892384361662</v>
      </c>
      <c r="L29" s="6" t="str">
        <f t="shared" si="1"/>
        <v>kip</v>
      </c>
      <c r="M29" t="s">
        <v>9</v>
      </c>
    </row>
    <row r="30" spans="2:14" ht="18" x14ac:dyDescent="0.35">
      <c r="B30" s="33" t="s">
        <v>540</v>
      </c>
      <c r="D30" s="116" t="s">
        <v>541</v>
      </c>
      <c r="E30" s="25">
        <f>(-E23-E29*E14/E13)</f>
        <v>-8.5845739939852557</v>
      </c>
      <c r="F30" s="6" t="str">
        <f t="shared" si="0"/>
        <v>kip</v>
      </c>
      <c r="G30" t="s">
        <v>67</v>
      </c>
      <c r="J30" t="s">
        <v>542</v>
      </c>
      <c r="K30" s="25">
        <f>E30</f>
        <v>-8.5845739939852557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543</v>
      </c>
      <c r="D32" s="5"/>
      <c r="F32" s="7"/>
      <c r="H32" s="5"/>
      <c r="I32" s="1"/>
      <c r="L32" s="6"/>
    </row>
    <row r="33" spans="2:13" ht="18" x14ac:dyDescent="0.35">
      <c r="B33" s="33" t="s">
        <v>544</v>
      </c>
      <c r="D33" s="5">
        <f>E14</f>
        <v>15</v>
      </c>
      <c r="E33" s="116" t="s">
        <v>545</v>
      </c>
      <c r="F33" s="247">
        <f>2*(E14*E15/E13)</f>
        <v>27.692307692307693</v>
      </c>
      <c r="G33" s="248" t="s">
        <v>546</v>
      </c>
      <c r="H33" s="5">
        <f>-E15</f>
        <v>-36</v>
      </c>
      <c r="I33" s="116" t="s">
        <v>547</v>
      </c>
      <c r="J33" s="116" t="s">
        <v>548</v>
      </c>
      <c r="K33" s="5">
        <v>29.1</v>
      </c>
      <c r="L33" s="249">
        <f>+E17*E14-E15*E30+0.01</f>
        <v>615.63480869614841</v>
      </c>
    </row>
    <row r="34" spans="2:13" ht="18" x14ac:dyDescent="0.35">
      <c r="B34" s="33" t="s">
        <v>549</v>
      </c>
      <c r="D34" s="5">
        <v>-1</v>
      </c>
      <c r="E34" s="116" t="s">
        <v>545</v>
      </c>
      <c r="F34" s="250">
        <f>-E15/E13</f>
        <v>-0.92307692307692313</v>
      </c>
      <c r="G34" s="248" t="s">
        <v>546</v>
      </c>
      <c r="H34" s="5">
        <v>0</v>
      </c>
      <c r="I34" s="116" t="s">
        <v>547</v>
      </c>
      <c r="J34" s="116" t="s">
        <v>548</v>
      </c>
      <c r="K34" s="5">
        <v>-6.25</v>
      </c>
      <c r="L34" s="249">
        <f>((E15/E13)*K29-E17)</f>
        <v>0.16430125805266371</v>
      </c>
    </row>
    <row r="35" spans="2:13" ht="18" x14ac:dyDescent="0.35">
      <c r="B35" s="33" t="s">
        <v>550</v>
      </c>
      <c r="D35" s="5">
        <v>0</v>
      </c>
      <c r="E35" s="116" t="s">
        <v>545</v>
      </c>
      <c r="F35" s="250">
        <f>-E14/E13</f>
        <v>-0.38461538461538464</v>
      </c>
      <c r="G35" s="248" t="s">
        <v>546</v>
      </c>
      <c r="H35" s="5">
        <v>1</v>
      </c>
      <c r="I35" s="116" t="s">
        <v>547</v>
      </c>
      <c r="J35" s="116" t="s">
        <v>548</v>
      </c>
      <c r="K35" s="5">
        <v>1.796</v>
      </c>
      <c r="L35" s="249">
        <f>+E30-(E14/E13)*K29</f>
        <v>-17.169147987970511</v>
      </c>
    </row>
    <row r="36" spans="2:13" x14ac:dyDescent="0.25">
      <c r="B36" s="1"/>
      <c r="F36" s="6"/>
      <c r="G36" s="216"/>
      <c r="I36" s="1"/>
      <c r="L36" s="6"/>
    </row>
    <row r="37" spans="2:13" x14ac:dyDescent="0.25">
      <c r="B37" s="1" t="s">
        <v>551</v>
      </c>
      <c r="F37" s="6"/>
      <c r="G37" s="216"/>
      <c r="J37" s="1" t="s">
        <v>552</v>
      </c>
      <c r="L37" s="6"/>
    </row>
    <row r="38" spans="2:13" ht="18" x14ac:dyDescent="0.35">
      <c r="B38" s="1"/>
      <c r="D38" s="7">
        <v>61.533000000000001</v>
      </c>
      <c r="E38" s="252">
        <v>922</v>
      </c>
      <c r="F38" s="7">
        <v>2215.1999999999998</v>
      </c>
      <c r="J38" s="222" t="s">
        <v>553</v>
      </c>
      <c r="K38" s="25">
        <f>D38*K33+E38*K34+F38*K35</f>
        <v>6.6095000000000255</v>
      </c>
      <c r="L38" s="6"/>
    </row>
    <row r="39" spans="2:13" ht="18" x14ac:dyDescent="0.35">
      <c r="B39" s="1"/>
      <c r="D39" s="7">
        <v>-66.665999999999997</v>
      </c>
      <c r="E39" s="252">
        <v>-1000</v>
      </c>
      <c r="F39" s="253">
        <v>-2400</v>
      </c>
      <c r="J39" s="222" t="s">
        <v>554</v>
      </c>
      <c r="K39" s="25">
        <f>D39*K33+E39*K34+F39*K35</f>
        <v>-0.38060000000041327</v>
      </c>
      <c r="L39" s="6"/>
    </row>
    <row r="40" spans="2:13" ht="18" x14ac:dyDescent="0.35">
      <c r="B40" s="1"/>
      <c r="D40" s="7">
        <v>-25.666</v>
      </c>
      <c r="E40" s="7">
        <v>-385</v>
      </c>
      <c r="F40" s="253">
        <v>-923</v>
      </c>
      <c r="J40" s="222" t="s">
        <v>555</v>
      </c>
      <c r="K40" s="25">
        <f>D40*K33+E40*K34+F40*K35</f>
        <v>1.6613999999999578</v>
      </c>
      <c r="L40" s="6"/>
    </row>
    <row r="41" spans="2:13" x14ac:dyDescent="0.25">
      <c r="B41" s="1"/>
      <c r="F41" s="6"/>
      <c r="G41" s="216"/>
      <c r="I41" s="1"/>
      <c r="L41" s="6"/>
    </row>
    <row r="42" spans="2:13" x14ac:dyDescent="0.25">
      <c r="B42" s="1" t="s">
        <v>471</v>
      </c>
      <c r="F42" s="6"/>
      <c r="I42" s="1" t="s">
        <v>473</v>
      </c>
      <c r="L42" s="6"/>
    </row>
    <row r="43" spans="2:13" ht="18" x14ac:dyDescent="0.35">
      <c r="B43" s="33" t="s">
        <v>537</v>
      </c>
      <c r="D43" s="248" t="s">
        <v>546</v>
      </c>
      <c r="E43" s="154">
        <f>K39</f>
        <v>-0.38060000000041327</v>
      </c>
      <c r="F43" s="6" t="str">
        <f>F22</f>
        <v>kip</v>
      </c>
      <c r="G43" s="254" t="s">
        <v>9</v>
      </c>
      <c r="J43" s="222" t="s">
        <v>556</v>
      </c>
      <c r="K43" s="25">
        <f>$E$29-($E$13/$E$15)*$E$44</f>
        <v>15.159600717694968</v>
      </c>
      <c r="L43" s="6" t="str">
        <f>L27</f>
        <v>kip</v>
      </c>
      <c r="M43" t="s">
        <v>9</v>
      </c>
    </row>
    <row r="44" spans="2:13" ht="18" x14ac:dyDescent="0.35">
      <c r="B44" s="33" t="s">
        <v>557</v>
      </c>
      <c r="D44" s="116" t="s">
        <v>545</v>
      </c>
      <c r="E44" s="154">
        <f>K38</f>
        <v>6.6095000000000255</v>
      </c>
      <c r="F44" s="6" t="str">
        <f>F23</f>
        <v>kip</v>
      </c>
      <c r="G44" t="s">
        <v>9</v>
      </c>
      <c r="J44" s="116" t="s">
        <v>545</v>
      </c>
      <c r="K44" s="154">
        <f>E44</f>
        <v>6.6095000000000255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540</v>
      </c>
      <c r="D45" s="116" t="s">
        <v>547</v>
      </c>
      <c r="E45" s="154">
        <f>K40</f>
        <v>1.6613999999999578</v>
      </c>
      <c r="F45" s="6" t="str">
        <f>F24</f>
        <v>kip</v>
      </c>
      <c r="G45" t="s">
        <v>67</v>
      </c>
      <c r="J45" s="222" t="s">
        <v>558</v>
      </c>
      <c r="K45" s="25">
        <f>$E$43*($E$14/$E$13)</f>
        <v>-0.14638461538477435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455</v>
      </c>
      <c r="F47" s="6"/>
      <c r="I47" s="1" t="s">
        <v>457</v>
      </c>
      <c r="L47" s="6"/>
    </row>
    <row r="48" spans="2:13" ht="18" x14ac:dyDescent="0.35">
      <c r="B48" s="33" t="s">
        <v>537</v>
      </c>
      <c r="D48" s="116" t="s">
        <v>559</v>
      </c>
      <c r="E48" s="58">
        <f>K43</f>
        <v>15.159600717694968</v>
      </c>
      <c r="F48" s="6" t="str">
        <f>F22</f>
        <v>kip</v>
      </c>
      <c r="G48" t="str">
        <f>M43</f>
        <v>C</v>
      </c>
      <c r="J48" s="116" t="s">
        <v>546</v>
      </c>
      <c r="K48" s="58">
        <f>E43</f>
        <v>-0.38060000000041327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557</v>
      </c>
      <c r="D49" s="222" t="s">
        <v>560</v>
      </c>
      <c r="E49" s="38">
        <f>E43*(E15/E13)</f>
        <v>-0.35132307692345843</v>
      </c>
      <c r="F49" s="6" t="str">
        <f>F23</f>
        <v>kip</v>
      </c>
      <c r="G49" t="s">
        <v>67</v>
      </c>
      <c r="J49" s="116" t="s">
        <v>561</v>
      </c>
      <c r="K49" s="58">
        <f>E49</f>
        <v>-0.35132307692345843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540</v>
      </c>
      <c r="D50" s="116" t="s">
        <v>562</v>
      </c>
      <c r="E50" s="154">
        <f>E45</f>
        <v>1.6613999999999578</v>
      </c>
      <c r="F50" s="6" t="str">
        <f>F24</f>
        <v>kip</v>
      </c>
      <c r="G50" t="str">
        <f>G45</f>
        <v>T</v>
      </c>
      <c r="J50" s="116" t="s">
        <v>563</v>
      </c>
      <c r="K50" s="58">
        <f>K45</f>
        <v>-0.14638461538477435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20"/>
    </row>
    <row r="55" spans="2:14" ht="15.75" thickBot="1" x14ac:dyDescent="0.3">
      <c r="B55" s="214" t="s">
        <v>499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spans="2:14" ht="15.75" thickTop="1" x14ac:dyDescent="0.25">
      <c r="F56" s="220"/>
    </row>
    <row r="57" spans="2:14" ht="30" x14ac:dyDescent="0.25">
      <c r="B57" s="224"/>
      <c r="C57" s="226" t="s">
        <v>93</v>
      </c>
      <c r="D57" s="226" t="s">
        <v>500</v>
      </c>
      <c r="E57" s="226" t="s">
        <v>319</v>
      </c>
      <c r="F57" s="226" t="s">
        <v>501</v>
      </c>
      <c r="G57" s="226" t="s">
        <v>502</v>
      </c>
      <c r="H57" s="226" t="s">
        <v>503</v>
      </c>
      <c r="I57" s="228" t="s">
        <v>504</v>
      </c>
    </row>
    <row r="58" spans="2:14" ht="15.75" thickBot="1" x14ac:dyDescent="0.3">
      <c r="B58" s="229"/>
      <c r="C58" s="230" t="s">
        <v>505</v>
      </c>
      <c r="D58" s="231" t="s">
        <v>506</v>
      </c>
      <c r="E58" s="230" t="s">
        <v>507</v>
      </c>
      <c r="F58" s="230"/>
      <c r="G58" s="230" t="s">
        <v>190</v>
      </c>
      <c r="H58" s="230"/>
      <c r="I58" s="232" t="s">
        <v>328</v>
      </c>
    </row>
    <row r="59" spans="2:14" ht="15.75" thickTop="1" x14ac:dyDescent="0.25">
      <c r="B59" s="233" t="s">
        <v>508</v>
      </c>
      <c r="C59" s="255">
        <v>10</v>
      </c>
      <c r="D59" s="235" t="s">
        <v>564</v>
      </c>
      <c r="E59" s="235" t="s">
        <v>509</v>
      </c>
      <c r="F59" s="235" t="s">
        <v>510</v>
      </c>
      <c r="G59" s="236">
        <f>K43</f>
        <v>15.159600717694968</v>
      </c>
      <c r="H59" s="236" t="str">
        <f>M43</f>
        <v>C</v>
      </c>
      <c r="I59" s="238"/>
    </row>
    <row r="60" spans="2:14" x14ac:dyDescent="0.25">
      <c r="B60" s="233" t="s">
        <v>511</v>
      </c>
      <c r="C60" s="255">
        <v>13</v>
      </c>
      <c r="D60" s="235" t="s">
        <v>564</v>
      </c>
      <c r="E60" s="235" t="s">
        <v>157</v>
      </c>
      <c r="F60" s="235" t="s">
        <v>510</v>
      </c>
      <c r="G60" s="236">
        <f>E49</f>
        <v>-0.35132307692345843</v>
      </c>
      <c r="H60" s="236" t="str">
        <f>G49</f>
        <v>T</v>
      </c>
      <c r="I60" s="238"/>
    </row>
    <row r="61" spans="2:14" x14ac:dyDescent="0.25">
      <c r="B61" s="233" t="s">
        <v>565</v>
      </c>
      <c r="C61" s="255">
        <v>15</v>
      </c>
      <c r="D61" s="235" t="s">
        <v>564</v>
      </c>
      <c r="E61" s="235" t="s">
        <v>157</v>
      </c>
      <c r="F61" s="235" t="s">
        <v>566</v>
      </c>
      <c r="G61" s="236">
        <f>E48</f>
        <v>15.159600717694968</v>
      </c>
      <c r="H61" s="236" t="str">
        <f>G48</f>
        <v>C</v>
      </c>
      <c r="I61" s="238"/>
    </row>
    <row r="62" spans="2:14" x14ac:dyDescent="0.25">
      <c r="B62" s="233" t="s">
        <v>567</v>
      </c>
      <c r="C62" s="255">
        <v>16</v>
      </c>
      <c r="D62" s="235" t="s">
        <v>564</v>
      </c>
      <c r="E62" s="235" t="s">
        <v>157</v>
      </c>
      <c r="F62" s="235" t="s">
        <v>566</v>
      </c>
      <c r="G62" s="236">
        <f>K48</f>
        <v>-0.38060000000041327</v>
      </c>
      <c r="H62" s="236" t="str">
        <f>M48</f>
        <v>C</v>
      </c>
      <c r="I62" s="238"/>
    </row>
    <row r="63" spans="2:14" x14ac:dyDescent="0.25">
      <c r="B63" s="233" t="s">
        <v>568</v>
      </c>
      <c r="C63" s="255">
        <v>17</v>
      </c>
      <c r="D63" s="235" t="s">
        <v>564</v>
      </c>
      <c r="E63" s="235" t="s">
        <v>509</v>
      </c>
      <c r="F63" s="235" t="s">
        <v>566</v>
      </c>
      <c r="G63" s="236">
        <f>E29</f>
        <v>22.319892384361662</v>
      </c>
      <c r="H63" s="236" t="str">
        <f>G29</f>
        <v>T</v>
      </c>
      <c r="I63" s="256"/>
    </row>
    <row r="64" spans="2:14" x14ac:dyDescent="0.25">
      <c r="B64" s="233" t="s">
        <v>569</v>
      </c>
      <c r="C64" s="255">
        <v>18</v>
      </c>
      <c r="D64" s="235" t="s">
        <v>564</v>
      </c>
      <c r="E64" s="235" t="s">
        <v>509</v>
      </c>
      <c r="F64" s="235" t="s">
        <v>566</v>
      </c>
      <c r="G64" s="236">
        <f>K29</f>
        <v>22.319892384361662</v>
      </c>
      <c r="H64" s="236" t="str">
        <f>M29</f>
        <v>C</v>
      </c>
      <c r="I64" s="238"/>
    </row>
    <row r="65" spans="2:10" x14ac:dyDescent="0.25">
      <c r="B65" s="233" t="s">
        <v>512</v>
      </c>
      <c r="C65" s="255">
        <v>3</v>
      </c>
      <c r="D65" s="235" t="s">
        <v>564</v>
      </c>
      <c r="E65" s="235" t="s">
        <v>509</v>
      </c>
      <c r="F65" s="235" t="s">
        <v>513</v>
      </c>
      <c r="G65" s="236">
        <f>E30</f>
        <v>-8.5845739939852557</v>
      </c>
      <c r="H65" s="236" t="str">
        <f>G30</f>
        <v>T</v>
      </c>
      <c r="I65" s="238"/>
    </row>
    <row r="66" spans="2:10" x14ac:dyDescent="0.25">
      <c r="B66" s="233" t="s">
        <v>515</v>
      </c>
      <c r="C66" s="255">
        <v>4</v>
      </c>
      <c r="D66" s="235" t="s">
        <v>564</v>
      </c>
      <c r="E66" s="235" t="s">
        <v>157</v>
      </c>
      <c r="F66" s="235" t="s">
        <v>513</v>
      </c>
      <c r="G66" s="236">
        <f>E45</f>
        <v>1.6613999999999578</v>
      </c>
      <c r="H66" s="236" t="str">
        <f>G45</f>
        <v>T</v>
      </c>
      <c r="I66" s="238"/>
    </row>
    <row r="67" spans="2:10" x14ac:dyDescent="0.25">
      <c r="B67" s="233" t="s">
        <v>514</v>
      </c>
      <c r="C67" s="255">
        <v>5</v>
      </c>
      <c r="D67" s="235" t="s">
        <v>564</v>
      </c>
      <c r="E67" s="235" t="s">
        <v>509</v>
      </c>
      <c r="F67" s="235" t="s">
        <v>513</v>
      </c>
      <c r="G67" s="236">
        <f>K30</f>
        <v>-8.5845739939852557</v>
      </c>
      <c r="H67" s="236" t="str">
        <f>M30</f>
        <v>C</v>
      </c>
      <c r="I67" s="238"/>
    </row>
    <row r="68" spans="2:10" ht="15.75" thickBot="1" x14ac:dyDescent="0.3">
      <c r="B68" s="229" t="s">
        <v>516</v>
      </c>
      <c r="C68" s="257">
        <v>6</v>
      </c>
      <c r="D68" s="240" t="s">
        <v>564</v>
      </c>
      <c r="E68" s="240" t="s">
        <v>157</v>
      </c>
      <c r="F68" s="240" t="s">
        <v>513</v>
      </c>
      <c r="G68" s="241">
        <f>K50</f>
        <v>-0.14638461538477435</v>
      </c>
      <c r="H68" s="241" t="str">
        <f>M50</f>
        <v>T</v>
      </c>
      <c r="I68" s="243"/>
    </row>
    <row r="69" spans="2:10" ht="15.75" thickTop="1" x14ac:dyDescent="0.25">
      <c r="F69" s="220"/>
    </row>
    <row r="70" spans="2:10" x14ac:dyDescent="0.25">
      <c r="J70" s="213"/>
    </row>
    <row r="98" spans="3:6" x14ac:dyDescent="0.25">
      <c r="C98" s="213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#2
Braced-Frame: &amp;"-,Regular"Seismic&amp;R&amp;"-,Bold"Ana Gouveia
&amp;D</oddHeader>
    <oddFooter>&amp;CSection A-10
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B1" workbookViewId="0">
      <selection activeCell="K51" sqref="K51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7.2851562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438</v>
      </c>
      <c r="J12" t="s">
        <v>439</v>
      </c>
    </row>
    <row r="13" spans="2:14" x14ac:dyDescent="0.25">
      <c r="D13" s="116" t="s">
        <v>440</v>
      </c>
      <c r="E13" s="48">
        <v>15</v>
      </c>
      <c r="F13" s="6" t="s">
        <v>19</v>
      </c>
    </row>
    <row r="14" spans="2:14" x14ac:dyDescent="0.25">
      <c r="D14" s="116" t="s">
        <v>441</v>
      </c>
      <c r="E14" s="48">
        <v>24</v>
      </c>
      <c r="F14" s="6" t="s">
        <v>19</v>
      </c>
    </row>
    <row r="15" spans="2:14" ht="18" x14ac:dyDescent="0.35">
      <c r="D15" s="116" t="s">
        <v>442</v>
      </c>
      <c r="E15" s="145">
        <f>'[4]Project Loads'!D72</f>
        <v>9.7843199999999992</v>
      </c>
      <c r="F15" s="6" t="s">
        <v>303</v>
      </c>
    </row>
    <row r="16" spans="2:14" ht="18" x14ac:dyDescent="0.35">
      <c r="D16" s="116" t="s">
        <v>443</v>
      </c>
      <c r="E16" s="145">
        <f>'[4]Project Loads'!G72</f>
        <v>19.568639999999998</v>
      </c>
      <c r="F16" s="6" t="s">
        <v>303</v>
      </c>
    </row>
    <row r="17" spans="2:14" x14ac:dyDescent="0.25">
      <c r="E17" s="5"/>
      <c r="F17" s="6"/>
    </row>
    <row r="18" spans="2:14" ht="15.75" thickBot="1" x14ac:dyDescent="0.3">
      <c r="B18" s="214" t="s">
        <v>444</v>
      </c>
      <c r="C18" s="214"/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2:14" ht="15.75" thickTop="1" x14ac:dyDescent="0.25">
      <c r="B19" s="1"/>
      <c r="C19" s="1"/>
      <c r="D19" s="1"/>
    </row>
    <row r="20" spans="2:14" x14ac:dyDescent="0.25">
      <c r="B20" s="1" t="s">
        <v>445</v>
      </c>
    </row>
    <row r="21" spans="2:14" ht="18" x14ac:dyDescent="0.35">
      <c r="B21" t="s">
        <v>446</v>
      </c>
    </row>
    <row r="22" spans="2:14" ht="18" x14ac:dyDescent="0.35">
      <c r="D22" s="116" t="s">
        <v>442</v>
      </c>
      <c r="E22" s="25">
        <f>E15</f>
        <v>9.7843199999999992</v>
      </c>
      <c r="F22" s="6" t="s">
        <v>447</v>
      </c>
    </row>
    <row r="23" spans="2:14" x14ac:dyDescent="0.25">
      <c r="D23" s="116" t="s">
        <v>448</v>
      </c>
      <c r="E23" s="48">
        <v>2</v>
      </c>
      <c r="F23" s="6"/>
    </row>
    <row r="24" spans="2:14" ht="18" x14ac:dyDescent="0.35">
      <c r="D24" s="116" t="s">
        <v>449</v>
      </c>
      <c r="E24" s="25">
        <f>E22/E23</f>
        <v>4.8921599999999996</v>
      </c>
      <c r="F24" s="6" t="s">
        <v>447</v>
      </c>
    </row>
    <row r="25" spans="2:14" x14ac:dyDescent="0.25">
      <c r="B25" s="116"/>
      <c r="C25" s="216"/>
      <c r="E25" s="5"/>
      <c r="F25" s="6"/>
      <c r="H25" s="212"/>
    </row>
    <row r="26" spans="2:14" x14ac:dyDescent="0.25">
      <c r="B26" s="116"/>
      <c r="F26" s="6"/>
    </row>
    <row r="27" spans="2:14" x14ac:dyDescent="0.25">
      <c r="B27" s="149" t="s">
        <v>450</v>
      </c>
      <c r="F27" s="6"/>
    </row>
    <row r="28" spans="2:14" ht="18" x14ac:dyDescent="0.35">
      <c r="C28" s="116"/>
      <c r="D28" s="116" t="s">
        <v>451</v>
      </c>
      <c r="E28" s="25">
        <f>E24*E13/2</f>
        <v>36.691199999999995</v>
      </c>
      <c r="F28" s="6" t="s">
        <v>452</v>
      </c>
    </row>
    <row r="29" spans="2:14" ht="18" x14ac:dyDescent="0.35">
      <c r="C29" s="116"/>
      <c r="D29" s="116" t="s">
        <v>453</v>
      </c>
      <c r="E29" s="25">
        <f>E28</f>
        <v>36.691199999999995</v>
      </c>
      <c r="F29" s="6" t="s">
        <v>452</v>
      </c>
    </row>
    <row r="30" spans="2:14" x14ac:dyDescent="0.25">
      <c r="E30" s="5"/>
    </row>
    <row r="31" spans="2:14" ht="15.75" thickBot="1" x14ac:dyDescent="0.3">
      <c r="B31" s="54" t="s">
        <v>454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17"/>
    </row>
    <row r="34" spans="2:20" x14ac:dyDescent="0.25">
      <c r="B34" s="116" t="s">
        <v>455</v>
      </c>
      <c r="G34" t="s">
        <v>456</v>
      </c>
      <c r="L34" t="s">
        <v>457</v>
      </c>
    </row>
    <row r="42" spans="2:20" x14ac:dyDescent="0.25">
      <c r="B42" s="1" t="s">
        <v>458</v>
      </c>
      <c r="G42" s="218"/>
      <c r="H42" s="218"/>
      <c r="I42" s="219" t="s">
        <v>459</v>
      </c>
      <c r="J42" s="219"/>
      <c r="T42" s="218"/>
    </row>
    <row r="43" spans="2:20" ht="18" x14ac:dyDescent="0.35">
      <c r="D43" s="116" t="s">
        <v>460</v>
      </c>
      <c r="E43" s="25">
        <f>E28</f>
        <v>36.691199999999995</v>
      </c>
      <c r="F43" s="6" t="s">
        <v>452</v>
      </c>
      <c r="J43" s="116" t="s">
        <v>461</v>
      </c>
      <c r="K43" s="25">
        <f>E43</f>
        <v>36.691199999999995</v>
      </c>
      <c r="L43" s="6" t="s">
        <v>452</v>
      </c>
      <c r="M43" s="218"/>
    </row>
    <row r="44" spans="2:20" ht="18" x14ac:dyDescent="0.35">
      <c r="B44" s="220" t="s">
        <v>462</v>
      </c>
      <c r="D44" s="116" t="s">
        <v>463</v>
      </c>
      <c r="E44" s="25">
        <f>E22-E24</f>
        <v>4.8921599999999996</v>
      </c>
      <c r="F44" s="6" t="s">
        <v>447</v>
      </c>
      <c r="G44" s="221" t="s">
        <v>9</v>
      </c>
      <c r="H44" s="221"/>
      <c r="J44" s="116" t="s">
        <v>463</v>
      </c>
      <c r="K44" s="25">
        <f>E44</f>
        <v>4.8921599999999996</v>
      </c>
      <c r="L44" s="6" t="s">
        <v>447</v>
      </c>
      <c r="M44" s="221" t="s">
        <v>9</v>
      </c>
    </row>
    <row r="45" spans="2:20" ht="18" x14ac:dyDescent="0.35">
      <c r="B45" s="220" t="s">
        <v>464</v>
      </c>
      <c r="D45" s="116" t="s">
        <v>465</v>
      </c>
      <c r="E45" s="25">
        <f>(E43+E28)/E14</f>
        <v>3.0575999999999994</v>
      </c>
      <c r="F45" s="6" t="s">
        <v>447</v>
      </c>
      <c r="J45" s="116" t="s">
        <v>466</v>
      </c>
      <c r="K45" s="25">
        <f>E45</f>
        <v>3.0575999999999994</v>
      </c>
      <c r="L45" s="6" t="s">
        <v>447</v>
      </c>
    </row>
    <row r="46" spans="2:20" ht="18" x14ac:dyDescent="0.35">
      <c r="B46" s="220" t="s">
        <v>467</v>
      </c>
      <c r="D46" s="116" t="s">
        <v>468</v>
      </c>
      <c r="E46" s="25">
        <f>E45</f>
        <v>3.0575999999999994</v>
      </c>
      <c r="F46" s="6" t="s">
        <v>447</v>
      </c>
      <c r="G46" t="s">
        <v>67</v>
      </c>
      <c r="J46" s="116" t="s">
        <v>469</v>
      </c>
      <c r="K46" s="25">
        <f>K45</f>
        <v>3.0575999999999994</v>
      </c>
      <c r="L46" s="6" t="s">
        <v>447</v>
      </c>
      <c r="M46" t="s">
        <v>9</v>
      </c>
    </row>
    <row r="47" spans="2:20" ht="18" x14ac:dyDescent="0.35">
      <c r="J47" s="116" t="s">
        <v>453</v>
      </c>
      <c r="K47" s="25">
        <f>K43</f>
        <v>36.691199999999995</v>
      </c>
      <c r="L47" s="6" t="s">
        <v>447</v>
      </c>
    </row>
    <row r="48" spans="2:20" x14ac:dyDescent="0.25">
      <c r="K48" s="116"/>
      <c r="L48" s="216"/>
    </row>
    <row r="49" spans="2:12" x14ac:dyDescent="0.25">
      <c r="K49" s="116"/>
      <c r="L49" s="216"/>
    </row>
    <row r="50" spans="2:12" x14ac:dyDescent="0.25">
      <c r="K50" s="116"/>
      <c r="L50" s="216"/>
    </row>
    <row r="51" spans="2:12" x14ac:dyDescent="0.25">
      <c r="B51" s="222" t="s">
        <v>470</v>
      </c>
    </row>
    <row r="70" spans="2:14" x14ac:dyDescent="0.25">
      <c r="C70" s="222" t="s">
        <v>471</v>
      </c>
      <c r="G70" s="1" t="s">
        <v>472</v>
      </c>
      <c r="J70" s="213"/>
      <c r="L70" t="s">
        <v>473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1"/>
      <c r="N73" s="1"/>
    </row>
    <row r="74" spans="2:14" x14ac:dyDescent="0.25">
      <c r="B74" s="149" t="s">
        <v>474</v>
      </c>
      <c r="I74" s="1" t="s">
        <v>473</v>
      </c>
    </row>
    <row r="75" spans="2:14" ht="18" x14ac:dyDescent="0.35">
      <c r="B75" t="s">
        <v>475</v>
      </c>
      <c r="D75" s="116" t="s">
        <v>476</v>
      </c>
      <c r="E75" s="25">
        <f>('[4]Project Loads'!D72+'[4]Project Loads'!G72)/2</f>
        <v>14.676479999999998</v>
      </c>
      <c r="F75" s="6" t="s">
        <v>447</v>
      </c>
      <c r="I75" t="s">
        <v>475</v>
      </c>
      <c r="J75" s="116" t="s">
        <v>476</v>
      </c>
      <c r="K75" s="25">
        <f>E75</f>
        <v>14.676479999999998</v>
      </c>
      <c r="L75" s="6" t="s">
        <v>447</v>
      </c>
    </row>
    <row r="76" spans="2:14" ht="18" x14ac:dyDescent="0.35">
      <c r="B76" t="s">
        <v>477</v>
      </c>
      <c r="D76" s="116" t="s">
        <v>478</v>
      </c>
      <c r="E76" s="25">
        <f>E46</f>
        <v>3.0575999999999994</v>
      </c>
      <c r="F76" s="6" t="s">
        <v>447</v>
      </c>
      <c r="G76" t="s">
        <v>479</v>
      </c>
      <c r="I76" t="s">
        <v>480</v>
      </c>
      <c r="J76" s="116" t="s">
        <v>481</v>
      </c>
      <c r="K76" s="25">
        <f>K46</f>
        <v>3.0575999999999994</v>
      </c>
      <c r="L76" s="6" t="s">
        <v>447</v>
      </c>
      <c r="M76" t="s">
        <v>479</v>
      </c>
    </row>
    <row r="77" spans="2:14" ht="18" x14ac:dyDescent="0.35">
      <c r="B77" t="s">
        <v>482</v>
      </c>
      <c r="D77" s="116" t="s">
        <v>483</v>
      </c>
      <c r="E77" s="5">
        <f>E75*E13/2</f>
        <v>110.07359999999998</v>
      </c>
      <c r="F77" s="6" t="s">
        <v>452</v>
      </c>
      <c r="I77" t="s">
        <v>482</v>
      </c>
      <c r="J77" s="116" t="s">
        <v>484</v>
      </c>
      <c r="K77" s="38">
        <f>E13*K75/2</f>
        <v>110.07359999999998</v>
      </c>
      <c r="L77" s="6" t="s">
        <v>452</v>
      </c>
    </row>
    <row r="78" spans="2:14" ht="18" x14ac:dyDescent="0.35">
      <c r="B78" t="s">
        <v>485</v>
      </c>
      <c r="D78" s="116" t="s">
        <v>486</v>
      </c>
      <c r="E78" s="25">
        <f>E28</f>
        <v>36.691199999999995</v>
      </c>
      <c r="F78" s="6" t="s">
        <v>452</v>
      </c>
      <c r="I78" t="s">
        <v>487</v>
      </c>
      <c r="J78" s="116" t="s">
        <v>488</v>
      </c>
      <c r="K78" s="25">
        <f>K47</f>
        <v>36.691199999999995</v>
      </c>
      <c r="L78" s="6" t="s">
        <v>452</v>
      </c>
    </row>
    <row r="79" spans="2:14" ht="18" x14ac:dyDescent="0.35">
      <c r="B79" s="218" t="s">
        <v>489</v>
      </c>
      <c r="D79" s="116" t="s">
        <v>478</v>
      </c>
      <c r="E79" s="25">
        <f>E46</f>
        <v>3.0575999999999994</v>
      </c>
      <c r="F79" s="6" t="s">
        <v>447</v>
      </c>
      <c r="I79" s="218" t="s">
        <v>480</v>
      </c>
      <c r="J79" s="116" t="s">
        <v>481</v>
      </c>
      <c r="K79" s="25">
        <f>K46</f>
        <v>3.0575999999999994</v>
      </c>
      <c r="L79" s="6" t="s">
        <v>447</v>
      </c>
    </row>
    <row r="80" spans="2:14" ht="18" x14ac:dyDescent="0.35">
      <c r="B80" s="220" t="s">
        <v>462</v>
      </c>
      <c r="D80" s="116" t="s">
        <v>490</v>
      </c>
      <c r="E80" s="25">
        <f>E16-E75</f>
        <v>4.8921600000000005</v>
      </c>
      <c r="F80" s="6" t="s">
        <v>447</v>
      </c>
      <c r="G80" t="s">
        <v>9</v>
      </c>
      <c r="I80" s="223" t="s">
        <v>491</v>
      </c>
      <c r="J80" s="116" t="s">
        <v>492</v>
      </c>
      <c r="K80" s="25">
        <f>E80</f>
        <v>4.8921600000000005</v>
      </c>
      <c r="L80" s="6" t="s">
        <v>447</v>
      </c>
      <c r="M80" t="s">
        <v>9</v>
      </c>
    </row>
    <row r="81" spans="2:14" ht="18" x14ac:dyDescent="0.35">
      <c r="B81" s="220" t="s">
        <v>493</v>
      </c>
      <c r="D81" s="116" t="s">
        <v>494</v>
      </c>
      <c r="E81" s="25">
        <f>E77+E78</f>
        <v>146.76479999999998</v>
      </c>
      <c r="F81" s="6" t="s">
        <v>452</v>
      </c>
      <c r="I81" s="220" t="s">
        <v>493</v>
      </c>
      <c r="J81" s="116" t="s">
        <v>495</v>
      </c>
      <c r="K81" s="25">
        <f>K77+K78</f>
        <v>146.76479999999998</v>
      </c>
      <c r="L81" s="6" t="s">
        <v>452</v>
      </c>
    </row>
    <row r="82" spans="2:14" ht="18" x14ac:dyDescent="0.35">
      <c r="B82" s="220" t="s">
        <v>464</v>
      </c>
      <c r="D82" s="116" t="s">
        <v>496</v>
      </c>
      <c r="E82" s="5">
        <f>(E81+E78+E77)/E14</f>
        <v>12.230399999999998</v>
      </c>
      <c r="F82" s="6" t="s">
        <v>447</v>
      </c>
      <c r="I82" s="220" t="s">
        <v>464</v>
      </c>
      <c r="J82" s="116" t="s">
        <v>496</v>
      </c>
      <c r="K82" s="25">
        <f>(K81+K78+K77)/E14</f>
        <v>12.230399999999998</v>
      </c>
      <c r="L82" s="6" t="s">
        <v>447</v>
      </c>
    </row>
    <row r="83" spans="2:14" ht="18" x14ac:dyDescent="0.35">
      <c r="B83" s="220" t="s">
        <v>467</v>
      </c>
      <c r="D83" s="116" t="s">
        <v>497</v>
      </c>
      <c r="E83" s="25">
        <f>E82+E76</f>
        <v>15.287999999999997</v>
      </c>
      <c r="F83" s="6" t="s">
        <v>447</v>
      </c>
      <c r="I83" s="220" t="s">
        <v>467</v>
      </c>
      <c r="J83" s="116" t="s">
        <v>498</v>
      </c>
      <c r="K83" s="25">
        <f>K82+K76</f>
        <v>15.287999999999997</v>
      </c>
      <c r="L83" s="6" t="s">
        <v>447</v>
      </c>
    </row>
    <row r="84" spans="2:14" x14ac:dyDescent="0.25">
      <c r="B84" s="220"/>
      <c r="D84" s="116"/>
      <c r="E84" s="216"/>
      <c r="I84" s="220"/>
      <c r="K84" s="116"/>
      <c r="L84" s="216"/>
    </row>
    <row r="85" spans="2:14" x14ac:dyDescent="0.25">
      <c r="B85" s="220"/>
      <c r="D85" s="116"/>
      <c r="E85" s="216"/>
      <c r="I85" s="220"/>
      <c r="K85" s="116"/>
      <c r="L85" s="216"/>
    </row>
    <row r="86" spans="2:14" x14ac:dyDescent="0.25">
      <c r="B86" s="220"/>
      <c r="D86" s="116"/>
      <c r="E86" s="216"/>
      <c r="I86" s="220"/>
      <c r="K86" s="116"/>
      <c r="L86" s="216"/>
    </row>
    <row r="87" spans="2:14" x14ac:dyDescent="0.25">
      <c r="B87" s="220"/>
      <c r="D87" s="116"/>
      <c r="E87" s="216"/>
      <c r="I87" s="220"/>
      <c r="K87" s="116"/>
      <c r="L87" s="216"/>
    </row>
    <row r="88" spans="2:14" x14ac:dyDescent="0.25">
      <c r="B88" s="220"/>
      <c r="D88" s="116"/>
      <c r="E88" s="216"/>
      <c r="I88" s="220"/>
      <c r="K88" s="116"/>
      <c r="L88" s="216"/>
    </row>
    <row r="89" spans="2:14" x14ac:dyDescent="0.25">
      <c r="B89" s="220"/>
      <c r="D89" s="116"/>
      <c r="E89" s="216"/>
      <c r="I89" s="220"/>
      <c r="K89" s="116"/>
      <c r="L89" s="216"/>
    </row>
    <row r="90" spans="2:14" x14ac:dyDescent="0.25">
      <c r="B90" s="220"/>
      <c r="D90" s="116"/>
      <c r="E90" s="216"/>
      <c r="I90" s="220"/>
      <c r="K90" s="116"/>
      <c r="L90" s="216"/>
    </row>
    <row r="91" spans="2:14" x14ac:dyDescent="0.25">
      <c r="B91" s="220"/>
      <c r="D91" s="116"/>
      <c r="E91" s="216"/>
      <c r="I91" s="220"/>
      <c r="K91" s="116"/>
      <c r="L91" s="216"/>
    </row>
    <row r="92" spans="2:14" x14ac:dyDescent="0.25">
      <c r="B92" s="220"/>
      <c r="D92" s="116"/>
      <c r="E92" s="216"/>
      <c r="I92" s="220"/>
      <c r="K92" s="116"/>
      <c r="L92" s="216"/>
    </row>
    <row r="93" spans="2:14" x14ac:dyDescent="0.25">
      <c r="B93" s="220"/>
      <c r="D93" s="116"/>
      <c r="E93" s="216"/>
      <c r="I93" s="220"/>
      <c r="K93" s="116"/>
      <c r="L93" s="216"/>
    </row>
    <row r="94" spans="2:14" x14ac:dyDescent="0.25">
      <c r="B94" s="220"/>
      <c r="D94" s="116"/>
      <c r="E94" s="216"/>
      <c r="I94" s="220"/>
      <c r="K94" s="116"/>
      <c r="L94" s="216"/>
    </row>
    <row r="95" spans="2:14" x14ac:dyDescent="0.25">
      <c r="F95" s="220"/>
    </row>
    <row r="96" spans="2:14" ht="15.75" thickBot="1" x14ac:dyDescent="0.3">
      <c r="B96" s="214" t="s">
        <v>499</v>
      </c>
      <c r="C96" s="214"/>
      <c r="D96" s="214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spans="2:9" ht="15.75" thickTop="1" x14ac:dyDescent="0.25">
      <c r="F97" s="220"/>
    </row>
    <row r="98" spans="2:9" ht="30" x14ac:dyDescent="0.25">
      <c r="B98" s="224"/>
      <c r="C98" s="225" t="s">
        <v>93</v>
      </c>
      <c r="D98" s="226" t="s">
        <v>500</v>
      </c>
      <c r="E98" s="226" t="s">
        <v>319</v>
      </c>
      <c r="F98" s="227" t="s">
        <v>501</v>
      </c>
      <c r="G98" s="226" t="s">
        <v>502</v>
      </c>
      <c r="H98" s="226" t="s">
        <v>503</v>
      </c>
      <c r="I98" s="228" t="s">
        <v>504</v>
      </c>
    </row>
    <row r="99" spans="2:9" ht="15.75" thickBot="1" x14ac:dyDescent="0.3">
      <c r="B99" s="229"/>
      <c r="C99" s="230" t="s">
        <v>505</v>
      </c>
      <c r="D99" s="231" t="s">
        <v>506</v>
      </c>
      <c r="E99" s="230" t="s">
        <v>507</v>
      </c>
      <c r="F99" s="230"/>
      <c r="G99" s="230" t="s">
        <v>190</v>
      </c>
      <c r="H99" s="230"/>
      <c r="I99" s="232" t="s">
        <v>328</v>
      </c>
    </row>
    <row r="100" spans="2:9" ht="15.75" thickTop="1" x14ac:dyDescent="0.25">
      <c r="B100" s="233" t="s">
        <v>508</v>
      </c>
      <c r="C100" s="234">
        <v>29</v>
      </c>
      <c r="D100" s="235" t="s">
        <v>504</v>
      </c>
      <c r="E100" s="235" t="s">
        <v>509</v>
      </c>
      <c r="F100" s="235" t="s">
        <v>510</v>
      </c>
      <c r="G100" s="236">
        <f>E80</f>
        <v>4.8921600000000005</v>
      </c>
      <c r="H100" s="237" t="s">
        <v>9</v>
      </c>
      <c r="I100" s="238">
        <f>E81</f>
        <v>146.76479999999998</v>
      </c>
    </row>
    <row r="101" spans="2:9" x14ac:dyDescent="0.25">
      <c r="B101" s="233" t="s">
        <v>511</v>
      </c>
      <c r="C101" s="234">
        <v>26</v>
      </c>
      <c r="D101" s="235" t="s">
        <v>504</v>
      </c>
      <c r="E101" s="235" t="s">
        <v>157</v>
      </c>
      <c r="F101" s="235" t="s">
        <v>510</v>
      </c>
      <c r="G101" s="236">
        <f>E44</f>
        <v>4.8921599999999996</v>
      </c>
      <c r="H101" s="237" t="s">
        <v>9</v>
      </c>
      <c r="I101" s="238">
        <f>E43</f>
        <v>36.691199999999995</v>
      </c>
    </row>
    <row r="102" spans="2:9" x14ac:dyDescent="0.25">
      <c r="B102" s="233" t="s">
        <v>512</v>
      </c>
      <c r="C102" s="234">
        <v>21</v>
      </c>
      <c r="D102" s="235" t="s">
        <v>504</v>
      </c>
      <c r="E102" s="235" t="s">
        <v>509</v>
      </c>
      <c r="F102" s="235" t="s">
        <v>513</v>
      </c>
      <c r="G102" s="236">
        <f>E83</f>
        <v>15.287999999999997</v>
      </c>
      <c r="H102" s="237" t="s">
        <v>67</v>
      </c>
      <c r="I102" s="238">
        <f>E77</f>
        <v>110.07359999999998</v>
      </c>
    </row>
    <row r="103" spans="2:9" x14ac:dyDescent="0.25">
      <c r="B103" s="233" t="s">
        <v>514</v>
      </c>
      <c r="C103" s="234">
        <v>23</v>
      </c>
      <c r="D103" s="235" t="s">
        <v>504</v>
      </c>
      <c r="E103" s="235" t="s">
        <v>509</v>
      </c>
      <c r="F103" s="235" t="s">
        <v>513</v>
      </c>
      <c r="G103" s="236">
        <f>G102</f>
        <v>15.287999999999997</v>
      </c>
      <c r="H103" s="237" t="s">
        <v>9</v>
      </c>
      <c r="I103" s="238">
        <f>K77</f>
        <v>110.07359999999998</v>
      </c>
    </row>
    <row r="104" spans="2:9" x14ac:dyDescent="0.25">
      <c r="B104" s="233" t="s">
        <v>515</v>
      </c>
      <c r="C104" s="234">
        <v>22</v>
      </c>
      <c r="D104" s="235" t="s">
        <v>504</v>
      </c>
      <c r="E104" s="235" t="s">
        <v>157</v>
      </c>
      <c r="F104" s="235" t="s">
        <v>513</v>
      </c>
      <c r="G104" s="236">
        <f>E80</f>
        <v>4.8921600000000005</v>
      </c>
      <c r="H104" s="237" t="s">
        <v>67</v>
      </c>
      <c r="I104" s="238">
        <f>E78</f>
        <v>36.691199999999995</v>
      </c>
    </row>
    <row r="105" spans="2:9" ht="15.75" thickBot="1" x14ac:dyDescent="0.3">
      <c r="B105" s="229" t="s">
        <v>516</v>
      </c>
      <c r="C105" s="239">
        <v>24</v>
      </c>
      <c r="D105" s="240" t="s">
        <v>504</v>
      </c>
      <c r="E105" s="240" t="s">
        <v>157</v>
      </c>
      <c r="F105" s="240" t="s">
        <v>513</v>
      </c>
      <c r="G105" s="241">
        <f>G104</f>
        <v>4.8921600000000005</v>
      </c>
      <c r="H105" s="242" t="s">
        <v>9</v>
      </c>
      <c r="I105" s="243">
        <f>K78</f>
        <v>36.691199999999995</v>
      </c>
    </row>
    <row r="106" spans="2:9" ht="15.75" thickTop="1" x14ac:dyDescent="0.25">
      <c r="F106" s="220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A-7&amp;"-,Regular"
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Information</vt:lpstr>
      <vt:lpstr>Project Loads</vt:lpstr>
      <vt:lpstr>Load Analysis</vt:lpstr>
      <vt:lpstr>Wind Analysis - M&amp;B</vt:lpstr>
      <vt:lpstr>Seismic Analysis - Braced</vt:lpstr>
      <vt:lpstr>Seismic Analysis - Moment</vt:lpstr>
      <vt:lpstr>Braced-Frame (W)</vt:lpstr>
      <vt:lpstr>Braced-Frame (E)</vt:lpstr>
      <vt:lpstr>Moment-Frame (W)</vt:lpstr>
      <vt:lpstr>Moment-Frame (E)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2014-11-23T01:54:30Z</cp:lastPrinted>
  <dcterms:created xsi:type="dcterms:W3CDTF">2014-11-19T15:48:23Z</dcterms:created>
  <dcterms:modified xsi:type="dcterms:W3CDTF">2014-12-16T18:29:46Z</dcterms:modified>
</cp:coreProperties>
</file>