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0" yWindow="166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2" i="1" l="1"/>
  <c r="B145" i="1" l="1"/>
  <c r="B143" i="1"/>
  <c r="B151" i="1" l="1"/>
  <c r="B150" i="1"/>
  <c r="B157" i="1"/>
  <c r="B153" i="1"/>
  <c r="B115" i="1" l="1"/>
  <c r="D114" i="1" l="1"/>
  <c r="B62" i="1" l="1"/>
  <c r="B54" i="1"/>
  <c r="B94" i="1" s="1"/>
  <c r="B45" i="1"/>
  <c r="B154" i="1"/>
  <c r="B156" i="1"/>
  <c r="B152" i="1"/>
  <c r="B118" i="1"/>
  <c r="B117" i="1"/>
  <c r="B119" i="1" s="1"/>
  <c r="B120" i="1" s="1"/>
  <c r="B159" i="1" s="1"/>
  <c r="B158" i="1" l="1"/>
  <c r="A149" i="1"/>
  <c r="B140" i="1"/>
  <c r="B135" i="1"/>
  <c r="B132" i="1" s="1"/>
  <c r="B130" i="1"/>
  <c r="B127" i="1" s="1"/>
  <c r="B124" i="1"/>
  <c r="D111" i="1"/>
  <c r="B113" i="1"/>
  <c r="D113" i="1" s="1"/>
  <c r="B99" i="1"/>
  <c r="B91" i="1"/>
  <c r="B90" i="1"/>
  <c r="B98" i="1"/>
  <c r="B101" i="1" s="1"/>
  <c r="B141" i="1" s="1"/>
  <c r="B59" i="1"/>
  <c r="B60" i="1" s="1"/>
  <c r="B64" i="1"/>
  <c r="B47" i="1"/>
  <c r="B48" i="1" s="1"/>
  <c r="B46" i="1" s="1"/>
  <c r="B34" i="1"/>
  <c r="B92" i="1" l="1"/>
  <c r="B95" i="1"/>
  <c r="B41" i="1" s="1"/>
  <c r="B30" i="1" s="1"/>
  <c r="B139" i="1"/>
  <c r="D127" i="1"/>
  <c r="D124" i="1"/>
  <c r="D132" i="1"/>
  <c r="F88" i="1"/>
  <c r="F49" i="1"/>
  <c r="B49" i="1"/>
  <c r="B50" i="1" s="1"/>
  <c r="D50" i="1" s="1"/>
  <c r="B65" i="1"/>
  <c r="B66" i="1" s="1"/>
  <c r="B70" i="1" s="1"/>
  <c r="B74" i="1" s="1"/>
  <c r="B80" i="1" s="1"/>
  <c r="B81" i="1" l="1"/>
  <c r="B79" i="1" s="1"/>
  <c r="D79" i="1" s="1"/>
  <c r="B85" i="1"/>
  <c r="B84" i="1" s="1"/>
  <c r="D84" i="1" s="1"/>
  <c r="B88" i="1"/>
  <c r="D88" i="1" s="1"/>
  <c r="C92" i="1"/>
  <c r="B72" i="1"/>
  <c r="B42" i="1"/>
  <c r="B138" i="1" s="1"/>
  <c r="D72" i="1" l="1"/>
  <c r="B76" i="1"/>
  <c r="D76" i="1" s="1"/>
</calcChain>
</file>

<file path=xl/sharedStrings.xml><?xml version="1.0" encoding="utf-8"?>
<sst xmlns="http://schemas.openxmlformats.org/spreadsheetml/2006/main" count="258" uniqueCount="136">
  <si>
    <t>Bolted Flange-Plated FR Moment Connection (Beam-to-Column Flange)</t>
  </si>
  <si>
    <t>Variables</t>
  </si>
  <si>
    <t>kip-ft</t>
  </si>
  <si>
    <t>kip</t>
  </si>
  <si>
    <t xml:space="preserve">Bolt Diam. </t>
  </si>
  <si>
    <t>in</t>
  </si>
  <si>
    <t>Bolt Type</t>
  </si>
  <si>
    <t>A325N</t>
  </si>
  <si>
    <t>Hole Type</t>
  </si>
  <si>
    <t>Standard</t>
  </si>
  <si>
    <r>
      <t>Weld Strength (F</t>
    </r>
    <r>
      <rPr>
        <vertAlign val="subscript"/>
        <sz val="11"/>
        <color theme="1"/>
        <rFont val="Calibri"/>
        <family val="2"/>
        <scheme val="minor"/>
      </rPr>
      <t>EXX</t>
    </r>
    <r>
      <rPr>
        <sz val="11"/>
        <color theme="1"/>
        <rFont val="Calibri"/>
        <family val="2"/>
        <scheme val="minor"/>
      </rPr>
      <t>)</t>
    </r>
  </si>
  <si>
    <t>ksi</t>
  </si>
  <si>
    <t>ASTM A36</t>
  </si>
  <si>
    <t>Edge Distance</t>
  </si>
  <si>
    <t>Bolt Spacing</t>
  </si>
  <si>
    <t>Weld Size</t>
  </si>
  <si>
    <t>Bolts:</t>
  </si>
  <si>
    <t>Welds:</t>
  </si>
  <si>
    <t>Plate Thickness</t>
  </si>
  <si>
    <t>Beam</t>
  </si>
  <si>
    <t>Column</t>
  </si>
  <si>
    <t>ASTM A992 Steel</t>
  </si>
  <si>
    <t>Table 2-4</t>
  </si>
  <si>
    <t>Plate:</t>
  </si>
  <si>
    <t>Depth (d)</t>
  </si>
  <si>
    <r>
      <t>k</t>
    </r>
    <r>
      <rPr>
        <vertAlign val="subscript"/>
        <sz val="11"/>
        <color theme="1"/>
        <rFont val="Calibri"/>
        <family val="2"/>
        <scheme val="minor"/>
      </rPr>
      <t>des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</si>
  <si>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</si>
  <si>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t>Member Selections:</t>
  </si>
  <si>
    <t>Table 1-1</t>
  </si>
  <si>
    <t>Rows of Bolts</t>
  </si>
  <si>
    <t>Flexural Strength of Beam</t>
  </si>
  <si>
    <r>
      <t>F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*A</t>
    </r>
    <r>
      <rPr>
        <vertAlign val="subscript"/>
        <sz val="11"/>
        <color theme="1"/>
        <rFont val="Calibri"/>
        <family val="2"/>
        <scheme val="minor"/>
      </rPr>
      <t>fn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</si>
  <si>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*F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*A</t>
    </r>
    <r>
      <rPr>
        <vertAlign val="subscript"/>
        <sz val="11"/>
        <color theme="1"/>
        <rFont val="Calibri"/>
        <family val="2"/>
        <scheme val="minor"/>
      </rPr>
      <t>fg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</si>
  <si>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/F</t>
    </r>
    <r>
      <rPr>
        <vertAlign val="subscript"/>
        <sz val="11"/>
        <color theme="1"/>
        <rFont val="Calibri"/>
        <family val="2"/>
        <scheme val="minor"/>
      </rPr>
      <t>u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</si>
  <si>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</si>
  <si>
    <r>
      <t>Nominal Flexure Str. (M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</si>
  <si>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r>
      <t>ASD Nominal Flexure Str. (M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‏Ω)</t>
    </r>
  </si>
  <si>
    <t>Ω</t>
  </si>
  <si>
    <t>Shear Strength of Bolts</t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</si>
  <si>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/Ω</t>
    </r>
  </si>
  <si>
    <t>Table 7-1</t>
  </si>
  <si>
    <t>kip/bolt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</si>
  <si>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</si>
  <si>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Bearing on Plate</t>
  </si>
  <si>
    <t>From Table 7-4 with Spacing=</t>
  </si>
  <si>
    <t>kip/in thickness</t>
  </si>
  <si>
    <t>kip/bolt/in thickness</t>
  </si>
  <si>
    <r>
      <t>Controlling 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/Ω</t>
    </r>
  </si>
  <si>
    <t>Eq. J4-3</t>
  </si>
  <si>
    <t>Number of Bolts Required</t>
  </si>
  <si>
    <t>Applied Tension/Compression</t>
  </si>
  <si>
    <r>
      <t>A</t>
    </r>
    <r>
      <rPr>
        <vertAlign val="subscript"/>
        <sz val="11"/>
        <color theme="1"/>
        <rFont val="Calibri"/>
        <family val="2"/>
        <scheme val="minor"/>
      </rPr>
      <t>gv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</si>
  <si>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</si>
  <si>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nv</t>
    </r>
  </si>
  <si>
    <t>Block Shear</t>
  </si>
  <si>
    <t>Row Spacing</t>
  </si>
  <si>
    <t>W14x82</t>
  </si>
  <si>
    <t>Eq. J4-4</t>
  </si>
  <si>
    <r>
      <t>A</t>
    </r>
    <r>
      <rPr>
        <vertAlign val="subscript"/>
        <sz val="11"/>
        <color theme="1"/>
        <rFont val="Calibri"/>
        <family val="2"/>
        <scheme val="minor"/>
      </rPr>
      <t>nt</t>
    </r>
  </si>
  <si>
    <t>Eq. J4-5</t>
  </si>
  <si>
    <t>K</t>
  </si>
  <si>
    <t>L</t>
  </si>
  <si>
    <t>r</t>
  </si>
  <si>
    <t>Table C-A-7.1</t>
  </si>
  <si>
    <t>Plate Width</t>
  </si>
  <si>
    <t>Plate Length</t>
  </si>
  <si>
    <t>KL/r</t>
  </si>
  <si>
    <t>Shear Yielding</t>
  </si>
  <si>
    <t>Shear Rupture</t>
  </si>
  <si>
    <t xml:space="preserve">Plate Compressive Strength </t>
  </si>
  <si>
    <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/Ω</t>
    </r>
  </si>
  <si>
    <t>Required Weld Length</t>
  </si>
  <si>
    <t>Eq. 8-2b</t>
  </si>
  <si>
    <t>Load Angle Factor</t>
  </si>
  <si>
    <t>θ</t>
  </si>
  <si>
    <t>Web Plate to Column Flange Weld Length</t>
  </si>
  <si>
    <t xml:space="preserve">Use Weld Length </t>
  </si>
  <si>
    <t>Shear Plate Calculation:</t>
  </si>
  <si>
    <t>Moment Plate Calculation:</t>
  </si>
  <si>
    <t>Bolt Group</t>
  </si>
  <si>
    <t>A</t>
  </si>
  <si>
    <t>Thread Cond.</t>
  </si>
  <si>
    <t>N</t>
  </si>
  <si>
    <t>STD</t>
  </si>
  <si>
    <t>Angle Thickness</t>
  </si>
  <si>
    <t>Diam. Bolts</t>
  </si>
  <si>
    <t>ASD Strength</t>
  </si>
  <si>
    <t>Flange Local Bending of Column</t>
  </si>
  <si>
    <t>Eq. J10-1</t>
  </si>
  <si>
    <t>Web Local Yielding of Column</t>
  </si>
  <si>
    <t>Column Strength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</si>
  <si>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</si>
  <si>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/Ω</t>
    </r>
  </si>
  <si>
    <t>kip/in</t>
  </si>
  <si>
    <r>
      <t>Bearing Length (l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</si>
  <si>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t>Eq. 9-46b</t>
  </si>
  <si>
    <t>Web Crippling of Column</t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</si>
  <si>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</si>
  <si>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/Ω</t>
    </r>
  </si>
  <si>
    <t>Table 9-4</t>
  </si>
  <si>
    <t>Final Moment Connection</t>
  </si>
  <si>
    <t>Weld Length to Column</t>
  </si>
  <si>
    <t>Final Shear Connection</t>
  </si>
  <si>
    <t>H2</t>
  </si>
  <si>
    <t>C1</t>
  </si>
  <si>
    <t>Min Length of Angle Leg</t>
  </si>
  <si>
    <t>Use Angle Leg Length</t>
  </si>
  <si>
    <t>Spacing</t>
  </si>
  <si>
    <t>Angle Leg Length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</si>
  <si>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</si>
  <si>
    <r>
      <t>Applied Shear (V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</si>
  <si>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Applied Moment (M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</si>
  <si>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u</t>
    </r>
  </si>
  <si>
    <r>
      <t>Flange Width (b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</si>
  <si>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r>
      <t>Flange Thickness (t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</si>
  <si>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r>
      <t>Web Thickness (t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</si>
  <si>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</si>
  <si>
    <t>RISA</t>
  </si>
  <si>
    <t>W12x40</t>
  </si>
  <si>
    <t>Table 7-15</t>
  </si>
  <si>
    <t>Plate Tensile Strength</t>
  </si>
  <si>
    <t>Moment Connection: Moment Frame 1 + 4, Spans BC + CD Roof</t>
  </si>
  <si>
    <t>Minimum Plate Width</t>
  </si>
  <si>
    <t>Use Plate Width</t>
  </si>
  <si>
    <t>Beam Web Available Str</t>
  </si>
  <si>
    <t>Whitmore Strength</t>
  </si>
  <si>
    <r>
      <t>L</t>
    </r>
    <r>
      <rPr>
        <vertAlign val="subscript"/>
        <sz val="11"/>
        <color theme="1"/>
        <rFont val="Calibri"/>
        <family val="2"/>
        <scheme val="minor"/>
      </rPr>
      <t>w</t>
    </r>
  </si>
  <si>
    <t>Support Available Str</t>
  </si>
  <si>
    <r>
      <t>Weld and Beam Web Avalible Str. (Rn/</t>
    </r>
    <r>
      <rPr>
        <sz val="11"/>
        <color theme="1"/>
        <rFont val="Calibri"/>
        <family val="2"/>
      </rPr>
      <t>Ω)</t>
    </r>
  </si>
  <si>
    <t>Bolted/Welded Connection</t>
  </si>
  <si>
    <t>Table 10-4</t>
  </si>
  <si>
    <t>70-ksi Weld Size</t>
  </si>
  <si>
    <t>70ksi Weld Size</t>
  </si>
  <si>
    <t>Weld Length</t>
  </si>
  <si>
    <t>Total Number of Bolts</t>
  </si>
  <si>
    <t>Angle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</si>
</sst>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applyFont="1"/>
    <xf numFmtId="2" fontId="0" fillId="0" borderId="0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6" xfId="0" applyBorder="1"/>
    <xf numFmtId="0" fontId="1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5" fillId="0" borderId="10" xfId="0" applyFont="1" applyBorder="1"/>
    <xf numFmtId="0" fontId="0" fillId="0" borderId="0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view="pageLayout" topLeftCell="A132" zoomScaleNormal="85" workbookViewId="0">
      <selection activeCell="B143" sqref="B143"/>
    </sheetView>
  </sheetViews>
  <sheetFormatPr defaultRowHeight="15" x14ac:dyDescent="0.25"/>
  <cols>
    <col min="1" max="1" width="34.28515625" customWidth="1"/>
  </cols>
  <sheetData>
    <row r="1" spans="1:8" ht="15.75" thickBot="1" x14ac:dyDescent="0.3">
      <c r="A1" s="22" t="s">
        <v>121</v>
      </c>
      <c r="B1" s="20"/>
      <c r="C1" s="20"/>
      <c r="D1" s="20"/>
      <c r="E1" s="20"/>
      <c r="F1" s="20"/>
      <c r="G1" s="20"/>
      <c r="H1" s="6"/>
    </row>
    <row r="2" spans="1:8" ht="15.75" thickTop="1" x14ac:dyDescent="0.25"/>
    <row r="3" spans="1:8" x14ac:dyDescent="0.25">
      <c r="A3" s="4" t="s">
        <v>0</v>
      </c>
    </row>
    <row r="4" spans="1:8" x14ac:dyDescent="0.25">
      <c r="A4" s="2" t="s">
        <v>1</v>
      </c>
    </row>
    <row r="5" spans="1:8" ht="18" x14ac:dyDescent="0.35">
      <c r="A5" t="s">
        <v>111</v>
      </c>
      <c r="B5">
        <v>31</v>
      </c>
      <c r="C5" t="s">
        <v>2</v>
      </c>
      <c r="F5" t="s">
        <v>117</v>
      </c>
    </row>
    <row r="6" spans="1:8" ht="18" x14ac:dyDescent="0.35">
      <c r="A6" t="s">
        <v>110</v>
      </c>
      <c r="B6">
        <v>4</v>
      </c>
      <c r="C6" t="s">
        <v>3</v>
      </c>
      <c r="F6" t="s">
        <v>117</v>
      </c>
    </row>
    <row r="7" spans="1:8" x14ac:dyDescent="0.25">
      <c r="A7" t="s">
        <v>27</v>
      </c>
    </row>
    <row r="8" spans="1:8" x14ac:dyDescent="0.25">
      <c r="A8" t="s">
        <v>21</v>
      </c>
      <c r="F8" t="s">
        <v>22</v>
      </c>
    </row>
    <row r="9" spans="1:8" ht="18" x14ac:dyDescent="0.35">
      <c r="A9" t="s">
        <v>109</v>
      </c>
      <c r="B9">
        <v>50</v>
      </c>
      <c r="C9" t="s">
        <v>11</v>
      </c>
    </row>
    <row r="10" spans="1:8" ht="18" x14ac:dyDescent="0.35">
      <c r="A10" t="s">
        <v>112</v>
      </c>
      <c r="B10">
        <v>65</v>
      </c>
      <c r="C10" t="s">
        <v>11</v>
      </c>
    </row>
    <row r="11" spans="1:8" x14ac:dyDescent="0.25">
      <c r="A11" t="s">
        <v>19</v>
      </c>
      <c r="B11" t="s">
        <v>118</v>
      </c>
      <c r="F11" t="s">
        <v>28</v>
      </c>
    </row>
    <row r="12" spans="1:8" x14ac:dyDescent="0.25">
      <c r="A12" s="16" t="s">
        <v>24</v>
      </c>
      <c r="B12">
        <v>11.9</v>
      </c>
      <c r="C12" t="s">
        <v>5</v>
      </c>
    </row>
    <row r="13" spans="1:8" ht="18" x14ac:dyDescent="0.35">
      <c r="A13" s="16" t="s">
        <v>113</v>
      </c>
      <c r="B13">
        <v>8.01</v>
      </c>
      <c r="C13" t="s">
        <v>5</v>
      </c>
    </row>
    <row r="14" spans="1:8" ht="18" x14ac:dyDescent="0.35">
      <c r="A14" s="16" t="s">
        <v>114</v>
      </c>
      <c r="B14">
        <v>0.51500000000000001</v>
      </c>
      <c r="C14" t="s">
        <v>5</v>
      </c>
    </row>
    <row r="15" spans="1:8" ht="18" x14ac:dyDescent="0.35">
      <c r="A15" s="16" t="s">
        <v>115</v>
      </c>
      <c r="B15">
        <v>0.29499999999999998</v>
      </c>
      <c r="C15" t="s">
        <v>5</v>
      </c>
    </row>
    <row r="16" spans="1:8" ht="18.75" x14ac:dyDescent="0.35">
      <c r="A16" s="16" t="s">
        <v>116</v>
      </c>
      <c r="B16">
        <v>51.5</v>
      </c>
      <c r="C16" t="s">
        <v>26</v>
      </c>
    </row>
    <row r="17" spans="1:6" x14ac:dyDescent="0.25">
      <c r="A17" t="s">
        <v>20</v>
      </c>
      <c r="B17" t="s">
        <v>56</v>
      </c>
      <c r="F17" t="s">
        <v>28</v>
      </c>
    </row>
    <row r="18" spans="1:6" x14ac:dyDescent="0.25">
      <c r="A18" s="16" t="s">
        <v>24</v>
      </c>
      <c r="B18">
        <v>14.3</v>
      </c>
      <c r="C18" t="s">
        <v>5</v>
      </c>
    </row>
    <row r="19" spans="1:6" ht="18" x14ac:dyDescent="0.35">
      <c r="A19" s="16" t="s">
        <v>113</v>
      </c>
      <c r="B19">
        <v>10.1</v>
      </c>
      <c r="C19" t="s">
        <v>5</v>
      </c>
    </row>
    <row r="20" spans="1:6" ht="18" x14ac:dyDescent="0.35">
      <c r="A20" s="16" t="s">
        <v>114</v>
      </c>
      <c r="B20">
        <v>0.85499999999999998</v>
      </c>
      <c r="C20" t="s">
        <v>5</v>
      </c>
    </row>
    <row r="21" spans="1:6" ht="18" x14ac:dyDescent="0.35">
      <c r="A21" s="16" t="s">
        <v>115</v>
      </c>
      <c r="B21">
        <v>0.51</v>
      </c>
      <c r="C21" t="s">
        <v>5</v>
      </c>
    </row>
    <row r="22" spans="1:6" ht="18" x14ac:dyDescent="0.35">
      <c r="A22" s="16" t="s">
        <v>25</v>
      </c>
      <c r="B22">
        <v>1.45</v>
      </c>
      <c r="C22" t="s">
        <v>5</v>
      </c>
    </row>
    <row r="23" spans="1:6" x14ac:dyDescent="0.25">
      <c r="A23" t="s">
        <v>16</v>
      </c>
    </row>
    <row r="24" spans="1:6" x14ac:dyDescent="0.25">
      <c r="A24" s="16" t="s">
        <v>4</v>
      </c>
      <c r="B24">
        <v>1</v>
      </c>
      <c r="C24" t="s">
        <v>5</v>
      </c>
    </row>
    <row r="25" spans="1:6" x14ac:dyDescent="0.25">
      <c r="A25" s="16" t="s">
        <v>6</v>
      </c>
      <c r="B25" t="s">
        <v>7</v>
      </c>
    </row>
    <row r="26" spans="1:6" x14ac:dyDescent="0.25">
      <c r="A26" s="16" t="s">
        <v>8</v>
      </c>
      <c r="B26" t="s">
        <v>9</v>
      </c>
    </row>
    <row r="27" spans="1:6" x14ac:dyDescent="0.25">
      <c r="A27" s="16" t="s">
        <v>13</v>
      </c>
      <c r="B27">
        <v>1.5</v>
      </c>
      <c r="C27" t="s">
        <v>5</v>
      </c>
    </row>
    <row r="28" spans="1:6" x14ac:dyDescent="0.25">
      <c r="A28" s="16" t="s">
        <v>14</v>
      </c>
      <c r="B28">
        <v>3</v>
      </c>
      <c r="C28" t="s">
        <v>5</v>
      </c>
    </row>
    <row r="29" spans="1:6" x14ac:dyDescent="0.25">
      <c r="A29" s="16" t="s">
        <v>29</v>
      </c>
      <c r="B29">
        <v>2</v>
      </c>
    </row>
    <row r="30" spans="1:6" x14ac:dyDescent="0.25">
      <c r="A30" s="16" t="s">
        <v>55</v>
      </c>
      <c r="B30">
        <f>FLOOR(B41-1-(2*B27-B24),1)</f>
        <v>3</v>
      </c>
      <c r="C30" t="s">
        <v>5</v>
      </c>
    </row>
    <row r="32" spans="1:6" x14ac:dyDescent="0.25">
      <c r="A32" t="s">
        <v>17</v>
      </c>
    </row>
    <row r="33" spans="1:8" ht="18" x14ac:dyDescent="0.35">
      <c r="A33" s="16" t="s">
        <v>10</v>
      </c>
      <c r="B33">
        <v>70</v>
      </c>
      <c r="C33" t="s">
        <v>11</v>
      </c>
    </row>
    <row r="34" spans="1:8" x14ac:dyDescent="0.25">
      <c r="A34" s="16" t="s">
        <v>15</v>
      </c>
      <c r="B34" s="1">
        <f>(5/16)</f>
        <v>0.3125</v>
      </c>
      <c r="C34" t="s">
        <v>5</v>
      </c>
    </row>
    <row r="35" spans="1:8" x14ac:dyDescent="0.25">
      <c r="A35" s="16" t="s">
        <v>23</v>
      </c>
      <c r="B35" s="1"/>
    </row>
    <row r="36" spans="1:8" x14ac:dyDescent="0.25">
      <c r="A36" s="16" t="s">
        <v>12</v>
      </c>
      <c r="F36" t="s">
        <v>22</v>
      </c>
    </row>
    <row r="37" spans="1:8" ht="18" x14ac:dyDescent="0.35">
      <c r="A37" s="16" t="s">
        <v>109</v>
      </c>
      <c r="B37">
        <v>36</v>
      </c>
      <c r="C37" t="s">
        <v>11</v>
      </c>
    </row>
    <row r="38" spans="1:8" ht="18" x14ac:dyDescent="0.35">
      <c r="A38" s="16" t="s">
        <v>112</v>
      </c>
      <c r="B38">
        <v>58</v>
      </c>
      <c r="C38" t="s">
        <v>11</v>
      </c>
    </row>
    <row r="39" spans="1:8" x14ac:dyDescent="0.25">
      <c r="A39" s="17" t="s">
        <v>23</v>
      </c>
    </row>
    <row r="40" spans="1:8" x14ac:dyDescent="0.25">
      <c r="A40" s="16" t="s">
        <v>18</v>
      </c>
      <c r="B40" s="1">
        <v>0.375</v>
      </c>
      <c r="C40" t="s">
        <v>5</v>
      </c>
      <c r="H40" s="6"/>
    </row>
    <row r="41" spans="1:8" x14ac:dyDescent="0.25">
      <c r="A41" s="18" t="s">
        <v>64</v>
      </c>
      <c r="B41" s="5">
        <f>B95</f>
        <v>6</v>
      </c>
      <c r="C41" s="6" t="s">
        <v>5</v>
      </c>
      <c r="D41" s="6"/>
      <c r="E41" s="6"/>
      <c r="F41" s="6"/>
      <c r="G41" s="6"/>
      <c r="H41" s="6"/>
    </row>
    <row r="42" spans="1:8" x14ac:dyDescent="0.25">
      <c r="A42" s="18" t="s">
        <v>65</v>
      </c>
      <c r="B42" s="5">
        <f>0.5+B27+B28*(B66/B29)+B27</f>
        <v>9.5</v>
      </c>
      <c r="C42" s="6" t="s">
        <v>5</v>
      </c>
      <c r="D42" s="6"/>
      <c r="E42" s="6"/>
      <c r="F42" s="6"/>
      <c r="G42" s="6"/>
      <c r="H42" s="6"/>
    </row>
    <row r="43" spans="1:8" ht="15.75" thickBot="1" x14ac:dyDescent="0.3">
      <c r="A43" s="20"/>
      <c r="B43" s="20"/>
      <c r="C43" s="20"/>
      <c r="D43" s="20"/>
      <c r="E43" s="20"/>
      <c r="F43" s="20"/>
      <c r="G43" s="20"/>
      <c r="H43" s="6"/>
    </row>
    <row r="44" spans="1:8" ht="15.75" thickTop="1" x14ac:dyDescent="0.25">
      <c r="A44" s="2" t="s">
        <v>30</v>
      </c>
      <c r="H44" s="6"/>
    </row>
    <row r="45" spans="1:8" ht="18" x14ac:dyDescent="0.35">
      <c r="A45" t="s">
        <v>31</v>
      </c>
      <c r="B45">
        <f>B10*(B13*B14-B29*(B24+1/16)*B14)</f>
        <v>197.00037499999996</v>
      </c>
      <c r="C45" t="s">
        <v>3</v>
      </c>
      <c r="H45" s="6"/>
    </row>
    <row r="46" spans="1:8" ht="18" x14ac:dyDescent="0.35">
      <c r="A46" t="s">
        <v>32</v>
      </c>
      <c r="B46">
        <f>B48*B9*B13*B14</f>
        <v>206.25749999999999</v>
      </c>
      <c r="C46" t="s">
        <v>3</v>
      </c>
      <c r="H46" s="6"/>
    </row>
    <row r="47" spans="1:8" ht="18" x14ac:dyDescent="0.35">
      <c r="A47" t="s">
        <v>33</v>
      </c>
      <c r="B47">
        <f>B9/B10</f>
        <v>0.76923076923076927</v>
      </c>
      <c r="H47" s="6"/>
    </row>
    <row r="48" spans="1:8" ht="18" x14ac:dyDescent="0.35">
      <c r="A48" t="s">
        <v>34</v>
      </c>
      <c r="B48">
        <f>IF(B47&lt;0.8,1,1.1)</f>
        <v>1</v>
      </c>
      <c r="H48" s="6"/>
    </row>
    <row r="49" spans="1:8" ht="18" x14ac:dyDescent="0.35">
      <c r="A49" t="s">
        <v>35</v>
      </c>
      <c r="B49">
        <f>IF(B45&lt;B46,B45*B16/(B13*B14)/12,"NA")</f>
        <v>204.95253329171865</v>
      </c>
      <c r="C49" t="s">
        <v>2</v>
      </c>
      <c r="F49" t="str">
        <f>IF(B45&lt;B46,"Eq. F13-1","NA")</f>
        <v>Eq. F13-1</v>
      </c>
      <c r="H49" s="6"/>
    </row>
    <row r="50" spans="1:8" ht="18" x14ac:dyDescent="0.35">
      <c r="A50" t="s">
        <v>36</v>
      </c>
      <c r="B50">
        <f>B49/B51</f>
        <v>122.7260678393525</v>
      </c>
      <c r="C50" t="s">
        <v>2</v>
      </c>
      <c r="D50" t="str">
        <f>IF(B50&gt;B5,"GOOD","NG")</f>
        <v>GOOD</v>
      </c>
      <c r="H50" s="6"/>
    </row>
    <row r="51" spans="1:8" x14ac:dyDescent="0.25">
      <c r="A51" s="6" t="s">
        <v>37</v>
      </c>
      <c r="B51" s="6">
        <v>1.67</v>
      </c>
      <c r="C51" s="6"/>
      <c r="D51" s="6"/>
      <c r="E51" s="6"/>
      <c r="F51" s="6"/>
      <c r="G51" s="6"/>
      <c r="H51" s="6"/>
    </row>
    <row r="52" spans="1:8" x14ac:dyDescent="0.25">
      <c r="A52" s="19"/>
      <c r="B52" s="19"/>
      <c r="C52" s="19"/>
      <c r="D52" s="19"/>
      <c r="E52" s="19"/>
      <c r="F52" s="19"/>
      <c r="G52" s="19"/>
      <c r="H52" s="6"/>
    </row>
    <row r="53" spans="1:8" x14ac:dyDescent="0.25">
      <c r="A53" s="2" t="s">
        <v>78</v>
      </c>
      <c r="H53" s="6"/>
    </row>
    <row r="54" spans="1:8" x14ac:dyDescent="0.25">
      <c r="A54" t="s">
        <v>50</v>
      </c>
      <c r="B54">
        <f>B5/(B12/12)</f>
        <v>31.260504201680671</v>
      </c>
      <c r="C54" t="s">
        <v>3</v>
      </c>
      <c r="H54" s="6"/>
    </row>
    <row r="55" spans="1:8" x14ac:dyDescent="0.25">
      <c r="H55" s="6"/>
    </row>
    <row r="56" spans="1:8" x14ac:dyDescent="0.25">
      <c r="A56" s="2" t="s">
        <v>38</v>
      </c>
      <c r="H56" s="6"/>
    </row>
    <row r="57" spans="1:8" ht="18" x14ac:dyDescent="0.35">
      <c r="A57" t="s">
        <v>39</v>
      </c>
      <c r="B57">
        <v>21.2</v>
      </c>
      <c r="C57" t="s">
        <v>41</v>
      </c>
      <c r="F57" t="s">
        <v>40</v>
      </c>
      <c r="H57" s="6"/>
    </row>
    <row r="58" spans="1:8" x14ac:dyDescent="0.25">
      <c r="A58" t="s">
        <v>43</v>
      </c>
      <c r="H58" s="6"/>
    </row>
    <row r="59" spans="1:8" ht="18" x14ac:dyDescent="0.35">
      <c r="A59" t="s">
        <v>42</v>
      </c>
      <c r="B59">
        <f>B27-(B24+(1/16))/2</f>
        <v>0.96875</v>
      </c>
      <c r="C59" t="s">
        <v>5</v>
      </c>
      <c r="H59" s="6"/>
    </row>
    <row r="60" spans="1:8" ht="18" x14ac:dyDescent="0.35">
      <c r="A60" t="s">
        <v>39</v>
      </c>
      <c r="B60">
        <f>MIN(1.2*B59*B40*B38/B61,2.4*B24*B40*B38/B61)</f>
        <v>12.642187499999999</v>
      </c>
      <c r="C60" t="s">
        <v>41</v>
      </c>
      <c r="H60" s="6"/>
    </row>
    <row r="61" spans="1:8" x14ac:dyDescent="0.25">
      <c r="A61" t="s">
        <v>37</v>
      </c>
      <c r="B61">
        <v>2</v>
      </c>
      <c r="H61" s="6"/>
    </row>
    <row r="62" spans="1:8" x14ac:dyDescent="0.25">
      <c r="A62" t="s">
        <v>44</v>
      </c>
      <c r="B62">
        <f>B28</f>
        <v>3</v>
      </c>
      <c r="C62" t="s">
        <v>5</v>
      </c>
      <c r="H62" s="6"/>
    </row>
    <row r="63" spans="1:8" ht="18" x14ac:dyDescent="0.35">
      <c r="A63" t="s">
        <v>39</v>
      </c>
      <c r="B63">
        <v>67.400000000000006</v>
      </c>
      <c r="C63" t="s">
        <v>46</v>
      </c>
      <c r="H63" s="6"/>
    </row>
    <row r="64" spans="1:8" ht="18" x14ac:dyDescent="0.35">
      <c r="A64" s="6" t="s">
        <v>39</v>
      </c>
      <c r="B64" s="6">
        <f>B63*B40</f>
        <v>25.275000000000002</v>
      </c>
      <c r="C64" s="6" t="s">
        <v>41</v>
      </c>
      <c r="D64" s="6"/>
      <c r="E64" s="6"/>
      <c r="F64" s="6"/>
      <c r="G64" s="6"/>
      <c r="H64" s="6"/>
    </row>
    <row r="65" spans="1:8" ht="18" x14ac:dyDescent="0.35">
      <c r="A65" s="6" t="s">
        <v>47</v>
      </c>
      <c r="B65" s="6">
        <f>MIN(B64,B60,B57)</f>
        <v>12.642187499999999</v>
      </c>
      <c r="C65" s="6" t="s">
        <v>41</v>
      </c>
      <c r="D65" s="6"/>
      <c r="E65" s="6"/>
      <c r="F65" s="6"/>
      <c r="G65" s="6"/>
      <c r="H65" s="6"/>
    </row>
    <row r="66" spans="1:8" x14ac:dyDescent="0.25">
      <c r="A66" s="6" t="s">
        <v>49</v>
      </c>
      <c r="B66" s="6">
        <f>EVEN(CEILING(B54/B65,1))</f>
        <v>4</v>
      </c>
      <c r="C66" s="6"/>
      <c r="D66" s="6"/>
      <c r="E66" s="6"/>
      <c r="F66" s="6"/>
      <c r="G66" s="6"/>
      <c r="H66" s="6"/>
    </row>
    <row r="67" spans="1:8" x14ac:dyDescent="0.25">
      <c r="A67" s="24"/>
      <c r="B67" s="24"/>
      <c r="C67" s="24"/>
      <c r="D67" s="24"/>
      <c r="E67" s="24"/>
      <c r="F67" s="24"/>
      <c r="G67" s="24"/>
      <c r="H67" s="6"/>
    </row>
    <row r="68" spans="1:8" x14ac:dyDescent="0.25">
      <c r="A68" s="2" t="s">
        <v>120</v>
      </c>
      <c r="H68" s="6"/>
    </row>
    <row r="69" spans="1:8" x14ac:dyDescent="0.25">
      <c r="A69" t="s">
        <v>67</v>
      </c>
      <c r="H69" s="6"/>
    </row>
    <row r="70" spans="1:8" ht="18.75" x14ac:dyDescent="0.35">
      <c r="A70" t="s">
        <v>51</v>
      </c>
      <c r="B70">
        <f>(B27*2+B28*(B66/B29-1)+0.5)*B40*2</f>
        <v>4.875</v>
      </c>
      <c r="C70" t="s">
        <v>52</v>
      </c>
      <c r="H70" s="6"/>
    </row>
    <row r="71" spans="1:8" x14ac:dyDescent="0.25">
      <c r="A71" t="s">
        <v>37</v>
      </c>
      <c r="B71">
        <v>1.5</v>
      </c>
      <c r="H71" s="6"/>
    </row>
    <row r="72" spans="1:8" ht="18" x14ac:dyDescent="0.35">
      <c r="A72" t="s">
        <v>39</v>
      </c>
      <c r="B72">
        <f>0.6*B37*B70/B71</f>
        <v>70.199999999999989</v>
      </c>
      <c r="C72" t="s">
        <v>3</v>
      </c>
      <c r="D72" t="str">
        <f>IF(B72&gt;$B$54,"GOOD","NG")</f>
        <v>GOOD</v>
      </c>
      <c r="F72" t="s">
        <v>48</v>
      </c>
      <c r="H72" s="6"/>
    </row>
    <row r="73" spans="1:8" x14ac:dyDescent="0.25">
      <c r="A73" t="s">
        <v>68</v>
      </c>
      <c r="H73" s="6"/>
    </row>
    <row r="74" spans="1:8" ht="18.75" x14ac:dyDescent="0.35">
      <c r="A74" t="s">
        <v>53</v>
      </c>
      <c r="B74">
        <f>B70-((B66-1)*B24*B40)</f>
        <v>3.75</v>
      </c>
      <c r="C74" t="s">
        <v>52</v>
      </c>
      <c r="H74" s="6"/>
    </row>
    <row r="75" spans="1:8" x14ac:dyDescent="0.25">
      <c r="A75" t="s">
        <v>37</v>
      </c>
      <c r="B75">
        <v>2</v>
      </c>
      <c r="H75" s="6"/>
    </row>
    <row r="76" spans="1:8" ht="18" x14ac:dyDescent="0.35">
      <c r="A76" t="s">
        <v>39</v>
      </c>
      <c r="B76">
        <f>0.6*B38*B74/B75</f>
        <v>65.25</v>
      </c>
      <c r="C76" t="s">
        <v>3</v>
      </c>
      <c r="D76" t="str">
        <f>IF(B76&gt;$B$54,"GOOD","NG")</f>
        <v>GOOD</v>
      </c>
      <c r="F76" t="s">
        <v>57</v>
      </c>
      <c r="H76" s="6"/>
    </row>
    <row r="77" spans="1:8" x14ac:dyDescent="0.25">
      <c r="A77" t="s">
        <v>54</v>
      </c>
      <c r="H77" s="6"/>
    </row>
    <row r="78" spans="1:8" x14ac:dyDescent="0.25">
      <c r="A78" t="s">
        <v>37</v>
      </c>
      <c r="B78">
        <v>2</v>
      </c>
      <c r="H78" s="6"/>
    </row>
    <row r="79" spans="1:8" ht="18" x14ac:dyDescent="0.35">
      <c r="A79" t="s">
        <v>39</v>
      </c>
      <c r="B79">
        <f>MIN(0.6*B38*B80+B38*B81,0.6*B37*B70+B38*B81)/B78</f>
        <v>74.399999999999991</v>
      </c>
      <c r="C79" t="s">
        <v>3</v>
      </c>
      <c r="D79" t="str">
        <f>IF(B79&gt;$B$54,"GOOD","NG")</f>
        <v>GOOD</v>
      </c>
      <c r="F79" t="s">
        <v>59</v>
      </c>
      <c r="H79" s="6"/>
    </row>
    <row r="80" spans="1:8" ht="18" x14ac:dyDescent="0.35">
      <c r="A80" t="s">
        <v>53</v>
      </c>
      <c r="B80">
        <f>B74</f>
        <v>3.75</v>
      </c>
      <c r="C80" t="s">
        <v>5</v>
      </c>
      <c r="H80" s="6"/>
    </row>
    <row r="81" spans="1:8" ht="18" x14ac:dyDescent="0.35">
      <c r="A81" s="6" t="s">
        <v>58</v>
      </c>
      <c r="B81" s="6">
        <f>MIN(B30-B24,(B27*2)-B24)*B40</f>
        <v>0.75</v>
      </c>
      <c r="C81" s="6" t="s">
        <v>5</v>
      </c>
      <c r="D81" s="6"/>
      <c r="E81" s="6"/>
      <c r="F81" s="6"/>
      <c r="G81" s="6"/>
      <c r="H81" s="6"/>
    </row>
    <row r="82" spans="1:8" x14ac:dyDescent="0.25">
      <c r="A82" s="23" t="s">
        <v>125</v>
      </c>
      <c r="B82" s="6"/>
      <c r="C82" s="6"/>
      <c r="D82" s="6"/>
      <c r="E82" s="6"/>
      <c r="F82" s="6"/>
      <c r="G82" s="6"/>
      <c r="H82" s="6"/>
    </row>
    <row r="83" spans="1:8" x14ac:dyDescent="0.25">
      <c r="A83" t="s">
        <v>37</v>
      </c>
      <c r="B83">
        <v>1.67</v>
      </c>
      <c r="G83" s="6"/>
      <c r="H83" s="6"/>
    </row>
    <row r="84" spans="1:8" ht="18" x14ac:dyDescent="0.35">
      <c r="A84" s="6" t="s">
        <v>39</v>
      </c>
      <c r="B84" s="6">
        <f>B37*B40*B85/B83</f>
        <v>48.50299401197605</v>
      </c>
      <c r="C84" s="6" t="s">
        <v>3</v>
      </c>
      <c r="D84" s="6" t="str">
        <f>IF(B84&gt;$B$54,"GOOD","NG")</f>
        <v>GOOD</v>
      </c>
      <c r="E84" s="6"/>
      <c r="F84" s="6"/>
      <c r="G84" s="6"/>
      <c r="H84" s="6"/>
    </row>
    <row r="85" spans="1:8" ht="18" x14ac:dyDescent="0.35">
      <c r="A85" s="6" t="s">
        <v>126</v>
      </c>
      <c r="B85" s="6">
        <f>MIN(B30+2*(B28*(B66/B29-1))*TAN(30*PI()/180),B139)</f>
        <v>6</v>
      </c>
      <c r="C85" s="6" t="s">
        <v>5</v>
      </c>
      <c r="D85" s="6"/>
      <c r="E85" s="6"/>
      <c r="F85" s="6"/>
      <c r="G85" s="6"/>
      <c r="H85" s="6"/>
    </row>
    <row r="86" spans="1:8" x14ac:dyDescent="0.25">
      <c r="A86" s="24"/>
      <c r="B86" s="24"/>
      <c r="C86" s="24"/>
      <c r="D86" s="24"/>
      <c r="E86" s="24"/>
      <c r="F86" s="24"/>
      <c r="G86" s="24"/>
      <c r="H86" s="6"/>
    </row>
    <row r="87" spans="1:8" x14ac:dyDescent="0.25">
      <c r="A87" s="2" t="s">
        <v>69</v>
      </c>
    </row>
    <row r="88" spans="1:8" ht="18" x14ac:dyDescent="0.35">
      <c r="A88" t="s">
        <v>70</v>
      </c>
      <c r="B88">
        <f>IF(B92&lt;25,B37*B40*B41,"Eq. E3-1")/B93</f>
        <v>59.124087591240873</v>
      </c>
      <c r="D88" t="str">
        <f>IF(B88&gt;$B$54,"GOOD","NG")</f>
        <v>GOOD</v>
      </c>
      <c r="F88" t="str">
        <f>IF(B92&lt;25,"Eq. J4-6","Eq. E4-1")</f>
        <v>Eq. J4-6</v>
      </c>
    </row>
    <row r="89" spans="1:8" x14ac:dyDescent="0.25">
      <c r="A89" t="s">
        <v>60</v>
      </c>
      <c r="B89">
        <v>0.65</v>
      </c>
      <c r="F89" t="s">
        <v>63</v>
      </c>
    </row>
    <row r="90" spans="1:8" x14ac:dyDescent="0.25">
      <c r="A90" t="s">
        <v>61</v>
      </c>
      <c r="B90">
        <f>MAX(B28,B27+0.5)</f>
        <v>3</v>
      </c>
      <c r="C90" t="s">
        <v>5</v>
      </c>
    </row>
    <row r="91" spans="1:8" x14ac:dyDescent="0.25">
      <c r="A91" t="s">
        <v>62</v>
      </c>
      <c r="B91">
        <f>B40/SQRT(12)</f>
        <v>0.10825317547305484</v>
      </c>
      <c r="H91" s="6"/>
    </row>
    <row r="92" spans="1:8" x14ac:dyDescent="0.25">
      <c r="A92" t="s">
        <v>66</v>
      </c>
      <c r="B92">
        <f>B89*B90/B91</f>
        <v>18.013328398716325</v>
      </c>
      <c r="C92" t="str">
        <f>IF(B92&lt;25,"&lt;25, Use Eq. J4-6","&gt;25, Use Eq. E4-1")</f>
        <v>&lt;25, Use Eq. J4-6</v>
      </c>
      <c r="H92" s="6"/>
    </row>
    <row r="93" spans="1:8" x14ac:dyDescent="0.25">
      <c r="A93" s="6" t="s">
        <v>37</v>
      </c>
      <c r="B93" s="6">
        <v>1.37</v>
      </c>
      <c r="C93" s="6"/>
      <c r="D93" s="6"/>
      <c r="E93" s="6"/>
      <c r="F93" s="6"/>
      <c r="G93" s="6"/>
      <c r="H93" s="6"/>
    </row>
    <row r="94" spans="1:8" x14ac:dyDescent="0.25">
      <c r="A94" s="23" t="s">
        <v>122</v>
      </c>
      <c r="B94" s="6">
        <f>B54*B93/(B37*B40)</f>
        <v>3.1723622782446315</v>
      </c>
      <c r="C94" s="6" t="s">
        <v>5</v>
      </c>
      <c r="D94" s="6"/>
      <c r="E94" s="6"/>
      <c r="F94" s="6"/>
      <c r="G94" s="6"/>
      <c r="H94" s="6"/>
    </row>
    <row r="95" spans="1:8" x14ac:dyDescent="0.25">
      <c r="A95" s="23" t="s">
        <v>123</v>
      </c>
      <c r="B95" s="6">
        <f>MAX(CEILING(B94,1),B101,B27*2+(B29-1)*B28)</f>
        <v>6</v>
      </c>
      <c r="C95" s="6" t="s">
        <v>5</v>
      </c>
      <c r="D95" s="6"/>
      <c r="E95" s="6"/>
      <c r="F95" s="6"/>
      <c r="G95" s="6"/>
      <c r="H95" s="6"/>
    </row>
    <row r="96" spans="1:8" x14ac:dyDescent="0.25">
      <c r="A96" s="24"/>
      <c r="B96" s="24"/>
      <c r="C96" s="24"/>
      <c r="D96" s="24"/>
      <c r="E96" s="24"/>
      <c r="F96" s="24"/>
      <c r="G96" s="24"/>
      <c r="H96" s="6"/>
    </row>
    <row r="97" spans="1:8" x14ac:dyDescent="0.25">
      <c r="A97" s="2" t="s">
        <v>75</v>
      </c>
      <c r="H97" s="6"/>
    </row>
    <row r="98" spans="1:8" x14ac:dyDescent="0.25">
      <c r="A98" t="s">
        <v>71</v>
      </c>
      <c r="B98">
        <f>B54/(2*1.5*0.928*(B34*16))</f>
        <v>2.2457258765575192</v>
      </c>
      <c r="C98" t="s">
        <v>5</v>
      </c>
      <c r="F98" t="s">
        <v>72</v>
      </c>
      <c r="H98" s="6"/>
    </row>
    <row r="99" spans="1:8" x14ac:dyDescent="0.25">
      <c r="A99" t="s">
        <v>73</v>
      </c>
      <c r="B99">
        <f>1+0.5*SIN(B100*PI()/180)^1.5</f>
        <v>1.5</v>
      </c>
      <c r="H99" s="6"/>
    </row>
    <row r="100" spans="1:8" x14ac:dyDescent="0.25">
      <c r="A100" s="3" t="s">
        <v>74</v>
      </c>
      <c r="B100">
        <v>90</v>
      </c>
      <c r="H100" s="6"/>
    </row>
    <row r="101" spans="1:8" x14ac:dyDescent="0.25">
      <c r="A101" s="3" t="s">
        <v>76</v>
      </c>
      <c r="B101">
        <f>CEILING(B98,1)</f>
        <v>3</v>
      </c>
      <c r="C101" t="s">
        <v>5</v>
      </c>
      <c r="H101" s="6"/>
    </row>
    <row r="102" spans="1:8" x14ac:dyDescent="0.25">
      <c r="A102" s="24"/>
      <c r="B102" s="24"/>
      <c r="C102" s="24"/>
      <c r="D102" s="24"/>
      <c r="E102" s="24"/>
      <c r="F102" s="24"/>
      <c r="G102" s="24"/>
      <c r="H102" s="6"/>
    </row>
    <row r="103" spans="1:8" x14ac:dyDescent="0.25">
      <c r="A103" s="2" t="s">
        <v>77</v>
      </c>
      <c r="H103" s="6"/>
    </row>
    <row r="104" spans="1:8" x14ac:dyDescent="0.25">
      <c r="A104" t="s">
        <v>129</v>
      </c>
      <c r="F104" t="s">
        <v>130</v>
      </c>
    </row>
    <row r="105" spans="1:8" x14ac:dyDescent="0.25">
      <c r="A105" t="s">
        <v>79</v>
      </c>
      <c r="B105" t="s">
        <v>80</v>
      </c>
    </row>
    <row r="106" spans="1:8" x14ac:dyDescent="0.25">
      <c r="A106" t="s">
        <v>81</v>
      </c>
      <c r="B106" t="s">
        <v>82</v>
      </c>
    </row>
    <row r="107" spans="1:8" x14ac:dyDescent="0.25">
      <c r="A107" t="s">
        <v>8</v>
      </c>
      <c r="B107" t="s">
        <v>83</v>
      </c>
    </row>
    <row r="108" spans="1:8" x14ac:dyDescent="0.25">
      <c r="A108" t="s">
        <v>84</v>
      </c>
      <c r="B108">
        <v>0.25</v>
      </c>
      <c r="C108" t="s">
        <v>5</v>
      </c>
    </row>
    <row r="109" spans="1:8" x14ac:dyDescent="0.25">
      <c r="A109" t="s">
        <v>29</v>
      </c>
      <c r="B109">
        <v>2</v>
      </c>
    </row>
    <row r="110" spans="1:8" x14ac:dyDescent="0.25">
      <c r="A110" t="s">
        <v>85</v>
      </c>
      <c r="B110">
        <v>1</v>
      </c>
      <c r="C110" t="s">
        <v>5</v>
      </c>
    </row>
    <row r="111" spans="1:8" x14ac:dyDescent="0.25">
      <c r="A111" t="s">
        <v>86</v>
      </c>
      <c r="B111">
        <v>28.3</v>
      </c>
      <c r="C111" t="s">
        <v>3</v>
      </c>
      <c r="D111" t="str">
        <f>IF(B111&gt;$B$6,"GOOD","NG")</f>
        <v>GOOD</v>
      </c>
    </row>
    <row r="112" spans="1:8" x14ac:dyDescent="0.25">
      <c r="A112" t="s">
        <v>127</v>
      </c>
      <c r="B112">
        <v>307</v>
      </c>
      <c r="C112" t="s">
        <v>45</v>
      </c>
    </row>
    <row r="113" spans="1:8" x14ac:dyDescent="0.25">
      <c r="A113" t="s">
        <v>124</v>
      </c>
      <c r="B113">
        <f>B112*B21</f>
        <v>156.57</v>
      </c>
      <c r="C113" t="s">
        <v>3</v>
      </c>
      <c r="D113" t="str">
        <f>IF(B113&gt;$B$6,"GOOD","NG")</f>
        <v>GOOD</v>
      </c>
    </row>
    <row r="114" spans="1:8" x14ac:dyDescent="0.25">
      <c r="A114" t="s">
        <v>128</v>
      </c>
      <c r="B114">
        <v>28.5</v>
      </c>
      <c r="C114" t="s">
        <v>3</v>
      </c>
      <c r="D114" t="str">
        <f>IF(B114&gt;$B$6,"GOOD","NG")</f>
        <v>GOOD</v>
      </c>
    </row>
    <row r="115" spans="1:8" x14ac:dyDescent="0.25">
      <c r="A115" t="s">
        <v>131</v>
      </c>
      <c r="B115">
        <f>(3/16)</f>
        <v>0.1875</v>
      </c>
      <c r="C115" t="s">
        <v>5</v>
      </c>
    </row>
    <row r="116" spans="1:8" x14ac:dyDescent="0.25">
      <c r="A116" t="s">
        <v>133</v>
      </c>
      <c r="B116">
        <v>5.5</v>
      </c>
      <c r="C116" t="s">
        <v>5</v>
      </c>
    </row>
    <row r="117" spans="1:8" x14ac:dyDescent="0.25">
      <c r="A117" t="s">
        <v>103</v>
      </c>
      <c r="B117">
        <f>1+(5/8)</f>
        <v>1.625</v>
      </c>
      <c r="C117" t="s">
        <v>5</v>
      </c>
      <c r="F117" t="s">
        <v>119</v>
      </c>
    </row>
    <row r="118" spans="1:8" x14ac:dyDescent="0.25">
      <c r="A118" t="s">
        <v>104</v>
      </c>
      <c r="B118">
        <f>1+(7/16)</f>
        <v>1.4375</v>
      </c>
      <c r="C118" t="s">
        <v>5</v>
      </c>
    </row>
    <row r="119" spans="1:8" x14ac:dyDescent="0.25">
      <c r="A119" t="s">
        <v>105</v>
      </c>
      <c r="B119">
        <f>B117+B118+B108+B27</f>
        <v>4.8125</v>
      </c>
      <c r="C119" t="s">
        <v>5</v>
      </c>
    </row>
    <row r="120" spans="1:8" x14ac:dyDescent="0.25">
      <c r="A120" s="6" t="s">
        <v>106</v>
      </c>
      <c r="B120" s="6">
        <f>ROUNDUP(B119,0.5)</f>
        <v>5</v>
      </c>
      <c r="C120" s="6" t="s">
        <v>5</v>
      </c>
      <c r="D120" s="6"/>
      <c r="E120" s="6"/>
      <c r="F120" s="6"/>
      <c r="G120" s="6"/>
      <c r="H120" s="6"/>
    </row>
    <row r="121" spans="1:8" x14ac:dyDescent="0.25">
      <c r="A121" s="24"/>
      <c r="B121" s="24"/>
      <c r="C121" s="24"/>
      <c r="D121" s="24"/>
      <c r="E121" s="24"/>
      <c r="F121" s="24"/>
      <c r="G121" s="24"/>
      <c r="H121" s="6"/>
    </row>
    <row r="122" spans="1:8" x14ac:dyDescent="0.25">
      <c r="A122" s="2" t="s">
        <v>90</v>
      </c>
    </row>
    <row r="123" spans="1:8" x14ac:dyDescent="0.25">
      <c r="A123" s="4" t="s">
        <v>87</v>
      </c>
    </row>
    <row r="124" spans="1:8" ht="18" x14ac:dyDescent="0.35">
      <c r="A124" t="s">
        <v>39</v>
      </c>
      <c r="B124">
        <f>6.25*B9*(B20^2)/B125</f>
        <v>136.79360029940119</v>
      </c>
      <c r="C124" t="s">
        <v>3</v>
      </c>
      <c r="D124" t="str">
        <f>IF(B124&gt;$B$54,"GOOD","NG")</f>
        <v>GOOD</v>
      </c>
      <c r="F124" t="s">
        <v>88</v>
      </c>
    </row>
    <row r="125" spans="1:8" x14ac:dyDescent="0.25">
      <c r="A125" t="s">
        <v>37</v>
      </c>
      <c r="B125">
        <v>1.67</v>
      </c>
    </row>
    <row r="126" spans="1:8" x14ac:dyDescent="0.25">
      <c r="A126" t="s">
        <v>89</v>
      </c>
    </row>
    <row r="127" spans="1:8" ht="18" x14ac:dyDescent="0.35">
      <c r="A127" t="s">
        <v>39</v>
      </c>
      <c r="B127">
        <f>2*B128+B130*B129</f>
        <v>129.57499999999999</v>
      </c>
      <c r="C127" t="s">
        <v>3</v>
      </c>
      <c r="D127" t="str">
        <f>IF(B127&gt;$B$54,"GOOD","NG")</f>
        <v>GOOD</v>
      </c>
      <c r="F127" t="s">
        <v>95</v>
      </c>
    </row>
    <row r="128" spans="1:8" ht="18" x14ac:dyDescent="0.35">
      <c r="A128" t="s">
        <v>92</v>
      </c>
      <c r="B128">
        <v>61.6</v>
      </c>
      <c r="C128" t="s">
        <v>93</v>
      </c>
      <c r="F128" t="s">
        <v>99</v>
      </c>
    </row>
    <row r="129" spans="1:8" ht="18" x14ac:dyDescent="0.35">
      <c r="A129" t="s">
        <v>91</v>
      </c>
      <c r="B129">
        <v>17</v>
      </c>
      <c r="C129" t="s">
        <v>93</v>
      </c>
    </row>
    <row r="130" spans="1:8" ht="18" x14ac:dyDescent="0.35">
      <c r="A130" t="s">
        <v>94</v>
      </c>
      <c r="B130" s="1">
        <f>B40</f>
        <v>0.375</v>
      </c>
      <c r="C130" t="s">
        <v>5</v>
      </c>
    </row>
    <row r="131" spans="1:8" x14ac:dyDescent="0.25">
      <c r="A131" t="s">
        <v>96</v>
      </c>
    </row>
    <row r="132" spans="1:8" ht="18" x14ac:dyDescent="0.35">
      <c r="A132" t="s">
        <v>39</v>
      </c>
      <c r="B132">
        <f>2*(B133+B135*B134)</f>
        <v>168.07999999999998</v>
      </c>
      <c r="C132" t="s">
        <v>3</v>
      </c>
      <c r="D132" t="str">
        <f>IF(B132&gt;$B$54,"GOOD","NG")</f>
        <v>GOOD</v>
      </c>
    </row>
    <row r="133" spans="1:8" ht="18" x14ac:dyDescent="0.35">
      <c r="A133" s="6" t="s">
        <v>97</v>
      </c>
      <c r="B133" s="6">
        <v>81.099999999999994</v>
      </c>
      <c r="C133" s="6" t="s">
        <v>93</v>
      </c>
      <c r="D133" s="6"/>
      <c r="E133" s="6"/>
      <c r="F133" s="6" t="s">
        <v>99</v>
      </c>
      <c r="G133" s="6"/>
      <c r="H133" s="6"/>
    </row>
    <row r="134" spans="1:8" ht="18" x14ac:dyDescent="0.35">
      <c r="A134" s="6" t="s">
        <v>98</v>
      </c>
      <c r="B134" s="6">
        <v>7.84</v>
      </c>
      <c r="C134" s="6" t="s">
        <v>93</v>
      </c>
      <c r="D134" s="6"/>
      <c r="E134" s="6"/>
      <c r="F134" s="6"/>
      <c r="G134" s="6"/>
      <c r="H134" s="6"/>
    </row>
    <row r="135" spans="1:8" ht="18.75" thickBot="1" x14ac:dyDescent="0.4">
      <c r="A135" s="20" t="s">
        <v>94</v>
      </c>
      <c r="B135" s="21">
        <f>B40</f>
        <v>0.375</v>
      </c>
      <c r="C135" s="20" t="s">
        <v>5</v>
      </c>
      <c r="D135" s="20"/>
      <c r="E135" s="20"/>
      <c r="F135" s="20"/>
      <c r="G135" s="20"/>
      <c r="H135" s="6"/>
    </row>
    <row r="136" spans="1:8" ht="16.5" thickTop="1" thickBot="1" x14ac:dyDescent="0.3"/>
    <row r="137" spans="1:8" x14ac:dyDescent="0.25">
      <c r="A137" s="11" t="s">
        <v>100</v>
      </c>
      <c r="B137" s="12"/>
      <c r="C137" s="7"/>
    </row>
    <row r="138" spans="1:8" x14ac:dyDescent="0.25">
      <c r="A138" s="8" t="s">
        <v>65</v>
      </c>
      <c r="B138" s="5">
        <f>B42</f>
        <v>9.5</v>
      </c>
      <c r="C138" s="9" t="s">
        <v>5</v>
      </c>
      <c r="E138" s="6"/>
      <c r="F138" s="6"/>
    </row>
    <row r="139" spans="1:8" x14ac:dyDescent="0.25">
      <c r="A139" s="8" t="s">
        <v>64</v>
      </c>
      <c r="B139" s="5">
        <f>B41</f>
        <v>6</v>
      </c>
      <c r="C139" s="9" t="s">
        <v>5</v>
      </c>
      <c r="E139" s="6"/>
      <c r="F139" s="6"/>
    </row>
    <row r="140" spans="1:8" x14ac:dyDescent="0.25">
      <c r="A140" s="8" t="s">
        <v>18</v>
      </c>
      <c r="B140" s="5">
        <f>B40</f>
        <v>0.375</v>
      </c>
      <c r="C140" s="9" t="s">
        <v>5</v>
      </c>
      <c r="E140" s="6"/>
      <c r="F140" s="6"/>
    </row>
    <row r="141" spans="1:8" x14ac:dyDescent="0.25">
      <c r="A141" s="8" t="s">
        <v>101</v>
      </c>
      <c r="B141" s="6">
        <f>B101</f>
        <v>3</v>
      </c>
      <c r="C141" s="9" t="s">
        <v>5</v>
      </c>
      <c r="E141" s="6"/>
      <c r="F141" s="6"/>
    </row>
    <row r="142" spans="1:8" x14ac:dyDescent="0.25">
      <c r="A142" s="8" t="s">
        <v>132</v>
      </c>
      <c r="B142" s="5">
        <f>B34</f>
        <v>0.3125</v>
      </c>
      <c r="C142" s="9" t="s">
        <v>5</v>
      </c>
      <c r="E142" s="6"/>
      <c r="F142" s="6"/>
    </row>
    <row r="143" spans="1:8" x14ac:dyDescent="0.25">
      <c r="A143" s="8" t="s">
        <v>134</v>
      </c>
      <c r="B143" s="6">
        <f>B66</f>
        <v>4</v>
      </c>
      <c r="C143" s="9"/>
      <c r="E143" s="6"/>
      <c r="F143" s="6"/>
    </row>
    <row r="144" spans="1:8" x14ac:dyDescent="0.25">
      <c r="A144" s="8" t="s">
        <v>29</v>
      </c>
      <c r="B144" s="6">
        <v>2</v>
      </c>
      <c r="C144" s="9"/>
      <c r="E144" s="6"/>
      <c r="F144" s="6"/>
    </row>
    <row r="145" spans="1:6" x14ac:dyDescent="0.25">
      <c r="A145" s="8" t="s">
        <v>107</v>
      </c>
      <c r="B145" s="6">
        <f>B28</f>
        <v>3</v>
      </c>
      <c r="C145" s="9" t="s">
        <v>5</v>
      </c>
      <c r="E145" s="6"/>
      <c r="F145" s="6"/>
    </row>
    <row r="146" spans="1:6" x14ac:dyDescent="0.25">
      <c r="A146" s="8" t="s">
        <v>4</v>
      </c>
      <c r="B146" s="6">
        <v>1</v>
      </c>
      <c r="C146" s="9" t="s">
        <v>5</v>
      </c>
      <c r="E146" s="6"/>
      <c r="F146" s="6"/>
    </row>
    <row r="147" spans="1:6" x14ac:dyDescent="0.25">
      <c r="A147" s="8"/>
      <c r="B147" s="6"/>
      <c r="C147" s="9"/>
    </row>
    <row r="148" spans="1:6" x14ac:dyDescent="0.25">
      <c r="A148" s="13" t="s">
        <v>102</v>
      </c>
      <c r="B148" s="6"/>
      <c r="C148" s="9"/>
    </row>
    <row r="149" spans="1:6" x14ac:dyDescent="0.25">
      <c r="A149" s="8" t="str">
        <f>A104</f>
        <v>Bolted/Welded Connection</v>
      </c>
      <c r="B149" s="6"/>
      <c r="C149" s="9"/>
    </row>
    <row r="150" spans="1:6" x14ac:dyDescent="0.25">
      <c r="A150" s="8" t="s">
        <v>132</v>
      </c>
      <c r="B150" s="6">
        <f>B115</f>
        <v>0.1875</v>
      </c>
      <c r="C150" s="9" t="s">
        <v>5</v>
      </c>
    </row>
    <row r="151" spans="1:6" x14ac:dyDescent="0.25">
      <c r="A151" s="8" t="s">
        <v>133</v>
      </c>
      <c r="B151" s="6">
        <f>B116</f>
        <v>5.5</v>
      </c>
      <c r="C151" s="9" t="s">
        <v>5</v>
      </c>
    </row>
    <row r="152" spans="1:6" x14ac:dyDescent="0.25">
      <c r="A152" s="8" t="s">
        <v>4</v>
      </c>
      <c r="B152" s="6">
        <f>B24</f>
        <v>1</v>
      </c>
      <c r="C152" s="9" t="s">
        <v>5</v>
      </c>
    </row>
    <row r="153" spans="1:6" x14ac:dyDescent="0.25">
      <c r="A153" s="8" t="s">
        <v>134</v>
      </c>
      <c r="B153" s="6">
        <f>B154</f>
        <v>2</v>
      </c>
      <c r="C153" s="9"/>
    </row>
    <row r="154" spans="1:6" x14ac:dyDescent="0.25">
      <c r="A154" s="8" t="s">
        <v>29</v>
      </c>
      <c r="B154" s="6">
        <f>B109</f>
        <v>2</v>
      </c>
      <c r="C154" s="9"/>
    </row>
    <row r="155" spans="1:6" x14ac:dyDescent="0.25">
      <c r="A155" s="8" t="s">
        <v>107</v>
      </c>
      <c r="B155" s="6">
        <v>3</v>
      </c>
      <c r="C155" s="9" t="s">
        <v>5</v>
      </c>
    </row>
    <row r="156" spans="1:6" x14ac:dyDescent="0.25">
      <c r="A156" s="8" t="s">
        <v>13</v>
      </c>
      <c r="B156" s="6">
        <f>B27</f>
        <v>1.5</v>
      </c>
      <c r="C156" s="9" t="s">
        <v>5</v>
      </c>
    </row>
    <row r="157" spans="1:6" x14ac:dyDescent="0.25">
      <c r="A157" s="8" t="s">
        <v>84</v>
      </c>
      <c r="B157" s="6">
        <f>B108</f>
        <v>0.25</v>
      </c>
      <c r="C157" s="9" t="s">
        <v>5</v>
      </c>
    </row>
    <row r="158" spans="1:6" x14ac:dyDescent="0.25">
      <c r="A158" s="8" t="s">
        <v>135</v>
      </c>
      <c r="B158" s="6">
        <f>2*B156+B155*(B154-1)</f>
        <v>6</v>
      </c>
      <c r="C158" s="9" t="s">
        <v>5</v>
      </c>
    </row>
    <row r="159" spans="1:6" ht="15.75" thickBot="1" x14ac:dyDescent="0.3">
      <c r="A159" s="10" t="s">
        <v>108</v>
      </c>
      <c r="B159" s="14">
        <f>B120</f>
        <v>5</v>
      </c>
      <c r="C159" s="15" t="s">
        <v>5</v>
      </c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</sheetData>
  <pageMargins left="0.7" right="0.7" top="0.75" bottom="0.75" header="0.3" footer="0.3"/>
  <pageSetup orientation="portrait" r:id="rId1"/>
  <headerFooter>
    <oddHeader>&amp;L14.551 Advanced Steel Design
BBB Engineering&amp;RDesigned By: Brian Foley
Checked by:_&amp;U_WMP/BB&amp;U_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2014-11-26T00:22:59Z</dcterms:created>
  <dcterms:modified xsi:type="dcterms:W3CDTF">2014-12-13T01:18:39Z</dcterms:modified>
</cp:coreProperties>
</file>