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20" yWindow="180" windowWidth="12705" windowHeight="10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  <c r="B57" i="1" l="1"/>
  <c r="B56" i="1"/>
  <c r="B55" i="1" l="1"/>
  <c r="B54" i="1"/>
  <c r="B53" i="1"/>
  <c r="B52" i="1"/>
  <c r="B49" i="1"/>
  <c r="B48" i="1"/>
  <c r="B120" i="1"/>
  <c r="E114" i="1"/>
  <c r="B118" i="1" s="1"/>
  <c r="D114" i="1"/>
  <c r="C114" i="1"/>
  <c r="B114" i="1"/>
  <c r="B124" i="1" l="1"/>
  <c r="B125" i="1" s="1"/>
  <c r="B128" i="1" s="1"/>
  <c r="B129" i="1" s="1"/>
  <c r="B58" i="1" l="1"/>
  <c r="B112" i="1"/>
  <c r="C112" i="1" s="1"/>
  <c r="B50" i="1"/>
  <c r="B66" i="1" l="1"/>
  <c r="B81" i="1" l="1"/>
  <c r="G108" i="1"/>
  <c r="B90" i="1"/>
  <c r="B86" i="1"/>
  <c r="B85" i="1"/>
  <c r="B87" i="1" s="1"/>
  <c r="B83" i="1"/>
  <c r="B68" i="1"/>
  <c r="B99" i="1"/>
  <c r="B92" i="1"/>
  <c r="B94" i="1" l="1"/>
  <c r="B96" i="1" s="1"/>
  <c r="B93" i="1"/>
  <c r="B95" i="1" s="1"/>
  <c r="B100" i="1"/>
  <c r="B101" i="1" s="1"/>
  <c r="B102" i="1" s="1"/>
  <c r="B107" i="1" s="1"/>
  <c r="B103" i="1" l="1"/>
  <c r="B108" i="1" s="1"/>
  <c r="A108" i="1"/>
  <c r="D108" i="1" l="1"/>
  <c r="C108" i="1"/>
</calcChain>
</file>

<file path=xl/sharedStrings.xml><?xml version="1.0" encoding="utf-8"?>
<sst xmlns="http://schemas.openxmlformats.org/spreadsheetml/2006/main" count="209" uniqueCount="132">
  <si>
    <t>Member Selection</t>
  </si>
  <si>
    <t>Beam Properties</t>
  </si>
  <si>
    <r>
      <t>BF/</t>
    </r>
    <r>
      <rPr>
        <sz val="11"/>
        <color theme="1"/>
        <rFont val="GreekC_IV50"/>
      </rPr>
      <t>W</t>
    </r>
    <r>
      <rPr>
        <vertAlign val="subscript"/>
        <sz val="11"/>
        <color theme="1"/>
        <rFont val="Calibri"/>
        <family val="2"/>
      </rPr>
      <t>b</t>
    </r>
  </si>
  <si>
    <r>
      <t>M</t>
    </r>
    <r>
      <rPr>
        <vertAlign val="subscript"/>
        <sz val="11"/>
        <color theme="1"/>
        <rFont val="Calibri"/>
        <family val="2"/>
        <scheme val="minor"/>
      </rPr>
      <t>px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GreekC_IV50"/>
      </rPr>
      <t>W</t>
    </r>
    <r>
      <rPr>
        <vertAlign val="subscript"/>
        <sz val="11"/>
        <color theme="1"/>
        <rFont val="Calibri"/>
        <family val="2"/>
      </rPr>
      <t>b</t>
    </r>
  </si>
  <si>
    <t>kips</t>
  </si>
  <si>
    <t>Kip-ft</t>
  </si>
  <si>
    <t>Capacity</t>
  </si>
  <si>
    <t>Table 1-1</t>
  </si>
  <si>
    <t>Table 3-2</t>
  </si>
  <si>
    <t>Table 3-10</t>
  </si>
  <si>
    <t>kip-ft</t>
  </si>
  <si>
    <t>Approximate Second Order Analysis</t>
  </si>
  <si>
    <t>kip</t>
  </si>
  <si>
    <t>Kip</t>
  </si>
  <si>
    <t>A-8-8</t>
  </si>
  <si>
    <t>A-8-7</t>
  </si>
  <si>
    <t>A-8-6</t>
  </si>
  <si>
    <t>A-8-2</t>
  </si>
  <si>
    <t>A-8-1</t>
  </si>
  <si>
    <t>Combined Force Interaction Equation</t>
  </si>
  <si>
    <t>Eq F6-1</t>
  </si>
  <si>
    <t>Eq A-8-4</t>
  </si>
  <si>
    <t>Column Capacity</t>
  </si>
  <si>
    <t>col1</t>
  </si>
  <si>
    <t>col2</t>
  </si>
  <si>
    <t>beam1</t>
  </si>
  <si>
    <t>beam2</t>
  </si>
  <si>
    <t>Fig. C-A-7.2</t>
  </si>
  <si>
    <t>Eq C-A-7-10</t>
  </si>
  <si>
    <t>Eq E3-4</t>
  </si>
  <si>
    <t>Torsional Constant (J)</t>
  </si>
  <si>
    <t>Eq E3-3</t>
  </si>
  <si>
    <t>Buckling Stress</t>
  </si>
  <si>
    <t>ksi</t>
  </si>
  <si>
    <t>Member</t>
  </si>
  <si>
    <t>Load</t>
  </si>
  <si>
    <t>Joint</t>
  </si>
  <si>
    <t>Force X</t>
  </si>
  <si>
    <t>Force Y</t>
  </si>
  <si>
    <t>Moment Z</t>
  </si>
  <si>
    <t>in</t>
  </si>
  <si>
    <t>Unbraced Length (L)</t>
  </si>
  <si>
    <t>ft</t>
  </si>
  <si>
    <t>L (in)</t>
  </si>
  <si>
    <t>Ends restrained from warping</t>
  </si>
  <si>
    <t>See Calcs below</t>
  </si>
  <si>
    <t>With Translation Loading</t>
  </si>
  <si>
    <t>No Translation Loading</t>
  </si>
  <si>
    <t>H</t>
  </si>
  <si>
    <t>≥1</t>
  </si>
  <si>
    <t>Only Translation</t>
  </si>
  <si>
    <t xml:space="preserve">Rotational Stiffness </t>
  </si>
  <si>
    <t xml:space="preserve"> D+L+E+S</t>
  </si>
  <si>
    <r>
      <t>P</t>
    </r>
    <r>
      <rPr>
        <vertAlign val="subscript"/>
        <sz val="11"/>
        <color theme="1"/>
        <rFont val="Calibri"/>
        <family val="2"/>
        <scheme val="minor"/>
      </rPr>
      <t>mf</t>
    </r>
  </si>
  <si>
    <r>
      <t>P</t>
    </r>
    <r>
      <rPr>
        <vertAlign val="subscript"/>
        <sz val="11"/>
        <color theme="1"/>
        <rFont val="Calibri"/>
        <family val="2"/>
        <scheme val="minor"/>
      </rPr>
      <t>story</t>
    </r>
  </si>
  <si>
    <r>
      <t>P</t>
    </r>
    <r>
      <rPr>
        <vertAlign val="subscript"/>
        <sz val="11"/>
        <color theme="1"/>
        <rFont val="Calibri"/>
        <family val="2"/>
        <scheme val="minor"/>
      </rPr>
      <t>nt</t>
    </r>
  </si>
  <si>
    <r>
      <t>M</t>
    </r>
    <r>
      <rPr>
        <vertAlign val="subscript"/>
        <sz val="11"/>
        <color theme="1"/>
        <rFont val="Calibri"/>
        <family val="2"/>
        <scheme val="minor"/>
      </rPr>
      <t>nt</t>
    </r>
  </si>
  <si>
    <r>
      <t>P</t>
    </r>
    <r>
      <rPr>
        <vertAlign val="subscript"/>
        <sz val="11"/>
        <color theme="1"/>
        <rFont val="Calibri"/>
        <family val="2"/>
        <scheme val="minor"/>
      </rPr>
      <t>lt</t>
    </r>
  </si>
  <si>
    <r>
      <t>Plastic Section Modulus (Z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</si>
  <si>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Section Modulus (S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</si>
  <si>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Moment of Inertia (I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</si>
  <si>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Moment of Inertia (I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</si>
  <si>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r>
      <t>Distance Between Flange Centroid (h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</si>
  <si>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Gross Area (A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</si>
  <si>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</si>
  <si>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Warping Constant (C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</si>
  <si>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r>
      <t>Full Plastic Yielding Unbraced Length (L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</si>
  <si>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Elastic/Inelastic LTB Unbraced Length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</si>
  <si>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Axial Capacity (P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</si>
  <si>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>LTB Modification Factor (C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</t>
    </r>
  </si>
  <si>
    <r>
      <t>Flexural Capacity (M</t>
    </r>
    <r>
      <rPr>
        <vertAlign val="subscript"/>
        <sz val="11"/>
        <color theme="1"/>
        <rFont val="Calibri"/>
        <family val="2"/>
        <scheme val="minor"/>
      </rPr>
      <t>cx</t>
    </r>
    <r>
      <rPr>
        <sz val="11"/>
        <color theme="1"/>
        <rFont val="Calibri"/>
        <family val="2"/>
        <scheme val="minor"/>
      </rPr>
      <t>)</t>
    </r>
  </si>
  <si>
    <r>
      <t>Flexural Capacity (M</t>
    </r>
    <r>
      <rPr>
        <vertAlign val="subscript"/>
        <sz val="11"/>
        <color theme="1"/>
        <rFont val="Calibri"/>
        <family val="2"/>
        <scheme val="minor"/>
      </rPr>
      <t>cy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</si>
  <si>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y</t>
    </r>
  </si>
  <si>
    <r>
      <t>1.6F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</si>
  <si>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M</t>
    </r>
    <r>
      <rPr>
        <vertAlign val="subscript"/>
        <sz val="11"/>
        <color theme="1"/>
        <rFont val="Calibri"/>
        <family val="2"/>
        <scheme val="minor"/>
      </rPr>
      <t>cy</t>
    </r>
  </si>
  <si>
    <r>
      <t>Modification Coefficient (C</t>
    </r>
    <r>
      <rPr>
        <vertAlign val="subscript"/>
        <sz val="11"/>
        <color theme="1"/>
        <rFont val="Calibri"/>
        <family val="2"/>
        <scheme val="minor"/>
      </rPr>
      <t>mx</t>
    </r>
    <r>
      <rPr>
        <sz val="11"/>
        <color theme="1"/>
        <rFont val="Calibri"/>
        <family val="2"/>
        <scheme val="minor"/>
      </rPr>
      <t>)</t>
    </r>
  </si>
  <si>
    <r>
      <t>Modification Coefficient (C</t>
    </r>
    <r>
      <rPr>
        <vertAlign val="subscript"/>
        <sz val="11"/>
        <color theme="1"/>
        <rFont val="Calibri"/>
        <family val="2"/>
        <scheme val="minor"/>
      </rPr>
      <t>my</t>
    </r>
    <r>
      <rPr>
        <sz val="11"/>
        <color theme="1"/>
        <rFont val="Calibri"/>
        <family val="2"/>
        <scheme val="minor"/>
      </rPr>
      <t>)</t>
    </r>
  </si>
  <si>
    <r>
      <t>Elastic Buckling Strength (P</t>
    </r>
    <r>
      <rPr>
        <vertAlign val="subscript"/>
        <sz val="11"/>
        <color theme="1"/>
        <rFont val="Calibri"/>
        <family val="2"/>
        <scheme val="minor"/>
      </rPr>
      <t>ex</t>
    </r>
    <r>
      <rPr>
        <sz val="11"/>
        <color theme="1"/>
        <rFont val="Calibri"/>
        <family val="2"/>
        <scheme val="minor"/>
      </rPr>
      <t>)</t>
    </r>
  </si>
  <si>
    <r>
      <t>Elastic Buckling Strength (P</t>
    </r>
    <r>
      <rPr>
        <vertAlign val="subscript"/>
        <sz val="11"/>
        <color theme="1"/>
        <rFont val="Calibri"/>
        <family val="2"/>
        <scheme val="minor"/>
      </rPr>
      <t>ey</t>
    </r>
    <r>
      <rPr>
        <sz val="11"/>
        <color theme="1"/>
        <rFont val="Calibri"/>
        <family val="2"/>
        <scheme val="minor"/>
      </rPr>
      <t>)</t>
    </r>
  </si>
  <si>
    <r>
      <t>Amplification Factor (B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>)</t>
    </r>
  </si>
  <si>
    <r>
      <t>Amplification Factor (B</t>
    </r>
    <r>
      <rPr>
        <vertAlign val="subscript"/>
        <sz val="11"/>
        <color theme="1"/>
        <rFont val="Calibri"/>
        <family val="2"/>
        <scheme val="minor"/>
      </rPr>
      <t>1y</t>
    </r>
    <r>
      <rPr>
        <sz val="11"/>
        <color theme="1"/>
        <rFont val="Calibri"/>
        <family val="2"/>
        <scheme val="minor"/>
      </rPr>
      <t>)</t>
    </r>
  </si>
  <si>
    <r>
      <t>Calc. P-</t>
    </r>
    <r>
      <rPr>
        <sz val="11"/>
        <color theme="1"/>
        <rFont val="GreekC_IV50"/>
      </rPr>
      <t>D</t>
    </r>
    <r>
      <rPr>
        <sz val="11"/>
        <color theme="1"/>
        <rFont val="Calibri"/>
        <family val="2"/>
      </rPr>
      <t xml:space="preserve"> Amplification Factor (B</t>
    </r>
    <r>
      <rPr>
        <vertAlign val="subscript"/>
        <sz val="11"/>
        <color theme="1"/>
        <rFont val="Calibri"/>
        <family val="2"/>
      </rPr>
      <t>2x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</si>
  <si>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</si>
  <si>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P</t>
    </r>
    <r>
      <rPr>
        <vertAlign val="subscript"/>
        <sz val="11"/>
        <color theme="1"/>
        <rFont val="Calibri"/>
        <family val="2"/>
        <scheme val="minor"/>
      </rPr>
      <t>e-story</t>
    </r>
  </si>
  <si>
    <r>
      <t>B</t>
    </r>
    <r>
      <rPr>
        <vertAlign val="subscript"/>
        <sz val="11"/>
        <color theme="1"/>
        <rFont val="Calibri"/>
        <family val="2"/>
        <scheme val="minor"/>
      </rPr>
      <t>2x</t>
    </r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</si>
  <si>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</si>
  <si>
    <r>
      <t>M</t>
    </r>
    <r>
      <rPr>
        <vertAlign val="subscript"/>
        <sz val="11"/>
        <color theme="1"/>
        <rFont val="Calibri"/>
        <family val="2"/>
        <scheme val="minor"/>
      </rPr>
      <t>rx</t>
    </r>
  </si>
  <si>
    <r>
      <t>M</t>
    </r>
    <r>
      <rPr>
        <vertAlign val="subscript"/>
        <sz val="11"/>
        <color theme="1"/>
        <rFont val="Calibri"/>
        <family val="2"/>
        <scheme val="minor"/>
      </rPr>
      <t>ry</t>
    </r>
  </si>
  <si>
    <r>
      <t>P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c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</si>
  <si>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</si>
  <si>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</si>
  <si>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</si>
  <si>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6</t>
    </r>
  </si>
  <si>
    <r>
      <t>M</t>
    </r>
    <r>
      <rPr>
        <vertAlign val="subscript"/>
        <sz val="11"/>
        <color theme="1"/>
        <rFont val="Calibri"/>
        <family val="2"/>
        <scheme val="minor"/>
      </rPr>
      <t>lt</t>
    </r>
  </si>
  <si>
    <t>Story Drift</t>
  </si>
  <si>
    <t>Trans X</t>
  </si>
  <si>
    <t>Loads for Member</t>
  </si>
  <si>
    <r>
      <t>P</t>
    </r>
    <r>
      <rPr>
        <vertAlign val="subscript"/>
        <sz val="11"/>
        <color theme="1"/>
        <rFont val="Calibri"/>
        <family val="2"/>
        <scheme val="minor"/>
      </rPr>
      <t>u</t>
    </r>
  </si>
  <si>
    <r>
      <t>M</t>
    </r>
    <r>
      <rPr>
        <vertAlign val="subscript"/>
        <sz val="11"/>
        <color theme="1"/>
        <rFont val="Calibri"/>
        <family val="2"/>
        <scheme val="minor"/>
      </rPr>
      <t>u</t>
    </r>
  </si>
  <si>
    <t>ft-kip</t>
  </si>
  <si>
    <r>
      <t>Story Drift (</t>
    </r>
    <r>
      <rPr>
        <sz val="11"/>
        <color theme="1"/>
        <rFont val="GreekC_IV50"/>
      </rPr>
      <t>∆</t>
    </r>
    <r>
      <rPr>
        <sz val="11"/>
        <color theme="1"/>
        <rFont val="Calibri"/>
        <family val="2"/>
      </rPr>
      <t>H)</t>
    </r>
  </si>
  <si>
    <t>Effective Length Factor (K)</t>
  </si>
  <si>
    <t>Effective Length (KL)</t>
  </si>
  <si>
    <t>(Zone 2)</t>
  </si>
  <si>
    <r>
      <t>Flexural Stiffness Factor (</t>
    </r>
    <r>
      <rPr>
        <sz val="11"/>
        <color theme="1"/>
        <rFont val="GreekC_IV25"/>
      </rPr>
      <t>t</t>
    </r>
    <r>
      <rPr>
        <sz val="11"/>
        <color theme="1"/>
        <rFont val="Calibri"/>
        <family val="2"/>
      </rPr>
      <t>)</t>
    </r>
  </si>
  <si>
    <t>Eq C2-2a/b</t>
  </si>
  <si>
    <t>Eq A-8-5</t>
  </si>
  <si>
    <t>Eq A-8-3</t>
  </si>
  <si>
    <t>W</t>
  </si>
  <si>
    <t>Ag*Fcr</t>
  </si>
  <si>
    <t>Determine Kx</t>
  </si>
  <si>
    <t>GA</t>
  </si>
  <si>
    <t>GB</t>
  </si>
  <si>
    <t>ELM Seismic Analysis: Moment Frame</t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</si>
  <si>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</si>
  <si>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/L</t>
    </r>
  </si>
  <si>
    <r>
      <t>K</t>
    </r>
    <r>
      <rPr>
        <vertAlign val="subscript"/>
        <sz val="11"/>
        <color theme="1"/>
        <rFont val="Calibri"/>
        <family val="2"/>
        <scheme val="minor"/>
      </rPr>
      <t>x</t>
    </r>
  </si>
  <si>
    <r>
      <t>KL/r</t>
    </r>
    <r>
      <rPr>
        <vertAlign val="subscript"/>
        <sz val="11"/>
        <color theme="1"/>
        <rFont val="Calibri"/>
        <family val="2"/>
        <scheme val="minor"/>
      </rPr>
      <t>x</t>
    </r>
  </si>
  <si>
    <r>
      <t>K</t>
    </r>
    <r>
      <rPr>
        <vertAlign val="subscript"/>
        <sz val="11"/>
        <color theme="1"/>
        <rFont val="Calibri"/>
        <family val="2"/>
        <scheme val="minor"/>
      </rPr>
      <t>z</t>
    </r>
  </si>
  <si>
    <r>
      <t>Elastic Buckling Stress (F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</si>
  <si>
    <r>
      <t>Critical Buckling Stress (F</t>
    </r>
    <r>
      <rPr>
        <vertAlign val="subscript"/>
        <sz val="11"/>
        <color theme="1"/>
        <rFont val="Calibri"/>
        <family val="2"/>
        <scheme val="minor"/>
      </rPr>
      <t>cr</t>
    </r>
    <r>
      <rPr>
        <sz val="11"/>
        <color theme="1"/>
        <rFont val="Calibri"/>
        <family val="2"/>
        <scheme val="minor"/>
      </rPr>
      <t>)</t>
    </r>
  </si>
  <si>
    <r>
      <t>Column Capacity (P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)(P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</si>
  <si>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 xml:space="preserve">  DLESnt</t>
  </si>
  <si>
    <t>OT Seis.</t>
  </si>
  <si>
    <t>W14x82</t>
  </si>
  <si>
    <t>Accepable Drift (L/600)</t>
  </si>
  <si>
    <t>ASCE7 Table 12.12-1</t>
  </si>
  <si>
    <r>
      <t>Factored Column Capacity (P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GreekC_IV50"/>
      </rPr>
      <t>W</t>
    </r>
    <r>
      <rPr>
        <sz val="11"/>
        <color theme="1"/>
        <rFont val="Calibri"/>
        <family val="2"/>
      </rPr>
      <t>)</t>
    </r>
  </si>
  <si>
    <t xml:space="preserve">   D+.7E</t>
  </si>
  <si>
    <t>ASD Loading Case 5</t>
  </si>
  <si>
    <r>
      <t>Notional Load (N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</si>
  <si>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Negligible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</si>
</sst>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reekC_IV50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GreekC_IV25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7" fillId="0" borderId="0" xfId="0" applyFont="1"/>
    <xf numFmtId="0" fontId="0" fillId="0" borderId="0" xfId="0" applyFont="1"/>
    <xf numFmtId="0" fontId="0" fillId="0" borderId="1" xfId="0" applyBorder="1"/>
    <xf numFmtId="0" fontId="9" fillId="0" borderId="0" xfId="0" applyFon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showWhiteSpace="0" view="pageLayout" zoomScaleNormal="100" workbookViewId="0">
      <selection activeCell="A15" sqref="A15"/>
    </sheetView>
  </sheetViews>
  <sheetFormatPr defaultRowHeight="15"/>
  <cols>
    <col min="1" max="1" width="37.28515625" customWidth="1"/>
    <col min="2" max="2" width="13" customWidth="1"/>
  </cols>
  <sheetData>
    <row r="1" spans="1:6">
      <c r="A1" s="4" t="s">
        <v>113</v>
      </c>
    </row>
    <row r="2" spans="1:6">
      <c r="A2" s="1" t="s">
        <v>46</v>
      </c>
    </row>
    <row r="3" spans="1:6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</row>
    <row r="4" spans="1:6">
      <c r="A4">
        <v>1</v>
      </c>
      <c r="B4" t="s">
        <v>52</v>
      </c>
      <c r="C4">
        <v>1</v>
      </c>
      <c r="D4">
        <v>10.438499999999999</v>
      </c>
      <c r="E4">
        <v>8.6199999999999999E-2</v>
      </c>
      <c r="F4">
        <v>0</v>
      </c>
    </row>
    <row r="5" spans="1:6">
      <c r="A5">
        <v>1</v>
      </c>
      <c r="B5" t="s">
        <v>52</v>
      </c>
      <c r="C5">
        <v>5</v>
      </c>
      <c r="D5">
        <v>-9.8419000000000008</v>
      </c>
      <c r="E5">
        <v>-8.6199999999999999E-2</v>
      </c>
      <c r="F5">
        <v>1.2929999999999999</v>
      </c>
    </row>
    <row r="6" spans="1:6">
      <c r="A6">
        <v>2</v>
      </c>
      <c r="B6" t="s">
        <v>52</v>
      </c>
      <c r="C6">
        <v>5</v>
      </c>
      <c r="D6">
        <v>9.6816999999999993</v>
      </c>
      <c r="E6">
        <v>-0.44369999999999998</v>
      </c>
      <c r="F6">
        <v>-1.3858999999999999</v>
      </c>
    </row>
    <row r="7" spans="1:6">
      <c r="A7">
        <v>2</v>
      </c>
      <c r="B7" t="s">
        <v>52</v>
      </c>
      <c r="C7">
        <v>9</v>
      </c>
      <c r="D7">
        <v>-9.0850000000000009</v>
      </c>
      <c r="E7">
        <v>0.44369999999999998</v>
      </c>
      <c r="F7">
        <v>-5.2693000000000003</v>
      </c>
    </row>
    <row r="8" spans="1:6">
      <c r="A8">
        <v>3</v>
      </c>
      <c r="B8" t="s">
        <v>52</v>
      </c>
      <c r="C8">
        <v>2</v>
      </c>
      <c r="D8">
        <v>41.925800000000002</v>
      </c>
      <c r="E8">
        <v>1.1031</v>
      </c>
      <c r="F8">
        <v>27.290900000000001</v>
      </c>
    </row>
    <row r="9" spans="1:6">
      <c r="A9">
        <v>3</v>
      </c>
      <c r="B9" t="s">
        <v>52</v>
      </c>
      <c r="C9">
        <v>6</v>
      </c>
      <c r="D9">
        <v>-40.701900000000002</v>
      </c>
      <c r="E9">
        <v>-1.1031</v>
      </c>
      <c r="F9">
        <v>-10.744</v>
      </c>
    </row>
    <row r="10" spans="1:6">
      <c r="A10">
        <v>4</v>
      </c>
      <c r="B10" t="s">
        <v>52</v>
      </c>
      <c r="C10">
        <v>6</v>
      </c>
      <c r="D10">
        <v>18.620799999999999</v>
      </c>
      <c r="E10">
        <v>-3.1688000000000001</v>
      </c>
      <c r="F10">
        <v>-27.680499999999999</v>
      </c>
    </row>
    <row r="11" spans="1:6">
      <c r="A11">
        <v>4</v>
      </c>
      <c r="B11" t="s">
        <v>52</v>
      </c>
      <c r="C11">
        <v>10</v>
      </c>
      <c r="D11">
        <v>-17.396899999999999</v>
      </c>
      <c r="E11">
        <v>3.1688000000000001</v>
      </c>
      <c r="F11">
        <v>-19.8522</v>
      </c>
    </row>
    <row r="12" spans="1:6">
      <c r="A12">
        <v>5</v>
      </c>
      <c r="B12" t="s">
        <v>52</v>
      </c>
      <c r="C12">
        <v>3</v>
      </c>
      <c r="D12">
        <v>84.653199999999998</v>
      </c>
      <c r="E12">
        <v>5.7385000000000002</v>
      </c>
      <c r="F12">
        <v>48.735700000000001</v>
      </c>
    </row>
    <row r="13" spans="1:6">
      <c r="A13">
        <v>5</v>
      </c>
      <c r="B13" t="s">
        <v>52</v>
      </c>
      <c r="C13">
        <v>7</v>
      </c>
      <c r="D13">
        <v>-83.429400000000001</v>
      </c>
      <c r="E13">
        <v>-5.7385000000000002</v>
      </c>
      <c r="F13">
        <v>37.342399999999998</v>
      </c>
    </row>
    <row r="14" spans="1:6">
      <c r="A14">
        <v>6</v>
      </c>
      <c r="B14" t="s">
        <v>52</v>
      </c>
      <c r="C14">
        <v>7</v>
      </c>
      <c r="D14">
        <v>21.154</v>
      </c>
      <c r="E14">
        <v>5.7</v>
      </c>
      <c r="F14">
        <v>40.064300000000003</v>
      </c>
    </row>
    <row r="15" spans="1:6">
      <c r="A15">
        <v>6</v>
      </c>
      <c r="B15" t="s">
        <v>52</v>
      </c>
      <c r="C15">
        <v>11</v>
      </c>
      <c r="D15">
        <v>-19.930099999999999</v>
      </c>
      <c r="E15">
        <v>-5.7</v>
      </c>
      <c r="F15">
        <v>45.436199999999999</v>
      </c>
    </row>
    <row r="16" spans="1:6">
      <c r="A16">
        <v>7</v>
      </c>
      <c r="B16" t="s">
        <v>52</v>
      </c>
      <c r="C16">
        <v>4</v>
      </c>
      <c r="D16">
        <v>40.995699999999999</v>
      </c>
      <c r="E16">
        <v>9.1109000000000009</v>
      </c>
      <c r="F16">
        <v>64.237399999999994</v>
      </c>
    </row>
    <row r="17" spans="1:6">
      <c r="A17" s="8">
        <v>7</v>
      </c>
      <c r="B17" s="8" t="s">
        <v>52</v>
      </c>
      <c r="C17" s="8">
        <v>8</v>
      </c>
      <c r="D17" s="8">
        <v>-39.771799999999999</v>
      </c>
      <c r="E17" s="8">
        <v>-9.1109000000000009</v>
      </c>
      <c r="F17" s="8">
        <v>72.425799999999995</v>
      </c>
    </row>
    <row r="18" spans="1:6">
      <c r="A18">
        <v>8</v>
      </c>
      <c r="B18" t="s">
        <v>52</v>
      </c>
      <c r="C18">
        <v>8</v>
      </c>
      <c r="D18">
        <v>10.687099999999999</v>
      </c>
      <c r="E18">
        <v>3.7189999999999999</v>
      </c>
      <c r="F18">
        <v>50.296199999999999</v>
      </c>
    </row>
    <row r="19" spans="1:6">
      <c r="A19">
        <v>8</v>
      </c>
      <c r="B19" t="s">
        <v>52</v>
      </c>
      <c r="C19">
        <v>12</v>
      </c>
      <c r="D19">
        <v>-9.4632000000000005</v>
      </c>
      <c r="E19">
        <v>-3.7189999999999999</v>
      </c>
      <c r="F19">
        <v>5.4886999999999997</v>
      </c>
    </row>
    <row r="20" spans="1:6" ht="18">
      <c r="A20" s="9" t="s">
        <v>130</v>
      </c>
      <c r="B20">
        <f>0.002*1.6*D12</f>
        <v>0.27089024</v>
      </c>
      <c r="C20" t="s">
        <v>131</v>
      </c>
    </row>
    <row r="21" spans="1:6" ht="18">
      <c r="A21" s="9"/>
    </row>
    <row r="22" spans="1:6">
      <c r="A22" s="1" t="s">
        <v>47</v>
      </c>
    </row>
    <row r="23" spans="1:6">
      <c r="A23" t="s">
        <v>34</v>
      </c>
      <c r="B23" t="s">
        <v>35</v>
      </c>
      <c r="C23" t="s">
        <v>36</v>
      </c>
      <c r="D23" t="s">
        <v>37</v>
      </c>
      <c r="E23" t="s">
        <v>38</v>
      </c>
      <c r="F23" t="s">
        <v>39</v>
      </c>
    </row>
    <row r="24" spans="1:6">
      <c r="A24">
        <v>1</v>
      </c>
      <c r="B24" t="s">
        <v>122</v>
      </c>
      <c r="C24">
        <v>1</v>
      </c>
      <c r="D24">
        <v>10.438499999999999</v>
      </c>
      <c r="E24">
        <v>0.14269999999999999</v>
      </c>
      <c r="F24">
        <v>0</v>
      </c>
    </row>
    <row r="25" spans="1:6">
      <c r="A25">
        <v>1</v>
      </c>
      <c r="B25" t="s">
        <v>122</v>
      </c>
      <c r="C25">
        <v>5</v>
      </c>
      <c r="D25">
        <v>-9.8419000000000008</v>
      </c>
      <c r="E25">
        <v>-0.14269999999999999</v>
      </c>
      <c r="F25">
        <v>2.1404999999999998</v>
      </c>
    </row>
    <row r="26" spans="1:6">
      <c r="A26">
        <v>2</v>
      </c>
      <c r="B26" t="s">
        <v>122</v>
      </c>
      <c r="C26">
        <v>5</v>
      </c>
      <c r="D26">
        <v>9.6816999999999993</v>
      </c>
      <c r="E26">
        <v>-0.50019999999999998</v>
      </c>
      <c r="F26">
        <v>-2.2334999999999998</v>
      </c>
    </row>
    <row r="27" spans="1:6">
      <c r="A27">
        <v>2</v>
      </c>
      <c r="B27" t="s">
        <v>122</v>
      </c>
      <c r="C27">
        <v>9</v>
      </c>
      <c r="D27">
        <v>-9.0850000000000009</v>
      </c>
      <c r="E27">
        <v>0.50019999999999998</v>
      </c>
      <c r="F27">
        <v>-5.2693000000000003</v>
      </c>
    </row>
    <row r="28" spans="1:6">
      <c r="A28">
        <v>3</v>
      </c>
      <c r="B28" t="s">
        <v>122</v>
      </c>
      <c r="C28">
        <v>2</v>
      </c>
      <c r="D28">
        <v>46.549199999999999</v>
      </c>
      <c r="E28">
        <v>-3.4096000000000002</v>
      </c>
      <c r="F28">
        <v>-14.8315</v>
      </c>
    </row>
    <row r="29" spans="1:6">
      <c r="A29">
        <v>3</v>
      </c>
      <c r="B29" t="s">
        <v>122</v>
      </c>
      <c r="C29">
        <v>6</v>
      </c>
      <c r="D29">
        <v>-45.325400000000002</v>
      </c>
      <c r="E29">
        <v>3.4096000000000002</v>
      </c>
      <c r="F29">
        <v>-36.3125</v>
      </c>
    </row>
    <row r="30" spans="1:6">
      <c r="A30">
        <v>4</v>
      </c>
      <c r="B30" t="s">
        <v>122</v>
      </c>
      <c r="C30">
        <v>6</v>
      </c>
      <c r="D30">
        <v>19.9298</v>
      </c>
      <c r="E30">
        <v>-5.4180999999999999</v>
      </c>
      <c r="F30">
        <v>-45.997999999999998</v>
      </c>
    </row>
    <row r="31" spans="1:6">
      <c r="A31">
        <v>4</v>
      </c>
      <c r="B31" t="s">
        <v>122</v>
      </c>
      <c r="C31">
        <v>10</v>
      </c>
      <c r="D31">
        <v>-18.7059</v>
      </c>
      <c r="E31">
        <v>5.4180999999999999</v>
      </c>
      <c r="F31">
        <v>-35.273499999999999</v>
      </c>
    </row>
    <row r="32" spans="1:6">
      <c r="A32">
        <v>5</v>
      </c>
      <c r="B32" t="s">
        <v>122</v>
      </c>
      <c r="C32">
        <v>3</v>
      </c>
      <c r="D32">
        <v>83.184600000000003</v>
      </c>
      <c r="E32">
        <v>-0.20580000000000001</v>
      </c>
      <c r="F32">
        <v>-0.26750000000000002</v>
      </c>
    </row>
    <row r="33" spans="1:7">
      <c r="A33">
        <v>5</v>
      </c>
      <c r="B33" t="s">
        <v>122</v>
      </c>
      <c r="C33">
        <v>7</v>
      </c>
      <c r="D33">
        <v>-81.960700000000003</v>
      </c>
      <c r="E33">
        <v>0.20580000000000001</v>
      </c>
      <c r="F33">
        <v>-2.8203</v>
      </c>
    </row>
    <row r="34" spans="1:7">
      <c r="A34">
        <v>6</v>
      </c>
      <c r="B34" t="s">
        <v>122</v>
      </c>
      <c r="C34">
        <v>7</v>
      </c>
      <c r="D34">
        <v>19.844899999999999</v>
      </c>
      <c r="E34">
        <v>2.6362999999999999</v>
      </c>
      <c r="F34">
        <v>10.1035</v>
      </c>
    </row>
    <row r="35" spans="1:7">
      <c r="A35">
        <v>6</v>
      </c>
      <c r="B35" t="s">
        <v>122</v>
      </c>
      <c r="C35">
        <v>11</v>
      </c>
      <c r="D35">
        <v>-18.621099999999998</v>
      </c>
      <c r="E35">
        <v>-2.6362999999999999</v>
      </c>
      <c r="F35">
        <v>29.441500000000001</v>
      </c>
    </row>
    <row r="36" spans="1:7">
      <c r="A36">
        <v>7</v>
      </c>
      <c r="B36" t="s">
        <v>122</v>
      </c>
      <c r="C36">
        <v>4</v>
      </c>
      <c r="D36">
        <v>37.840899999999998</v>
      </c>
      <c r="E36">
        <v>4.2815000000000003</v>
      </c>
      <c r="F36">
        <v>20.139299999999999</v>
      </c>
    </row>
    <row r="37" spans="1:7">
      <c r="A37" s="8">
        <v>7</v>
      </c>
      <c r="B37" s="8" t="s">
        <v>122</v>
      </c>
      <c r="C37" s="8">
        <v>8</v>
      </c>
      <c r="D37" s="8">
        <v>-36.617100000000001</v>
      </c>
      <c r="E37" s="8">
        <v>-4.2815000000000003</v>
      </c>
      <c r="F37" s="8">
        <v>44.083199999999998</v>
      </c>
    </row>
    <row r="38" spans="1:7">
      <c r="A38">
        <v>8</v>
      </c>
      <c r="B38" t="s">
        <v>122</v>
      </c>
      <c r="C38">
        <v>8</v>
      </c>
      <c r="D38">
        <v>10.687099999999999</v>
      </c>
      <c r="E38">
        <v>2.8584999999999998</v>
      </c>
      <c r="F38">
        <v>37.388199999999998</v>
      </c>
    </row>
    <row r="39" spans="1:7">
      <c r="A39">
        <v>8</v>
      </c>
      <c r="B39" t="s">
        <v>122</v>
      </c>
      <c r="C39">
        <v>12</v>
      </c>
      <c r="D39">
        <v>-9.4632000000000005</v>
      </c>
      <c r="E39">
        <v>-2.8584999999999998</v>
      </c>
      <c r="F39">
        <v>5.4886999999999997</v>
      </c>
    </row>
    <row r="40" spans="1:7">
      <c r="A40" s="1" t="s">
        <v>50</v>
      </c>
    </row>
    <row r="41" spans="1:7">
      <c r="A41" t="s">
        <v>34</v>
      </c>
      <c r="B41" t="s">
        <v>35</v>
      </c>
      <c r="C41" t="s">
        <v>36</v>
      </c>
      <c r="D41" t="s">
        <v>37</v>
      </c>
      <c r="E41" t="s">
        <v>38</v>
      </c>
      <c r="F41" t="s">
        <v>39</v>
      </c>
    </row>
    <row r="42" spans="1:7">
      <c r="A42">
        <v>7</v>
      </c>
      <c r="B42" t="s">
        <v>123</v>
      </c>
      <c r="C42">
        <v>4</v>
      </c>
      <c r="D42">
        <v>3.6305000000000001</v>
      </c>
      <c r="E42">
        <v>5.8922999999999996</v>
      </c>
      <c r="F42">
        <v>53.2821</v>
      </c>
    </row>
    <row r="43" spans="1:7">
      <c r="A43">
        <v>7</v>
      </c>
      <c r="B43" t="s">
        <v>123</v>
      </c>
      <c r="C43">
        <v>8</v>
      </c>
      <c r="D43">
        <v>-3.6305000000000001</v>
      </c>
      <c r="E43">
        <v>-5.8922999999999996</v>
      </c>
      <c r="F43">
        <v>35.102699999999999</v>
      </c>
    </row>
    <row r="44" spans="1:7">
      <c r="A44" s="1" t="s">
        <v>94</v>
      </c>
    </row>
    <row r="45" spans="1:7">
      <c r="A45" t="s">
        <v>36</v>
      </c>
      <c r="B45" t="s">
        <v>35</v>
      </c>
      <c r="C45" t="s">
        <v>95</v>
      </c>
    </row>
    <row r="46" spans="1:7">
      <c r="A46">
        <v>8</v>
      </c>
      <c r="B46" t="s">
        <v>128</v>
      </c>
      <c r="C46">
        <v>1.8100000000000002E-2</v>
      </c>
      <c r="D46" t="s">
        <v>42</v>
      </c>
      <c r="G46" t="s">
        <v>129</v>
      </c>
    </row>
    <row r="47" spans="1:7">
      <c r="A47" s="1" t="s">
        <v>96</v>
      </c>
    </row>
    <row r="48" spans="1:7" ht="18">
      <c r="A48" s="5" t="s">
        <v>97</v>
      </c>
      <c r="B48">
        <f>D16</f>
        <v>40.995699999999999</v>
      </c>
      <c r="C48" t="s">
        <v>12</v>
      </c>
    </row>
    <row r="49" spans="1:7" ht="18">
      <c r="A49" s="5" t="s">
        <v>98</v>
      </c>
      <c r="B49">
        <f>F17</f>
        <v>72.425799999999995</v>
      </c>
      <c r="C49" t="s">
        <v>99</v>
      </c>
    </row>
    <row r="50" spans="1:7" ht="18">
      <c r="A50" t="s">
        <v>53</v>
      </c>
      <c r="B50">
        <f>(D8+D12+D16)*2</f>
        <v>335.14940000000001</v>
      </c>
      <c r="C50" t="s">
        <v>12</v>
      </c>
    </row>
    <row r="51" spans="1:7" ht="18">
      <c r="A51" t="s">
        <v>54</v>
      </c>
      <c r="B51">
        <v>1170.6120000000001</v>
      </c>
      <c r="C51" t="s">
        <v>12</v>
      </c>
    </row>
    <row r="52" spans="1:7" ht="18">
      <c r="A52" t="s">
        <v>55</v>
      </c>
      <c r="B52">
        <f>D36</f>
        <v>37.840899999999998</v>
      </c>
      <c r="C52" t="s">
        <v>12</v>
      </c>
    </row>
    <row r="53" spans="1:7" ht="18">
      <c r="A53" t="s">
        <v>57</v>
      </c>
      <c r="B53">
        <f>D42</f>
        <v>3.6305000000000001</v>
      </c>
      <c r="C53" t="s">
        <v>12</v>
      </c>
    </row>
    <row r="54" spans="1:7" ht="18">
      <c r="A54" t="s">
        <v>56</v>
      </c>
      <c r="B54">
        <f>F37</f>
        <v>44.083199999999998</v>
      </c>
      <c r="C54" t="s">
        <v>99</v>
      </c>
    </row>
    <row r="55" spans="1:7" ht="18">
      <c r="A55" t="s">
        <v>93</v>
      </c>
      <c r="B55">
        <f>F42</f>
        <v>53.2821</v>
      </c>
      <c r="C55" t="s">
        <v>99</v>
      </c>
    </row>
    <row r="56" spans="1:7">
      <c r="A56" t="s">
        <v>48</v>
      </c>
      <c r="B56">
        <f>61.1*0.7</f>
        <v>42.769999999999996</v>
      </c>
      <c r="C56" t="s">
        <v>12</v>
      </c>
    </row>
    <row r="57" spans="1:7">
      <c r="A57" t="s">
        <v>100</v>
      </c>
      <c r="B57">
        <f>C46*12</f>
        <v>0.2172</v>
      </c>
      <c r="C57" t="s">
        <v>40</v>
      </c>
    </row>
    <row r="58" spans="1:7">
      <c r="A58" t="s">
        <v>125</v>
      </c>
      <c r="B58">
        <f>B67/600</f>
        <v>0.3</v>
      </c>
      <c r="C58" t="s">
        <v>40</v>
      </c>
      <c r="G58" s="7" t="s">
        <v>126</v>
      </c>
    </row>
    <row r="60" spans="1:7">
      <c r="A60" s="1" t="s">
        <v>0</v>
      </c>
      <c r="B60" s="1" t="s">
        <v>124</v>
      </c>
    </row>
    <row r="61" spans="1:7" ht="18.75">
      <c r="A61" t="s">
        <v>58</v>
      </c>
      <c r="B61">
        <v>44.8</v>
      </c>
      <c r="C61" t="s">
        <v>89</v>
      </c>
      <c r="G61" t="s">
        <v>7</v>
      </c>
    </row>
    <row r="62" spans="1:7" ht="18.75">
      <c r="A62" t="s">
        <v>59</v>
      </c>
      <c r="B62">
        <v>29.3</v>
      </c>
      <c r="C62" t="s">
        <v>89</v>
      </c>
    </row>
    <row r="63" spans="1:7" ht="18.75">
      <c r="A63" t="s">
        <v>60</v>
      </c>
      <c r="B63">
        <v>881</v>
      </c>
      <c r="C63" t="s">
        <v>90</v>
      </c>
    </row>
    <row r="64" spans="1:7" ht="18.75">
      <c r="A64" t="s">
        <v>61</v>
      </c>
      <c r="B64">
        <v>148</v>
      </c>
      <c r="C64" t="s">
        <v>90</v>
      </c>
    </row>
    <row r="65" spans="1:7" ht="18">
      <c r="A65" t="s">
        <v>62</v>
      </c>
      <c r="B65">
        <v>13.4</v>
      </c>
      <c r="C65" t="s">
        <v>40</v>
      </c>
    </row>
    <row r="66" spans="1:7">
      <c r="A66" t="s">
        <v>101</v>
      </c>
      <c r="B66">
        <f>B119</f>
        <v>1.45</v>
      </c>
    </row>
    <row r="67" spans="1:7">
      <c r="A67" t="s">
        <v>41</v>
      </c>
      <c r="B67">
        <v>180</v>
      </c>
      <c r="C67" t="s">
        <v>40</v>
      </c>
    </row>
    <row r="68" spans="1:7">
      <c r="A68" t="s">
        <v>102</v>
      </c>
      <c r="B68">
        <f>B67*B66</f>
        <v>261</v>
      </c>
      <c r="C68" t="s">
        <v>40</v>
      </c>
    </row>
    <row r="69" spans="1:7" ht="18.75">
      <c r="A69" t="s">
        <v>63</v>
      </c>
      <c r="B69">
        <v>24</v>
      </c>
      <c r="C69" t="s">
        <v>91</v>
      </c>
    </row>
    <row r="70" spans="1:7" ht="18">
      <c r="A70" t="s">
        <v>64</v>
      </c>
      <c r="B70">
        <v>6.05</v>
      </c>
      <c r="C70" t="s">
        <v>40</v>
      </c>
    </row>
    <row r="71" spans="1:7" ht="18.75">
      <c r="A71" t="s">
        <v>65</v>
      </c>
      <c r="B71">
        <v>6710</v>
      </c>
      <c r="C71" t="s">
        <v>92</v>
      </c>
    </row>
    <row r="72" spans="1:7" ht="17.25">
      <c r="A72" t="s">
        <v>30</v>
      </c>
      <c r="B72">
        <v>5.07</v>
      </c>
      <c r="C72" t="s">
        <v>90</v>
      </c>
    </row>
    <row r="74" spans="1:7">
      <c r="A74" s="1" t="s">
        <v>1</v>
      </c>
    </row>
    <row r="75" spans="1:7" ht="18">
      <c r="A75" t="s">
        <v>66</v>
      </c>
      <c r="B75">
        <v>8.76</v>
      </c>
      <c r="C75" t="s">
        <v>42</v>
      </c>
      <c r="G75" t="s">
        <v>8</v>
      </c>
    </row>
    <row r="76" spans="1:7" ht="18">
      <c r="A76" t="s">
        <v>67</v>
      </c>
      <c r="B76">
        <v>33.200000000000003</v>
      </c>
      <c r="C76" t="s">
        <v>42</v>
      </c>
      <c r="D76" t="s">
        <v>103</v>
      </c>
    </row>
    <row r="77" spans="1:7" ht="18">
      <c r="A77" t="s">
        <v>2</v>
      </c>
      <c r="B77">
        <v>5.4</v>
      </c>
      <c r="C77" t="s">
        <v>4</v>
      </c>
    </row>
    <row r="78" spans="1:7" ht="18">
      <c r="A78" t="s">
        <v>3</v>
      </c>
      <c r="B78">
        <v>347</v>
      </c>
      <c r="C78" t="s">
        <v>5</v>
      </c>
    </row>
    <row r="80" spans="1:7">
      <c r="A80" s="1" t="s">
        <v>6</v>
      </c>
    </row>
    <row r="81" spans="1:7" ht="18">
      <c r="A81" t="s">
        <v>68</v>
      </c>
      <c r="B81">
        <f>B129</f>
        <v>2798.6279834886914</v>
      </c>
      <c r="C81" t="s">
        <v>4</v>
      </c>
      <c r="G81" t="s">
        <v>45</v>
      </c>
    </row>
    <row r="82" spans="1:7" ht="18">
      <c r="A82" t="s">
        <v>69</v>
      </c>
      <c r="B82">
        <v>1.666666666</v>
      </c>
      <c r="G82" t="s">
        <v>9</v>
      </c>
    </row>
    <row r="83" spans="1:7" ht="18">
      <c r="A83" t="s">
        <v>70</v>
      </c>
      <c r="B83">
        <f>B78</f>
        <v>347</v>
      </c>
      <c r="C83" t="s">
        <v>10</v>
      </c>
    </row>
    <row r="84" spans="1:7" ht="18">
      <c r="A84" t="s">
        <v>71</v>
      </c>
    </row>
    <row r="85" spans="1:7" ht="18">
      <c r="A85" t="s">
        <v>72</v>
      </c>
      <c r="B85">
        <f>50*B61</f>
        <v>2240</v>
      </c>
      <c r="G85" t="s">
        <v>20</v>
      </c>
    </row>
    <row r="86" spans="1:7" ht="18">
      <c r="A86" t="s">
        <v>73</v>
      </c>
      <c r="B86">
        <f>1.6*50*B62</f>
        <v>2344</v>
      </c>
      <c r="G86" t="s">
        <v>20</v>
      </c>
    </row>
    <row r="87" spans="1:7" ht="18">
      <c r="A87" t="s">
        <v>74</v>
      </c>
      <c r="B87">
        <f>B85*0.9/12</f>
        <v>168</v>
      </c>
      <c r="C87" t="s">
        <v>10</v>
      </c>
      <c r="G87" t="s">
        <v>20</v>
      </c>
    </row>
    <row r="89" spans="1:7">
      <c r="A89" s="1" t="s">
        <v>11</v>
      </c>
    </row>
    <row r="90" spans="1:7" ht="18">
      <c r="A90" t="s">
        <v>75</v>
      </c>
      <c r="B90">
        <f>0.6-0.4*(F12/F13)</f>
        <v>7.7958567205107188E-2</v>
      </c>
      <c r="G90" t="s">
        <v>21</v>
      </c>
    </row>
    <row r="91" spans="1:7" ht="18">
      <c r="A91" t="s">
        <v>76</v>
      </c>
      <c r="B91">
        <v>0.6</v>
      </c>
      <c r="G91" t="s">
        <v>21</v>
      </c>
    </row>
    <row r="92" spans="1:7">
      <c r="A92" t="s">
        <v>104</v>
      </c>
      <c r="B92">
        <f>IF(1*B48/(60*B69)&lt;0.5,1,(4*B48*1/(60*B69)*(1-(1*B48/(60*B69)))))</f>
        <v>1</v>
      </c>
      <c r="G92" t="s">
        <v>105</v>
      </c>
    </row>
    <row r="93" spans="1:7" ht="18">
      <c r="A93" t="s">
        <v>77</v>
      </c>
      <c r="B93">
        <f>(PI()^2)*(29000*B92)*B63/(B68^2)</f>
        <v>3701.6268528564169</v>
      </c>
      <c r="C93" t="s">
        <v>12</v>
      </c>
      <c r="G93" t="s">
        <v>106</v>
      </c>
    </row>
    <row r="94" spans="1:7" ht="18">
      <c r="A94" t="s">
        <v>78</v>
      </c>
      <c r="B94">
        <f>(PI()^2)*(29000*B92)*B64/(B68^2)</f>
        <v>621.83969832321191</v>
      </c>
      <c r="C94" t="s">
        <v>12</v>
      </c>
      <c r="G94" t="s">
        <v>106</v>
      </c>
    </row>
    <row r="95" spans="1:7" ht="18">
      <c r="A95" t="s">
        <v>79</v>
      </c>
      <c r="B95">
        <f>IF((B90/(1-B98*B48/B93))&gt;1,(B90/(1-B98*B48/B93)),1)</f>
        <v>1</v>
      </c>
      <c r="G95" t="s">
        <v>107</v>
      </c>
    </row>
    <row r="96" spans="1:7" ht="18">
      <c r="A96" t="s">
        <v>80</v>
      </c>
      <c r="B96">
        <f>IF((B91/(1-B98*B48/B94))&gt;1,(B91/(1-B98*B48/B94)),1)</f>
        <v>1</v>
      </c>
    </row>
    <row r="97" spans="1:7" ht="18">
      <c r="A97" t="s">
        <v>81</v>
      </c>
    </row>
    <row r="98" spans="1:7">
      <c r="A98" s="2" t="s">
        <v>108</v>
      </c>
      <c r="B98">
        <v>1.6</v>
      </c>
    </row>
    <row r="99" spans="1:7" ht="18">
      <c r="A99" t="s">
        <v>82</v>
      </c>
      <c r="B99">
        <f>1-0.15*(B50/B51)</f>
        <v>0.95705459195702758</v>
      </c>
      <c r="G99" t="s">
        <v>14</v>
      </c>
    </row>
    <row r="100" spans="1:7" ht="18">
      <c r="A100" t="s">
        <v>83</v>
      </c>
      <c r="B100">
        <f>B99*(B56*B67/B57)</f>
        <v>33922.562070167456</v>
      </c>
      <c r="C100" t="s">
        <v>12</v>
      </c>
      <c r="G100" t="s">
        <v>15</v>
      </c>
    </row>
    <row r="101" spans="1:7" ht="18">
      <c r="A101" t="s">
        <v>84</v>
      </c>
      <c r="B101">
        <f>IF(ABS(1/(1-(B98*B51/B100)))&lt;1,1,ABS(1/(1-(B98*B51/B100))))</f>
        <v>1.058440049207112</v>
      </c>
      <c r="C101" s="3" t="s">
        <v>49</v>
      </c>
      <c r="G101" t="s">
        <v>16</v>
      </c>
    </row>
    <row r="102" spans="1:7" ht="18">
      <c r="A102" t="s">
        <v>85</v>
      </c>
      <c r="B102">
        <f>B52+B101*B53</f>
        <v>41.683566598646415</v>
      </c>
      <c r="C102" t="s">
        <v>13</v>
      </c>
      <c r="G102" t="s">
        <v>17</v>
      </c>
    </row>
    <row r="103" spans="1:7" ht="18">
      <c r="A103" t="s">
        <v>86</v>
      </c>
      <c r="B103">
        <f>B95*B55+B101*B54</f>
        <v>99.94152437720696</v>
      </c>
      <c r="C103" t="s">
        <v>10</v>
      </c>
      <c r="G103" t="s">
        <v>18</v>
      </c>
    </row>
    <row r="104" spans="1:7" ht="18">
      <c r="A104" t="s">
        <v>87</v>
      </c>
      <c r="B104">
        <v>0</v>
      </c>
      <c r="C104" t="s">
        <v>10</v>
      </c>
    </row>
    <row r="106" spans="1:7">
      <c r="A106" s="1" t="s">
        <v>19</v>
      </c>
    </row>
    <row r="107" spans="1:7" ht="18">
      <c r="A107" t="s">
        <v>88</v>
      </c>
      <c r="B107">
        <f>B102/B129</f>
        <v>1.4894286359091159E-2</v>
      </c>
    </row>
    <row r="108" spans="1:7">
      <c r="A108" t="str">
        <f>IF(B107&gt;0.2,"Pr/Pc≥0.2","Pr/Pc&lt;0.2")</f>
        <v>Pr/Pc&lt;0.2</v>
      </c>
      <c r="B108">
        <f>IF(B107&gt;0.2,B107+(8/9)*(B103/B83),B102/(2*B81)+(B103/B83))</f>
        <v>0.29546306357495472</v>
      </c>
      <c r="C108" s="3" t="str">
        <f>IF(B108&lt;1,"&lt;1","&gt;1")</f>
        <v>&lt;1</v>
      </c>
      <c r="D108" s="1" t="str">
        <f>IF(B108&lt;1,"GOOD","NG")</f>
        <v>GOOD</v>
      </c>
      <c r="G108" t="str">
        <f>IF(I107&gt;0.2,"Eq H1-1a","Eq H1-1b")</f>
        <v>Eq H1-1b</v>
      </c>
    </row>
    <row r="109" spans="1:7">
      <c r="A109" s="6"/>
      <c r="B109" s="6"/>
      <c r="C109" s="6"/>
      <c r="D109" s="6"/>
      <c r="E109" s="6"/>
      <c r="F109" s="6"/>
      <c r="G109" s="6"/>
    </row>
    <row r="110" spans="1:7">
      <c r="A110" t="s">
        <v>22</v>
      </c>
    </row>
    <row r="111" spans="1:7">
      <c r="A111" t="s">
        <v>110</v>
      </c>
      <c r="B111" t="s">
        <v>23</v>
      </c>
      <c r="C111" t="s">
        <v>24</v>
      </c>
      <c r="D111" t="s">
        <v>25</v>
      </c>
      <c r="E111" t="s">
        <v>26</v>
      </c>
    </row>
    <row r="112" spans="1:7" ht="18.75">
      <c r="A112" t="s">
        <v>114</v>
      </c>
      <c r="B112">
        <f>B63</f>
        <v>881</v>
      </c>
      <c r="C112">
        <f>B112</f>
        <v>881</v>
      </c>
      <c r="D112">
        <v>1330</v>
      </c>
      <c r="E112">
        <v>0</v>
      </c>
    </row>
    <row r="113" spans="1:7">
      <c r="A113" t="s">
        <v>43</v>
      </c>
      <c r="B113">
        <v>180</v>
      </c>
      <c r="C113">
        <v>180</v>
      </c>
      <c r="D113">
        <v>288</v>
      </c>
      <c r="E113">
        <v>288</v>
      </c>
    </row>
    <row r="114" spans="1:7" ht="18">
      <c r="A114" t="s">
        <v>115</v>
      </c>
      <c r="B114">
        <f>B112/B113</f>
        <v>4.8944444444444448</v>
      </c>
      <c r="C114">
        <f t="shared" ref="C114:E114" si="0">C112/C113</f>
        <v>4.8944444444444448</v>
      </c>
      <c r="D114">
        <f t="shared" si="0"/>
        <v>4.6180555555555554</v>
      </c>
      <c r="E114">
        <f t="shared" si="0"/>
        <v>0</v>
      </c>
    </row>
    <row r="115" spans="1:7">
      <c r="A115" s="1"/>
    </row>
    <row r="116" spans="1:7">
      <c r="A116" t="s">
        <v>51</v>
      </c>
    </row>
    <row r="117" spans="1:7">
      <c r="A117" s="5" t="s">
        <v>111</v>
      </c>
      <c r="B117">
        <v>1</v>
      </c>
    </row>
    <row r="118" spans="1:7">
      <c r="A118" t="s">
        <v>112</v>
      </c>
      <c r="B118">
        <f>(B114+C114)/(D114+E114)</f>
        <v>2.119699248120301</v>
      </c>
    </row>
    <row r="119" spans="1:7" ht="18">
      <c r="A119" t="s">
        <v>116</v>
      </c>
      <c r="B119">
        <v>1.45</v>
      </c>
      <c r="G119" t="s">
        <v>27</v>
      </c>
    </row>
    <row r="120" spans="1:7" ht="18">
      <c r="A120" t="s">
        <v>117</v>
      </c>
      <c r="B120">
        <f>B119*B67/B70</f>
        <v>43.1404958677686</v>
      </c>
    </row>
    <row r="121" spans="1:7" ht="18">
      <c r="A121" t="s">
        <v>118</v>
      </c>
      <c r="B121">
        <v>0.5</v>
      </c>
      <c r="C121" t="s">
        <v>44</v>
      </c>
    </row>
    <row r="122" spans="1:7">
      <c r="A122" s="1"/>
    </row>
    <row r="123" spans="1:7">
      <c r="A123" t="s">
        <v>32</v>
      </c>
      <c r="G123" t="s">
        <v>28</v>
      </c>
    </row>
    <row r="124" spans="1:7" ht="18">
      <c r="A124" t="s">
        <v>119</v>
      </c>
      <c r="B124">
        <f>(PI()^2)*29000/(B120^2)</f>
        <v>153.78978079645515</v>
      </c>
      <c r="C124" t="s">
        <v>33</v>
      </c>
      <c r="G124" t="s">
        <v>29</v>
      </c>
    </row>
    <row r="125" spans="1:7" ht="18">
      <c r="A125" t="s">
        <v>120</v>
      </c>
      <c r="B125">
        <f>0.877*B124</f>
        <v>134.87363775849116</v>
      </c>
      <c r="C125" t="s">
        <v>33</v>
      </c>
      <c r="G125" t="s">
        <v>31</v>
      </c>
    </row>
    <row r="126" spans="1:7">
      <c r="A126" s="1"/>
    </row>
    <row r="127" spans="1:7">
      <c r="A127" t="s">
        <v>6</v>
      </c>
    </row>
    <row r="128" spans="1:7" ht="18">
      <c r="A128" t="s">
        <v>121</v>
      </c>
      <c r="B128">
        <f>B76*B125</f>
        <v>4477.8047735819064</v>
      </c>
      <c r="C128" t="s">
        <v>12</v>
      </c>
      <c r="G128" t="s">
        <v>109</v>
      </c>
    </row>
    <row r="129" spans="1:3" ht="18">
      <c r="A129" t="s">
        <v>127</v>
      </c>
      <c r="B129">
        <f>B128/1.6</f>
        <v>2798.6279834886914</v>
      </c>
      <c r="C129" t="s">
        <v>12</v>
      </c>
    </row>
  </sheetData>
  <pageMargins left="0.7" right="0.7" top="0.75" bottom="0.75" header="0.3" footer="0.3"/>
  <pageSetup orientation="portrait" r:id="rId1"/>
  <headerFooter>
    <oddHeader>&amp;L14.551 Advanced Steel Design
BBB Engineering&amp;RDesigned By: Brian Foley
Checked By:___________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Terry</cp:lastModifiedBy>
  <dcterms:created xsi:type="dcterms:W3CDTF">2014-10-18T17:55:54Z</dcterms:created>
  <dcterms:modified xsi:type="dcterms:W3CDTF">2014-11-30T18:29:18Z</dcterms:modified>
</cp:coreProperties>
</file>