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8" i="1" l="1"/>
  <c r="B105" i="1" s="1"/>
  <c r="B124" i="1"/>
  <c r="B120" i="1"/>
  <c r="B119" i="1"/>
  <c r="B118" i="1"/>
  <c r="B110" i="1"/>
  <c r="B109" i="1"/>
  <c r="B108" i="1"/>
  <c r="B102" i="1"/>
  <c r="B101" i="1"/>
  <c r="B70" i="1"/>
  <c r="B61" i="1"/>
  <c r="B96" i="1" s="1"/>
  <c r="B95" i="1" s="1"/>
  <c r="B75" i="1"/>
  <c r="B73" i="1"/>
  <c r="B53" i="1"/>
  <c r="B55" i="1" s="1"/>
  <c r="D55" i="1" s="1"/>
  <c r="B19" i="1"/>
  <c r="B125" i="1" s="1"/>
  <c r="B48" i="1"/>
  <c r="B50" i="1" s="1"/>
  <c r="D50" i="1" s="1"/>
  <c r="B92" i="1" l="1"/>
  <c r="B115" i="1"/>
  <c r="B67" i="1"/>
  <c r="B25" i="1" l="1"/>
  <c r="B24" i="1"/>
  <c r="B26" i="1" l="1"/>
  <c r="B43" i="1"/>
  <c r="B45" i="1" l="1"/>
  <c r="D45" i="1" s="1"/>
  <c r="B31" i="1"/>
  <c r="B33" i="1" s="1"/>
  <c r="B71" i="1" s="1"/>
  <c r="B76" i="1" s="1"/>
  <c r="B77" i="1" s="1"/>
  <c r="B81" i="1" s="1"/>
  <c r="B36" i="1"/>
  <c r="B83" i="1" l="1"/>
  <c r="B85" i="1"/>
  <c r="B38" i="1"/>
  <c r="B39" i="1" s="1"/>
  <c r="D39" i="1" s="1"/>
  <c r="B34" i="1"/>
  <c r="D95" i="1" s="1"/>
  <c r="B91" i="1" l="1"/>
  <c r="B90" i="1" s="1"/>
  <c r="B87" i="1"/>
  <c r="D87" i="1" s="1"/>
  <c r="B103" i="1"/>
  <c r="B99" i="1" s="1"/>
  <c r="D83" i="1"/>
  <c r="D34" i="1"/>
  <c r="D90" i="1" l="1"/>
  <c r="C103" i="1"/>
  <c r="F99" i="1"/>
  <c r="D99" i="1"/>
</calcChain>
</file>

<file path=xl/sharedStrings.xml><?xml version="1.0" encoding="utf-8"?>
<sst xmlns="http://schemas.openxmlformats.org/spreadsheetml/2006/main" count="187" uniqueCount="84">
  <si>
    <t>Member W24x84</t>
  </si>
  <si>
    <t>Connection Details:</t>
  </si>
  <si>
    <t>Bolt Diam.</t>
  </si>
  <si>
    <t>in</t>
  </si>
  <si>
    <t>ksi</t>
  </si>
  <si>
    <t>Member Fu</t>
  </si>
  <si>
    <t>Plate Thickness</t>
  </si>
  <si>
    <t>Lc</t>
  </si>
  <si>
    <t>Edge Distance</t>
  </si>
  <si>
    <t>Bolt Spacing</t>
  </si>
  <si>
    <t>Li</t>
  </si>
  <si>
    <t>lc</t>
  </si>
  <si>
    <t>Bolt Type A325</t>
  </si>
  <si>
    <t>Total Bolts Required</t>
  </si>
  <si>
    <t>kip</t>
  </si>
  <si>
    <r>
      <t>Plastic Moment Capacity (M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Ω)</t>
    </r>
  </si>
  <si>
    <t>kip-ft</t>
  </si>
  <si>
    <t>Table 3-2</t>
  </si>
  <si>
    <t>Clear Distance Calculation:</t>
  </si>
  <si>
    <r>
      <t>Max Shear Capacity (V</t>
    </r>
    <r>
      <rPr>
        <vertAlign val="subscript"/>
        <sz val="11"/>
        <color theme="1"/>
        <rFont val="Calibri"/>
        <family val="2"/>
        <scheme val="minor"/>
      </rPr>
      <t>nx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Ω)</t>
    </r>
  </si>
  <si>
    <r>
      <t>Plate F</t>
    </r>
    <r>
      <rPr>
        <vertAlign val="subscript"/>
        <sz val="11"/>
        <color theme="1"/>
        <rFont val="Calibri"/>
        <family val="2"/>
        <scheme val="minor"/>
      </rPr>
      <t>u</t>
    </r>
  </si>
  <si>
    <t>Plate Thickness (t)</t>
  </si>
  <si>
    <t>Bearing Str. At Bolt Holes</t>
  </si>
  <si>
    <t>kip/bolt</t>
  </si>
  <si>
    <t>Bolt Diam. (d)</t>
  </si>
  <si>
    <t>Ω</t>
  </si>
  <si>
    <r>
      <t>R</t>
    </r>
    <r>
      <rPr>
        <vertAlign val="subscript"/>
        <sz val="11"/>
        <color theme="1"/>
        <rFont val="Calibri"/>
        <family val="2"/>
        <scheme val="minor"/>
      </rPr>
      <t>n</t>
    </r>
  </si>
  <si>
    <r>
      <t>R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Ω</t>
    </r>
  </si>
  <si>
    <t>Plate</t>
  </si>
  <si>
    <t>Member</t>
  </si>
  <si>
    <t xml:space="preserve">Block Shear </t>
  </si>
  <si>
    <t>Fy</t>
  </si>
  <si>
    <t>Depth</t>
  </si>
  <si>
    <t>Plate Width</t>
  </si>
  <si>
    <t>Shear Plate Check</t>
  </si>
  <si>
    <t>Eq. J3-6a</t>
  </si>
  <si>
    <t>Tensile Yielding</t>
  </si>
  <si>
    <t>Tensile Rupture</t>
  </si>
  <si>
    <t>Row Spacing</t>
  </si>
  <si>
    <t>Number of Rows</t>
  </si>
  <si>
    <t>Eq. J4-5</t>
  </si>
  <si>
    <t>Eq. J4-1</t>
  </si>
  <si>
    <t>Eq. J4-2</t>
  </si>
  <si>
    <t>Splice Shear Plate</t>
  </si>
  <si>
    <t>Moment Plate Calculation:</t>
  </si>
  <si>
    <t>Applied Tension/Compression</t>
  </si>
  <si>
    <t>Shear Strength of Bolts</t>
  </si>
  <si>
    <r>
      <t>r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/Ω</t>
    </r>
  </si>
  <si>
    <t>Table 7-1</t>
  </si>
  <si>
    <t>Bearing on Plate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</si>
  <si>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</si>
  <si>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From Table 7-4 with Spacing=</t>
  </si>
  <si>
    <t>kip/bolt/in thickness</t>
  </si>
  <si>
    <r>
      <t>Controlling r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/Ω</t>
    </r>
  </si>
  <si>
    <t>Number of Bolts Required</t>
  </si>
  <si>
    <t>Plate Tensile Strength</t>
  </si>
  <si>
    <t>Shear Yielding</t>
  </si>
  <si>
    <r>
      <t>A</t>
    </r>
    <r>
      <rPr>
        <vertAlign val="subscript"/>
        <sz val="11"/>
        <color theme="1"/>
        <rFont val="Calibri"/>
        <family val="2"/>
        <scheme val="minor"/>
      </rPr>
      <t>gv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</si>
  <si>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</si>
  <si>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t>Eq. J4-3</t>
  </si>
  <si>
    <t>Shear Rupture</t>
  </si>
  <si>
    <r>
      <t>A</t>
    </r>
    <r>
      <rPr>
        <vertAlign val="subscript"/>
        <sz val="11"/>
        <color theme="1"/>
        <rFont val="Calibri"/>
        <family val="2"/>
        <scheme val="minor"/>
      </rPr>
      <t>nv</t>
    </r>
  </si>
  <si>
    <t>Eq. J4-4</t>
  </si>
  <si>
    <t>Block Shear</t>
  </si>
  <si>
    <r>
      <t>A</t>
    </r>
    <r>
      <rPr>
        <vertAlign val="subscript"/>
        <sz val="11"/>
        <color theme="1"/>
        <rFont val="Calibri"/>
        <family val="2"/>
        <scheme val="minor"/>
      </rPr>
      <t>nt</t>
    </r>
  </si>
  <si>
    <t>Whitmore Strength</t>
  </si>
  <si>
    <r>
      <t>L</t>
    </r>
    <r>
      <rPr>
        <vertAlign val="subscript"/>
        <sz val="11"/>
        <color theme="1"/>
        <rFont val="Calibri"/>
        <family val="2"/>
        <scheme val="minor"/>
      </rPr>
      <t>w</t>
    </r>
  </si>
  <si>
    <t xml:space="preserve">Plate Compressive Strength </t>
  </si>
  <si>
    <r>
      <t>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/Ω</t>
    </r>
  </si>
  <si>
    <t>K</t>
  </si>
  <si>
    <t>Table C-A-7.1</t>
  </si>
  <si>
    <t>L</t>
  </si>
  <si>
    <t>r</t>
  </si>
  <si>
    <t>KL/r</t>
  </si>
  <si>
    <t>Minimum Plate Width</t>
  </si>
  <si>
    <t>Final Moment Connection</t>
  </si>
  <si>
    <t>Plate Length</t>
  </si>
  <si>
    <t>Rows of Bolts</t>
  </si>
  <si>
    <t>Bolts/Row</t>
  </si>
  <si>
    <t>Diam Bolts</t>
  </si>
  <si>
    <t>Final Shear Connection</t>
  </si>
  <si>
    <t>in/side</t>
  </si>
  <si>
    <t>per side</t>
  </si>
  <si>
    <t>Splice Plate Design: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</si>
</sst>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0" fontId="0" fillId="0" borderId="5" xfId="0" applyFill="1" applyBorder="1"/>
    <xf numFmtId="0" fontId="1" fillId="0" borderId="5" xfId="0" applyFont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Border="1"/>
    <xf numFmtId="0" fontId="0" fillId="0" borderId="11" xfId="0" applyBorder="1"/>
    <xf numFmtId="0" fontId="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view="pageLayout" topLeftCell="A23" zoomScaleNormal="100" workbookViewId="0">
      <selection activeCell="A113" sqref="A113"/>
    </sheetView>
  </sheetViews>
  <sheetFormatPr defaultRowHeight="15" x14ac:dyDescent="0.25"/>
  <cols>
    <col min="1" max="1" width="30.85546875" customWidth="1"/>
  </cols>
  <sheetData>
    <row r="1" spans="1:6" x14ac:dyDescent="0.25">
      <c r="A1" s="22" t="s">
        <v>83</v>
      </c>
    </row>
    <row r="2" spans="1:6" x14ac:dyDescent="0.25">
      <c r="A2" s="2" t="s">
        <v>0</v>
      </c>
    </row>
    <row r="3" spans="1:6" x14ac:dyDescent="0.25">
      <c r="A3" t="s">
        <v>32</v>
      </c>
      <c r="B3">
        <v>24.1</v>
      </c>
      <c r="C3" t="s">
        <v>3</v>
      </c>
    </row>
    <row r="4" spans="1:6" x14ac:dyDescent="0.25">
      <c r="A4" t="s">
        <v>31</v>
      </c>
      <c r="B4">
        <v>50</v>
      </c>
      <c r="C4" t="s">
        <v>4</v>
      </c>
    </row>
    <row r="5" spans="1:6" x14ac:dyDescent="0.25">
      <c r="A5" t="s">
        <v>5</v>
      </c>
      <c r="B5">
        <v>65</v>
      </c>
      <c r="C5" t="s">
        <v>4</v>
      </c>
    </row>
    <row r="6" spans="1:6" ht="18" x14ac:dyDescent="0.35">
      <c r="A6" t="s">
        <v>15</v>
      </c>
      <c r="B6">
        <v>559</v>
      </c>
      <c r="C6" t="s">
        <v>16</v>
      </c>
      <c r="F6" t="s">
        <v>17</v>
      </c>
    </row>
    <row r="7" spans="1:6" ht="18" x14ac:dyDescent="0.35">
      <c r="A7" t="s">
        <v>19</v>
      </c>
      <c r="B7">
        <v>227</v>
      </c>
      <c r="C7" t="s">
        <v>14</v>
      </c>
    </row>
    <row r="9" spans="1:6" x14ac:dyDescent="0.25">
      <c r="A9" s="21" t="s">
        <v>1</v>
      </c>
    </row>
    <row r="10" spans="1:6" x14ac:dyDescent="0.25">
      <c r="A10" t="s">
        <v>43</v>
      </c>
    </row>
    <row r="11" spans="1:6" x14ac:dyDescent="0.25">
      <c r="A11" t="s">
        <v>12</v>
      </c>
      <c r="B11">
        <v>54</v>
      </c>
      <c r="C11" t="s">
        <v>4</v>
      </c>
    </row>
    <row r="12" spans="1:6" x14ac:dyDescent="0.25">
      <c r="A12" t="s">
        <v>24</v>
      </c>
      <c r="B12">
        <v>1</v>
      </c>
      <c r="C12" t="s">
        <v>3</v>
      </c>
    </row>
    <row r="13" spans="1:6" ht="18" x14ac:dyDescent="0.35">
      <c r="A13" t="s">
        <v>20</v>
      </c>
      <c r="B13">
        <v>58</v>
      </c>
      <c r="C13" t="s">
        <v>4</v>
      </c>
    </row>
    <row r="14" spans="1:6" x14ac:dyDescent="0.25">
      <c r="A14" t="s">
        <v>31</v>
      </c>
      <c r="B14">
        <v>36</v>
      </c>
      <c r="C14" t="s">
        <v>4</v>
      </c>
    </row>
    <row r="15" spans="1:6" x14ac:dyDescent="0.25">
      <c r="A15" t="s">
        <v>21</v>
      </c>
      <c r="B15">
        <v>0.75</v>
      </c>
      <c r="C15" t="s">
        <v>3</v>
      </c>
    </row>
    <row r="16" spans="1:6" x14ac:dyDescent="0.25">
      <c r="A16" t="s">
        <v>8</v>
      </c>
      <c r="B16">
        <v>2</v>
      </c>
      <c r="C16" t="s">
        <v>3</v>
      </c>
    </row>
    <row r="17" spans="1:7" x14ac:dyDescent="0.25">
      <c r="A17" t="s">
        <v>9</v>
      </c>
      <c r="B17">
        <v>3</v>
      </c>
      <c r="C17" t="s">
        <v>3</v>
      </c>
    </row>
    <row r="18" spans="1:7" x14ac:dyDescent="0.25">
      <c r="A18" t="s">
        <v>39</v>
      </c>
      <c r="B18">
        <v>2</v>
      </c>
    </row>
    <row r="19" spans="1:7" x14ac:dyDescent="0.25">
      <c r="A19" t="s">
        <v>38</v>
      </c>
      <c r="B19">
        <f>B21/2</f>
        <v>7.5</v>
      </c>
      <c r="C19" t="s">
        <v>3</v>
      </c>
    </row>
    <row r="20" spans="1:7" x14ac:dyDescent="0.25">
      <c r="A20" t="s">
        <v>13</v>
      </c>
      <c r="B20">
        <v>8</v>
      </c>
    </row>
    <row r="21" spans="1:7" x14ac:dyDescent="0.25">
      <c r="A21" t="s">
        <v>33</v>
      </c>
      <c r="B21">
        <v>15</v>
      </c>
      <c r="C21" t="s">
        <v>3</v>
      </c>
    </row>
    <row r="23" spans="1:7" x14ac:dyDescent="0.25">
      <c r="A23" t="s">
        <v>18</v>
      </c>
    </row>
    <row r="24" spans="1:7" x14ac:dyDescent="0.25">
      <c r="A24" t="s">
        <v>7</v>
      </c>
      <c r="B24">
        <f>B16-(B12+(1/8))/2</f>
        <v>1.4375</v>
      </c>
      <c r="C24" t="s">
        <v>3</v>
      </c>
    </row>
    <row r="25" spans="1:7" x14ac:dyDescent="0.25">
      <c r="A25" t="s">
        <v>10</v>
      </c>
      <c r="B25">
        <f>B17-(B12+(1/8))</f>
        <v>1.875</v>
      </c>
      <c r="C25" t="s">
        <v>3</v>
      </c>
    </row>
    <row r="26" spans="1:7" x14ac:dyDescent="0.25">
      <c r="A26" t="s">
        <v>11</v>
      </c>
      <c r="B26">
        <f>MIN(B24:B25)</f>
        <v>1.4375</v>
      </c>
      <c r="C26" t="s">
        <v>3</v>
      </c>
    </row>
    <row r="27" spans="1:7" x14ac:dyDescent="0.25">
      <c r="A27" s="20"/>
      <c r="B27" s="20"/>
      <c r="C27" s="20"/>
      <c r="D27" s="20"/>
      <c r="E27" s="20"/>
      <c r="F27" s="20"/>
      <c r="G27" s="20"/>
    </row>
    <row r="28" spans="1:7" x14ac:dyDescent="0.25">
      <c r="A28" s="2" t="s">
        <v>34</v>
      </c>
    </row>
    <row r="29" spans="1:7" x14ac:dyDescent="0.25">
      <c r="A29" t="s">
        <v>22</v>
      </c>
    </row>
    <row r="30" spans="1:7" x14ac:dyDescent="0.25">
      <c r="A30" s="3" t="s">
        <v>28</v>
      </c>
    </row>
    <row r="31" spans="1:7" ht="18" x14ac:dyDescent="0.35">
      <c r="A31" t="s">
        <v>26</v>
      </c>
      <c r="B31">
        <f>MIN(1.2*B26*B15*B13,2.4*B12*B15*B13)</f>
        <v>75.037499999999994</v>
      </c>
      <c r="C31" t="s">
        <v>23</v>
      </c>
      <c r="F31" t="s">
        <v>35</v>
      </c>
    </row>
    <row r="32" spans="1:7" x14ac:dyDescent="0.25">
      <c r="A32" s="1" t="s">
        <v>25</v>
      </c>
      <c r="B32">
        <v>2</v>
      </c>
    </row>
    <row r="33" spans="1:7" ht="18" x14ac:dyDescent="0.35">
      <c r="A33" t="s">
        <v>27</v>
      </c>
      <c r="B33">
        <f>B31/B32</f>
        <v>37.518749999999997</v>
      </c>
      <c r="C33" t="s">
        <v>23</v>
      </c>
    </row>
    <row r="34" spans="1:7" ht="18" x14ac:dyDescent="0.35">
      <c r="A34" t="s">
        <v>27</v>
      </c>
      <c r="B34">
        <f>B33*B20</f>
        <v>300.14999999999998</v>
      </c>
      <c r="C34" t="s">
        <v>14</v>
      </c>
      <c r="D34" t="str">
        <f>IF(B34&gt;B7,"GOOD","NG")</f>
        <v>GOOD</v>
      </c>
    </row>
    <row r="35" spans="1:7" x14ac:dyDescent="0.25">
      <c r="A35" s="3" t="s">
        <v>29</v>
      </c>
    </row>
    <row r="36" spans="1:7" ht="18" x14ac:dyDescent="0.35">
      <c r="A36" t="s">
        <v>26</v>
      </c>
      <c r="B36">
        <f>MIN(1.2*B26*B15*B5,2.4*B12*B15*B5)</f>
        <v>84.09375</v>
      </c>
      <c r="C36" t="s">
        <v>23</v>
      </c>
      <c r="F36" t="s">
        <v>35</v>
      </c>
    </row>
    <row r="37" spans="1:7" x14ac:dyDescent="0.25">
      <c r="A37" s="1" t="s">
        <v>25</v>
      </c>
      <c r="B37">
        <v>2</v>
      </c>
    </row>
    <row r="38" spans="1:7" ht="18" x14ac:dyDescent="0.35">
      <c r="A38" t="s">
        <v>27</v>
      </c>
      <c r="B38">
        <f>B36/B37</f>
        <v>42.046875</v>
      </c>
      <c r="C38" t="s">
        <v>23</v>
      </c>
    </row>
    <row r="39" spans="1:7" ht="18" x14ac:dyDescent="0.35">
      <c r="A39" t="s">
        <v>27</v>
      </c>
      <c r="B39">
        <f>B38*B20</f>
        <v>336.375</v>
      </c>
      <c r="C39" t="s">
        <v>14</v>
      </c>
      <c r="D39" t="str">
        <f>IF(B39&gt;B13,"GOOD","NG")</f>
        <v>GOOD</v>
      </c>
    </row>
    <row r="41" spans="1:7" x14ac:dyDescent="0.25">
      <c r="A41" t="s">
        <v>30</v>
      </c>
    </row>
    <row r="42" spans="1:7" x14ac:dyDescent="0.25">
      <c r="A42" t="s">
        <v>28</v>
      </c>
    </row>
    <row r="43" spans="1:7" ht="18" x14ac:dyDescent="0.35">
      <c r="A43" t="s">
        <v>26</v>
      </c>
      <c r="B43">
        <f>MIN(0.6*B14*($B$24+($B$25*($B$20/$B$18-1)))*$B$15+$B$13*($B$21-B12*B18),0.6*B13*($B$24+($B$25*($B$20/$B$18-1))+(B12*B20))*$B$15+$B$13*($B$21-B12*B18))</f>
        <v>868.41250000000002</v>
      </c>
      <c r="C43" t="s">
        <v>14</v>
      </c>
      <c r="F43" t="s">
        <v>40</v>
      </c>
    </row>
    <row r="44" spans="1:7" x14ac:dyDescent="0.25">
      <c r="A44" s="1" t="s">
        <v>25</v>
      </c>
      <c r="B44">
        <v>2</v>
      </c>
    </row>
    <row r="45" spans="1:7" ht="18" x14ac:dyDescent="0.35">
      <c r="A45" t="s">
        <v>27</v>
      </c>
      <c r="B45">
        <f>B43/B44</f>
        <v>434.20625000000001</v>
      </c>
      <c r="C45" t="s">
        <v>14</v>
      </c>
      <c r="D45" t="str">
        <f>IF(B45&gt;$B$7,"GOOD","NG")</f>
        <v>GOOD</v>
      </c>
    </row>
    <row r="47" spans="1:7" x14ac:dyDescent="0.25">
      <c r="A47" t="s">
        <v>36</v>
      </c>
    </row>
    <row r="48" spans="1:7" ht="18" x14ac:dyDescent="0.35">
      <c r="A48" s="4" t="s">
        <v>26</v>
      </c>
      <c r="B48" s="4">
        <f>B14*(B21*B15)</f>
        <v>405</v>
      </c>
      <c r="C48" s="4" t="s">
        <v>14</v>
      </c>
      <c r="D48" s="4"/>
      <c r="E48" s="4"/>
      <c r="F48" s="4" t="s">
        <v>41</v>
      </c>
      <c r="G48" s="4"/>
    </row>
    <row r="49" spans="1:7" x14ac:dyDescent="0.25">
      <c r="A49" s="19" t="s">
        <v>25</v>
      </c>
      <c r="B49" s="4">
        <v>1.67</v>
      </c>
      <c r="C49" s="4"/>
      <c r="D49" s="4"/>
      <c r="E49" s="4"/>
      <c r="F49" s="4"/>
      <c r="G49" s="4"/>
    </row>
    <row r="50" spans="1:7" ht="18" x14ac:dyDescent="0.35">
      <c r="A50" s="4" t="s">
        <v>27</v>
      </c>
      <c r="B50" s="4">
        <f>B48/B49</f>
        <v>242.51497005988026</v>
      </c>
      <c r="C50" s="4" t="s">
        <v>14</v>
      </c>
      <c r="D50" s="4" t="str">
        <f>IF(B50&gt;$B$7,"GOOD","NG")</f>
        <v>GOOD</v>
      </c>
      <c r="E50" s="4"/>
      <c r="F50" s="4"/>
      <c r="G50" s="4"/>
    </row>
    <row r="52" spans="1:7" x14ac:dyDescent="0.25">
      <c r="A52" t="s">
        <v>37</v>
      </c>
    </row>
    <row r="53" spans="1:7" ht="18" x14ac:dyDescent="0.35">
      <c r="A53" t="s">
        <v>26</v>
      </c>
      <c r="B53">
        <f>B13*($B$21-B12*B18)</f>
        <v>754</v>
      </c>
      <c r="C53" t="s">
        <v>14</v>
      </c>
      <c r="F53" t="s">
        <v>42</v>
      </c>
    </row>
    <row r="54" spans="1:7" x14ac:dyDescent="0.25">
      <c r="A54" s="19" t="s">
        <v>25</v>
      </c>
      <c r="B54" s="4">
        <v>2</v>
      </c>
      <c r="C54" s="4"/>
      <c r="D54" s="4"/>
      <c r="E54" s="4"/>
      <c r="F54" s="4"/>
      <c r="G54" s="4"/>
    </row>
    <row r="55" spans="1:7" ht="18.75" thickBot="1" x14ac:dyDescent="0.4">
      <c r="A55" s="18" t="s">
        <v>27</v>
      </c>
      <c r="B55" s="18">
        <f>B53/B54</f>
        <v>377</v>
      </c>
      <c r="C55" s="18" t="s">
        <v>14</v>
      </c>
      <c r="D55" s="18" t="str">
        <f>IF(B55&gt;$B$7,"GOOD","NG")</f>
        <v>GOOD</v>
      </c>
      <c r="E55" s="18"/>
      <c r="F55" s="18"/>
      <c r="G55" s="18"/>
    </row>
    <row r="56" spans="1:7" ht="15.75" thickTop="1" x14ac:dyDescent="0.25"/>
    <row r="57" spans="1:7" x14ac:dyDescent="0.25">
      <c r="A57" s="2" t="s">
        <v>44</v>
      </c>
    </row>
    <row r="58" spans="1:7" x14ac:dyDescent="0.25">
      <c r="A58" t="s">
        <v>45</v>
      </c>
      <c r="B58">
        <f>B6/B3</f>
        <v>23.195020746887966</v>
      </c>
      <c r="C58" t="s">
        <v>14</v>
      </c>
    </row>
    <row r="59" spans="1:7" x14ac:dyDescent="0.25">
      <c r="A59" t="s">
        <v>6</v>
      </c>
      <c r="B59">
        <v>0.75</v>
      </c>
      <c r="C59" t="s">
        <v>3</v>
      </c>
    </row>
    <row r="60" spans="1:7" x14ac:dyDescent="0.25">
      <c r="A60" t="s">
        <v>2</v>
      </c>
      <c r="B60">
        <v>1</v>
      </c>
      <c r="C60" t="s">
        <v>3</v>
      </c>
    </row>
    <row r="61" spans="1:7" x14ac:dyDescent="0.25">
      <c r="A61" t="s">
        <v>38</v>
      </c>
      <c r="B61">
        <f>B62-2*B63</f>
        <v>4</v>
      </c>
      <c r="C61" t="s">
        <v>3</v>
      </c>
    </row>
    <row r="62" spans="1:7" x14ac:dyDescent="0.25">
      <c r="A62" s="4" t="s">
        <v>33</v>
      </c>
      <c r="B62" s="4">
        <v>8</v>
      </c>
      <c r="C62" s="4" t="s">
        <v>3</v>
      </c>
      <c r="D62" s="4"/>
      <c r="E62" s="4"/>
      <c r="F62" s="4"/>
      <c r="G62" s="4"/>
    </row>
    <row r="63" spans="1:7" x14ac:dyDescent="0.25">
      <c r="A63" s="4" t="s">
        <v>8</v>
      </c>
      <c r="B63" s="4">
        <v>2</v>
      </c>
      <c r="C63" s="4" t="s">
        <v>3</v>
      </c>
      <c r="D63" s="4"/>
      <c r="E63" s="4"/>
      <c r="F63" s="4"/>
      <c r="G63" s="4"/>
    </row>
    <row r="64" spans="1:7" x14ac:dyDescent="0.25">
      <c r="A64" s="20"/>
      <c r="B64" s="20"/>
      <c r="C64" s="20"/>
      <c r="D64" s="20"/>
      <c r="E64" s="20"/>
      <c r="F64" s="20"/>
      <c r="G64" s="20"/>
    </row>
    <row r="65" spans="1:7" x14ac:dyDescent="0.25">
      <c r="A65" s="2" t="s">
        <v>46</v>
      </c>
    </row>
    <row r="66" spans="1:7" ht="18" x14ac:dyDescent="0.35">
      <c r="A66" t="s">
        <v>47</v>
      </c>
      <c r="B66">
        <v>21.2</v>
      </c>
      <c r="C66" t="s">
        <v>23</v>
      </c>
      <c r="F66" t="s">
        <v>48</v>
      </c>
    </row>
    <row r="67" spans="1:7" x14ac:dyDescent="0.25">
      <c r="A67" t="s">
        <v>54</v>
      </c>
      <c r="B67">
        <f>CEILING(B58/B66,1)</f>
        <v>2</v>
      </c>
    </row>
    <row r="69" spans="1:7" x14ac:dyDescent="0.25">
      <c r="A69" t="s">
        <v>49</v>
      </c>
    </row>
    <row r="70" spans="1:7" ht="18" x14ac:dyDescent="0.35">
      <c r="A70" t="s">
        <v>50</v>
      </c>
      <c r="B70">
        <f>B63-(B60+1/8)/2</f>
        <v>1.4375</v>
      </c>
      <c r="C70" t="s">
        <v>3</v>
      </c>
    </row>
    <row r="71" spans="1:7" ht="18" x14ac:dyDescent="0.35">
      <c r="A71" t="s">
        <v>47</v>
      </c>
      <c r="B71">
        <f>B33</f>
        <v>37.518749999999997</v>
      </c>
      <c r="C71" t="s">
        <v>23</v>
      </c>
    </row>
    <row r="72" spans="1:7" x14ac:dyDescent="0.25">
      <c r="A72" t="s">
        <v>25</v>
      </c>
      <c r="B72">
        <v>2</v>
      </c>
    </row>
    <row r="73" spans="1:7" x14ac:dyDescent="0.25">
      <c r="A73" t="s">
        <v>51</v>
      </c>
      <c r="B73">
        <f>B17</f>
        <v>3</v>
      </c>
      <c r="C73" t="s">
        <v>3</v>
      </c>
    </row>
    <row r="74" spans="1:7" ht="18" x14ac:dyDescent="0.35">
      <c r="A74" t="s">
        <v>47</v>
      </c>
      <c r="B74">
        <v>67.400000000000006</v>
      </c>
      <c r="C74" t="s">
        <v>52</v>
      </c>
    </row>
    <row r="75" spans="1:7" ht="18" x14ac:dyDescent="0.35">
      <c r="A75" s="4" t="s">
        <v>47</v>
      </c>
      <c r="B75" s="4">
        <f>B74*B15</f>
        <v>50.550000000000004</v>
      </c>
      <c r="C75" s="4" t="s">
        <v>23</v>
      </c>
      <c r="D75" s="4"/>
      <c r="E75" s="4"/>
      <c r="F75" s="4"/>
      <c r="G75" s="4"/>
    </row>
    <row r="76" spans="1:7" ht="18" x14ac:dyDescent="0.35">
      <c r="A76" s="4" t="s">
        <v>53</v>
      </c>
      <c r="B76" s="4">
        <f>MIN(B75,B71,B66)</f>
        <v>21.2</v>
      </c>
      <c r="C76" s="4" t="s">
        <v>23</v>
      </c>
      <c r="D76" s="4"/>
      <c r="E76" s="4"/>
      <c r="F76" s="4"/>
      <c r="G76" s="4"/>
    </row>
    <row r="77" spans="1:7" x14ac:dyDescent="0.25">
      <c r="A77" s="4" t="s">
        <v>54</v>
      </c>
      <c r="B77" s="4">
        <f>EVEN(CEILING(B58/B76,1))</f>
        <v>2</v>
      </c>
      <c r="C77" s="4"/>
      <c r="D77" s="4"/>
      <c r="E77" s="4"/>
      <c r="F77" s="4"/>
      <c r="G77" s="4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2" t="s">
        <v>55</v>
      </c>
    </row>
    <row r="80" spans="1:7" x14ac:dyDescent="0.25">
      <c r="A80" t="s">
        <v>56</v>
      </c>
    </row>
    <row r="81" spans="1:7" ht="18.75" x14ac:dyDescent="0.35">
      <c r="A81" t="s">
        <v>57</v>
      </c>
      <c r="B81">
        <f>(B63+(B77-1)*B73)*B59</f>
        <v>3.75</v>
      </c>
      <c r="C81" t="s">
        <v>58</v>
      </c>
    </row>
    <row r="82" spans="1:7" x14ac:dyDescent="0.25">
      <c r="A82" t="s">
        <v>25</v>
      </c>
      <c r="B82">
        <v>1.5</v>
      </c>
    </row>
    <row r="83" spans="1:7" ht="18" x14ac:dyDescent="0.35">
      <c r="A83" t="s">
        <v>47</v>
      </c>
      <c r="B83">
        <f>0.6*B14*B81/B82</f>
        <v>53.999999999999993</v>
      </c>
      <c r="C83" t="s">
        <v>14</v>
      </c>
      <c r="D83" t="str">
        <f>IF(B83&gt;$B$44,"GOOD","NG")</f>
        <v>GOOD</v>
      </c>
      <c r="F83" t="s">
        <v>59</v>
      </c>
    </row>
    <row r="84" spans="1:7" x14ac:dyDescent="0.25">
      <c r="A84" t="s">
        <v>60</v>
      </c>
    </row>
    <row r="85" spans="1:7" ht="18.75" x14ac:dyDescent="0.35">
      <c r="A85" t="s">
        <v>61</v>
      </c>
      <c r="B85">
        <f>(B81-0.5)*B60*B59</f>
        <v>2.4375</v>
      </c>
      <c r="C85" t="s">
        <v>58</v>
      </c>
    </row>
    <row r="86" spans="1:7" x14ac:dyDescent="0.25">
      <c r="A86" t="s">
        <v>25</v>
      </c>
      <c r="B86">
        <v>2</v>
      </c>
    </row>
    <row r="87" spans="1:7" ht="18" x14ac:dyDescent="0.35">
      <c r="A87" t="s">
        <v>47</v>
      </c>
      <c r="B87">
        <f>0.6*B13*B85/B86</f>
        <v>42.412499999999994</v>
      </c>
      <c r="C87" t="s">
        <v>14</v>
      </c>
      <c r="D87" t="str">
        <f>IF(B87&gt;$B$58,"GOOD","NG")</f>
        <v>GOOD</v>
      </c>
      <c r="F87" t="s">
        <v>62</v>
      </c>
    </row>
    <row r="88" spans="1:7" x14ac:dyDescent="0.25">
      <c r="A88" t="s">
        <v>63</v>
      </c>
    </row>
    <row r="89" spans="1:7" x14ac:dyDescent="0.25">
      <c r="A89" t="s">
        <v>25</v>
      </c>
      <c r="B89">
        <v>2</v>
      </c>
    </row>
    <row r="90" spans="1:7" ht="18" x14ac:dyDescent="0.35">
      <c r="A90" t="s">
        <v>47</v>
      </c>
      <c r="B90">
        <f>MIN(0.6*B13*B91+B13*B92,0.6*B14*B81+B13*B92)/B89</f>
        <v>89.4375</v>
      </c>
      <c r="C90" t="s">
        <v>14</v>
      </c>
      <c r="D90" t="str">
        <f>IF(B90&gt;$B$44,"GOOD","NG")</f>
        <v>GOOD</v>
      </c>
      <c r="F90" t="s">
        <v>40</v>
      </c>
    </row>
    <row r="91" spans="1:7" ht="18" x14ac:dyDescent="0.35">
      <c r="A91" t="s">
        <v>61</v>
      </c>
      <c r="B91">
        <f>B85</f>
        <v>2.4375</v>
      </c>
      <c r="C91" t="s">
        <v>3</v>
      </c>
    </row>
    <row r="92" spans="1:7" ht="18" x14ac:dyDescent="0.35">
      <c r="A92" s="4" t="s">
        <v>64</v>
      </c>
      <c r="B92" s="4">
        <f>MIN((B61-B60)*B59,(B63*2)-B60)*B59</f>
        <v>1.6875</v>
      </c>
      <c r="C92" s="4" t="s">
        <v>3</v>
      </c>
      <c r="D92" s="4"/>
      <c r="E92" s="4"/>
      <c r="F92" s="4"/>
      <c r="G92" s="4"/>
    </row>
    <row r="93" spans="1:7" x14ac:dyDescent="0.25">
      <c r="A93" s="6" t="s">
        <v>65</v>
      </c>
      <c r="B93" s="4"/>
      <c r="C93" s="4"/>
      <c r="D93" s="4"/>
      <c r="E93" s="4"/>
      <c r="F93" s="4"/>
      <c r="G93" s="4"/>
    </row>
    <row r="94" spans="1:7" x14ac:dyDescent="0.25">
      <c r="A94" t="s">
        <v>25</v>
      </c>
      <c r="B94">
        <v>1.67</v>
      </c>
      <c r="G94" s="4"/>
    </row>
    <row r="95" spans="1:7" ht="18" x14ac:dyDescent="0.35">
      <c r="A95" s="4" t="s">
        <v>47</v>
      </c>
      <c r="B95" s="4">
        <f>B14*B59*B96/B94</f>
        <v>102.0082808817243</v>
      </c>
      <c r="C95" s="4" t="s">
        <v>14</v>
      </c>
      <c r="D95" s="4" t="str">
        <f>IF(B95&gt;$B$44,"GOOD","NG")</f>
        <v>GOOD</v>
      </c>
      <c r="E95" s="4"/>
      <c r="F95" s="4"/>
      <c r="G95" s="4"/>
    </row>
    <row r="96" spans="1:7" ht="18" x14ac:dyDescent="0.35">
      <c r="A96" s="4" t="s">
        <v>66</v>
      </c>
      <c r="B96" s="4">
        <f>MIN(B61+(2*B63)*TAN(30*PI()/180),B62)</f>
        <v>6.3094010767585029</v>
      </c>
      <c r="C96" s="4" t="s">
        <v>3</v>
      </c>
      <c r="D96" s="4"/>
      <c r="E96" s="4"/>
      <c r="F96" s="4"/>
      <c r="G96" s="4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2" t="s">
        <v>67</v>
      </c>
    </row>
    <row r="99" spans="1:7" ht="18" x14ac:dyDescent="0.35">
      <c r="A99" t="s">
        <v>68</v>
      </c>
      <c r="B99">
        <f>IF(B103&lt;25,B14*B59*B62,"Eq. E3-1")/B104</f>
        <v>157.66423357664232</v>
      </c>
      <c r="D99" t="str">
        <f>IF(B99&gt;$B$44,"GOOD","NG")</f>
        <v>GOOD</v>
      </c>
      <c r="F99" t="str">
        <f>IF(B103&lt;25,"Eq. J4-6","Eq. E4-1")</f>
        <v>Eq. J4-6</v>
      </c>
    </row>
    <row r="100" spans="1:7" x14ac:dyDescent="0.25">
      <c r="A100" t="s">
        <v>69</v>
      </c>
      <c r="B100">
        <v>0.65</v>
      </c>
      <c r="F100" t="s">
        <v>70</v>
      </c>
    </row>
    <row r="101" spans="1:7" x14ac:dyDescent="0.25">
      <c r="A101" t="s">
        <v>71</v>
      </c>
      <c r="B101">
        <f>B63+0.5</f>
        <v>2.5</v>
      </c>
      <c r="C101" t="s">
        <v>3</v>
      </c>
    </row>
    <row r="102" spans="1:7" x14ac:dyDescent="0.25">
      <c r="A102" t="s">
        <v>72</v>
      </c>
      <c r="B102">
        <f>B59/SQRT(12)</f>
        <v>0.21650635094610968</v>
      </c>
    </row>
    <row r="103" spans="1:7" x14ac:dyDescent="0.25">
      <c r="A103" t="s">
        <v>73</v>
      </c>
      <c r="B103">
        <f>B100*B101/B102</f>
        <v>7.5055534994651341</v>
      </c>
      <c r="C103" t="str">
        <f>IF(B103&lt;25,"&lt;25, Use Eq. J4-6","&gt;25, Use Eq. E4-1")</f>
        <v>&lt;25, Use Eq. J4-6</v>
      </c>
    </row>
    <row r="104" spans="1:7" x14ac:dyDescent="0.25">
      <c r="A104" s="4" t="s">
        <v>25</v>
      </c>
      <c r="B104" s="4">
        <v>1.37</v>
      </c>
      <c r="C104" s="4"/>
      <c r="D104" s="4"/>
      <c r="E104" s="4"/>
      <c r="F104" s="4"/>
      <c r="G104" s="4"/>
    </row>
    <row r="105" spans="1:7" x14ac:dyDescent="0.25">
      <c r="A105" s="6" t="s">
        <v>74</v>
      </c>
      <c r="B105" s="4">
        <f>B58*B104/(B14*B59)</f>
        <v>1.1769325341939452</v>
      </c>
      <c r="C105" s="4" t="s">
        <v>3</v>
      </c>
      <c r="D105" s="4"/>
      <c r="E105" s="4"/>
      <c r="F105" s="4"/>
      <c r="G105" s="4"/>
    </row>
    <row r="106" spans="1:7" ht="15.75" thickBot="1" x14ac:dyDescent="0.3">
      <c r="A106" s="6"/>
      <c r="B106" s="4"/>
      <c r="C106" s="4"/>
      <c r="D106" s="4"/>
      <c r="E106" s="4"/>
      <c r="F106" s="4"/>
      <c r="G106" s="4"/>
    </row>
    <row r="107" spans="1:7" x14ac:dyDescent="0.25">
      <c r="A107" s="7" t="s">
        <v>75</v>
      </c>
      <c r="B107" s="8"/>
      <c r="C107" s="9"/>
    </row>
    <row r="108" spans="1:7" x14ac:dyDescent="0.25">
      <c r="A108" s="10" t="s">
        <v>76</v>
      </c>
      <c r="B108" s="11">
        <f>B63*2</f>
        <v>4</v>
      </c>
      <c r="C108" s="12" t="s">
        <v>3</v>
      </c>
    </row>
    <row r="109" spans="1:7" x14ac:dyDescent="0.25">
      <c r="A109" s="10" t="s">
        <v>33</v>
      </c>
      <c r="B109" s="11">
        <f>B62</f>
        <v>8</v>
      </c>
      <c r="C109" s="12" t="s">
        <v>3</v>
      </c>
    </row>
    <row r="110" spans="1:7" x14ac:dyDescent="0.25">
      <c r="A110" s="10" t="s">
        <v>6</v>
      </c>
      <c r="B110" s="11">
        <f>B59</f>
        <v>0.75</v>
      </c>
      <c r="C110" s="12" t="s">
        <v>3</v>
      </c>
    </row>
    <row r="111" spans="1:7" x14ac:dyDescent="0.25">
      <c r="A111" s="10" t="s">
        <v>77</v>
      </c>
      <c r="B111" s="4">
        <v>2</v>
      </c>
      <c r="C111" s="12"/>
    </row>
    <row r="112" spans="1:7" x14ac:dyDescent="0.25">
      <c r="A112" s="13" t="s">
        <v>78</v>
      </c>
      <c r="B112" s="4">
        <v>1</v>
      </c>
      <c r="C112" s="12"/>
    </row>
    <row r="113" spans="1:3" x14ac:dyDescent="0.25">
      <c r="A113" s="13" t="s">
        <v>79</v>
      </c>
      <c r="B113" s="4">
        <v>1</v>
      </c>
      <c r="C113" s="12" t="s">
        <v>3</v>
      </c>
    </row>
    <row r="114" spans="1:3" x14ac:dyDescent="0.25">
      <c r="A114" s="13" t="s">
        <v>8</v>
      </c>
      <c r="B114" s="4">
        <v>2</v>
      </c>
      <c r="C114" s="12" t="s">
        <v>3</v>
      </c>
    </row>
    <row r="115" spans="1:3" x14ac:dyDescent="0.25">
      <c r="A115" s="13" t="s">
        <v>38</v>
      </c>
      <c r="B115" s="4">
        <f>B61</f>
        <v>4</v>
      </c>
      <c r="C115" s="12" t="s">
        <v>3</v>
      </c>
    </row>
    <row r="116" spans="1:3" x14ac:dyDescent="0.25">
      <c r="A116" s="10"/>
      <c r="B116" s="4"/>
      <c r="C116" s="12"/>
    </row>
    <row r="117" spans="1:3" x14ac:dyDescent="0.25">
      <c r="A117" s="14" t="s">
        <v>80</v>
      </c>
      <c r="B117" s="4"/>
      <c r="C117" s="12"/>
    </row>
    <row r="118" spans="1:3" x14ac:dyDescent="0.25">
      <c r="A118" s="10" t="s">
        <v>76</v>
      </c>
      <c r="B118" s="4">
        <f>B16*2+B17*(B20/B18)</f>
        <v>16</v>
      </c>
      <c r="C118" s="12" t="s">
        <v>81</v>
      </c>
    </row>
    <row r="119" spans="1:3" x14ac:dyDescent="0.25">
      <c r="A119" s="10" t="s">
        <v>33</v>
      </c>
      <c r="B119" s="4">
        <f>B21</f>
        <v>15</v>
      </c>
      <c r="C119" s="12"/>
    </row>
    <row r="120" spans="1:3" x14ac:dyDescent="0.25">
      <c r="A120" s="10" t="s">
        <v>6</v>
      </c>
      <c r="B120" s="4">
        <f>B15</f>
        <v>0.75</v>
      </c>
      <c r="C120" s="12"/>
    </row>
    <row r="121" spans="1:3" x14ac:dyDescent="0.25">
      <c r="A121" s="10" t="s">
        <v>77</v>
      </c>
      <c r="B121" s="4">
        <v>2</v>
      </c>
      <c r="C121" s="12"/>
    </row>
    <row r="122" spans="1:3" x14ac:dyDescent="0.25">
      <c r="A122" s="13" t="s">
        <v>78</v>
      </c>
      <c r="B122" s="4">
        <v>4</v>
      </c>
      <c r="C122" s="12" t="s">
        <v>82</v>
      </c>
    </row>
    <row r="123" spans="1:3" x14ac:dyDescent="0.25">
      <c r="A123" s="13" t="s">
        <v>79</v>
      </c>
      <c r="B123" s="4">
        <v>1</v>
      </c>
      <c r="C123" s="12" t="s">
        <v>3</v>
      </c>
    </row>
    <row r="124" spans="1:3" x14ac:dyDescent="0.25">
      <c r="A124" s="13" t="s">
        <v>8</v>
      </c>
      <c r="B124" s="4">
        <f>B16</f>
        <v>2</v>
      </c>
      <c r="C124" s="12" t="s">
        <v>3</v>
      </c>
    </row>
    <row r="125" spans="1:3" ht="15.75" thickBot="1" x14ac:dyDescent="0.3">
      <c r="A125" s="15" t="s">
        <v>38</v>
      </c>
      <c r="B125" s="16">
        <f>B19</f>
        <v>7.5</v>
      </c>
      <c r="C125" s="17" t="s">
        <v>3</v>
      </c>
    </row>
  </sheetData>
  <pageMargins left="0.7" right="0.7" top="0.75" bottom="0.75" header="0.3" footer="0.3"/>
  <pageSetup orientation="portrait" r:id="rId1"/>
  <headerFooter>
    <oddHeader>&amp;LBrian Foley&amp;CSplice Plate Design&amp;RAdvanced Steel Design 14.431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2014-12-09T02:02:05Z</dcterms:created>
  <dcterms:modified xsi:type="dcterms:W3CDTF">2014-12-09T04:29:23Z</dcterms:modified>
</cp:coreProperties>
</file>