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odes and Standards\Software\Structural Templates\Not Completed or Approved\"/>
    </mc:Choice>
  </mc:AlternateContent>
  <bookViews>
    <workbookView xWindow="0" yWindow="0" windowWidth="25200" windowHeight="11985"/>
  </bookViews>
  <sheets>
    <sheet name="Anchorage" sheetId="1" r:id="rId1"/>
    <sheet name="Sheet2" sheetId="2" r:id="rId2"/>
  </sheets>
  <definedNames>
    <definedName name="AnchorCat">Anchorage!$R$28:$R$30</definedName>
    <definedName name="AnchorDir">Anchorage!$R$23:$R$25</definedName>
    <definedName name="AnchorType">Anchorage!$O$35:$O$43</definedName>
    <definedName name="ConcreteCond">Anchorage!$R$15:$R$16</definedName>
    <definedName name="Condition">Anchorage!$P$28:$P$30</definedName>
    <definedName name="InstallType">Anchorage!$O$23:$O$25</definedName>
    <definedName name="_xlnm.Print_Area" localSheetId="0">Anchorage!$A$1:$M$135</definedName>
    <definedName name="SeismicCat">Anchorage!$O$15:$O$20</definedName>
    <definedName name="YN">Anchorage!$O$28:$O$30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4" i="1"/>
  <c r="E83" i="1"/>
  <c r="G88" i="1"/>
  <c r="G87" i="1"/>
  <c r="G85" i="1"/>
  <c r="G84" i="1"/>
  <c r="G82" i="1"/>
  <c r="F81" i="1"/>
  <c r="F86" i="1"/>
  <c r="F83" i="1"/>
  <c r="L49" i="1"/>
  <c r="L93" i="1" s="1"/>
  <c r="C91" i="1"/>
  <c r="C90" i="1"/>
  <c r="J32" i="1"/>
  <c r="G69" i="1"/>
  <c r="J33" i="1"/>
  <c r="E59" i="1"/>
  <c r="E60" i="1" s="1"/>
  <c r="J58" i="1"/>
  <c r="J31" i="1"/>
  <c r="J39" i="1"/>
  <c r="J69" i="1"/>
  <c r="J66" i="1"/>
  <c r="E36" i="1"/>
  <c r="K25" i="1"/>
  <c r="K23" i="1"/>
  <c r="J24" i="1"/>
  <c r="J22" i="1"/>
  <c r="J21" i="1"/>
  <c r="H23" i="1"/>
  <c r="F23" i="1"/>
  <c r="F21" i="1"/>
  <c r="G21" i="1"/>
  <c r="H21" i="1"/>
  <c r="I21" i="1"/>
  <c r="F22" i="1"/>
  <c r="G22" i="1"/>
  <c r="H22" i="1"/>
  <c r="I22" i="1"/>
  <c r="E20" i="1"/>
  <c r="E21" i="1"/>
  <c r="E22" i="1"/>
  <c r="E23" i="1"/>
  <c r="L23" i="1" s="1"/>
  <c r="E24" i="1"/>
  <c r="E25" i="1"/>
  <c r="L25" i="1" s="1"/>
  <c r="I20" i="1"/>
  <c r="H20" i="1"/>
  <c r="G20" i="1"/>
  <c r="F20" i="1"/>
  <c r="E19" i="1"/>
  <c r="B6" i="1"/>
  <c r="C46" i="1"/>
  <c r="J56" i="1" l="1"/>
  <c r="L20" i="1"/>
  <c r="L22" i="1"/>
  <c r="L24" i="1"/>
  <c r="L21" i="1"/>
  <c r="L19" i="1"/>
  <c r="D27" i="1" l="1"/>
</calcChain>
</file>

<file path=xl/comments1.xml><?xml version="1.0" encoding="utf-8"?>
<comments xmlns="http://schemas.openxmlformats.org/spreadsheetml/2006/main">
  <authors>
    <author>Ana R. Gouveia</author>
  </authors>
  <commentList>
    <comment ref="E39" authorId="0" shapeId="0">
      <text>
        <r>
          <rPr>
            <b/>
            <sz val="9"/>
            <color indexed="81"/>
            <rFont val="Tahoma"/>
            <family val="2"/>
          </rPr>
          <t>Ana R. Gouveia:</t>
        </r>
        <r>
          <rPr>
            <sz val="9"/>
            <color indexed="81"/>
            <rFont val="Tahoma"/>
            <family val="2"/>
          </rPr>
          <t xml:space="preserve">
Insert 1 for single angle or # of studs for group.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Ana R. Gouveia:</t>
        </r>
        <r>
          <rPr>
            <sz val="9"/>
            <color indexed="81"/>
            <rFont val="Tahoma"/>
            <family val="2"/>
          </rPr>
          <t xml:space="preserve">
Type of failure for adhesive concrete vs. bond varies on value.</t>
        </r>
      </text>
    </comment>
  </commentList>
</comments>
</file>

<file path=xl/sharedStrings.xml><?xml version="1.0" encoding="utf-8"?>
<sst xmlns="http://schemas.openxmlformats.org/spreadsheetml/2006/main" count="216" uniqueCount="178">
  <si>
    <t>CLIENT</t>
  </si>
  <si>
    <t>MBTA</t>
  </si>
  <si>
    <t>PROJECT</t>
  </si>
  <si>
    <t>Wellington Carhouse</t>
  </si>
  <si>
    <t>SUBJECT</t>
  </si>
  <si>
    <t>Ref #:</t>
  </si>
  <si>
    <t>Design Method:</t>
  </si>
  <si>
    <r>
      <t xml:space="preserve">       </t>
    </r>
    <r>
      <rPr>
        <b/>
        <sz val="16"/>
        <color indexed="9"/>
        <rFont val="Times New Roman"/>
        <family val="1"/>
      </rPr>
      <t>STV I</t>
    </r>
    <r>
      <rPr>
        <b/>
        <sz val="14"/>
        <color indexed="9"/>
        <rFont val="Times New Roman"/>
        <family val="1"/>
      </rPr>
      <t>NCORPORATED</t>
    </r>
  </si>
  <si>
    <t>MADE</t>
  </si>
  <si>
    <t>CHK.</t>
  </si>
  <si>
    <t>REV.</t>
  </si>
  <si>
    <t>ARG</t>
  </si>
  <si>
    <t>Concrete Anchorage Design</t>
  </si>
  <si>
    <t>LRFD</t>
  </si>
  <si>
    <t>ACI 318-14</t>
  </si>
  <si>
    <t>Description:</t>
  </si>
  <si>
    <t>D =</t>
  </si>
  <si>
    <t>lb</t>
  </si>
  <si>
    <t>L =</t>
  </si>
  <si>
    <t>R=</t>
  </si>
  <si>
    <t>psf</t>
  </si>
  <si>
    <t>S=</t>
  </si>
  <si>
    <t>Lr=</t>
  </si>
  <si>
    <t>W=</t>
  </si>
  <si>
    <t>E=</t>
  </si>
  <si>
    <t>Load Combinations</t>
  </si>
  <si>
    <t>D</t>
  </si>
  <si>
    <t>L+I</t>
  </si>
  <si>
    <t>Lr</t>
  </si>
  <si>
    <t>S</t>
  </si>
  <si>
    <t>R</t>
  </si>
  <si>
    <t>W</t>
  </si>
  <si>
    <t>E</t>
  </si>
  <si>
    <t>Sum</t>
  </si>
  <si>
    <t>1.4D</t>
  </si>
  <si>
    <t>1.2D+1.6L+0.5(Lr or S or R)</t>
  </si>
  <si>
    <t>1.2D+1.6(Lr or S or R)+(L* or 0.5W)</t>
  </si>
  <si>
    <t>1.2D+1.0W+L*+0.5(Lr or S or R)</t>
  </si>
  <si>
    <t>1.2D+1.0E+L* + 0.2S</t>
  </si>
  <si>
    <t>0.9D+1.0W</t>
  </si>
  <si>
    <t>0.9D+1.0E</t>
  </si>
  <si>
    <t>Governing Load =</t>
  </si>
  <si>
    <t>User Input</t>
  </si>
  <si>
    <t>lbs</t>
  </si>
  <si>
    <t>ACI 318-14 S.5.3.1.</t>
  </si>
  <si>
    <t>1. Anchorage Loading:</t>
  </si>
  <si>
    <t>Concrete Compressive Strength</t>
  </si>
  <si>
    <t>f'c =</t>
  </si>
  <si>
    <t>psi</t>
  </si>
  <si>
    <t>Concrete Unit Weight</t>
  </si>
  <si>
    <t>kcf</t>
  </si>
  <si>
    <t>ACI 318-14 S.19.2.4.</t>
  </si>
  <si>
    <t xml:space="preserve">Lightweight Concrete Modification </t>
  </si>
  <si>
    <t>Live Load</t>
  </si>
  <si>
    <t>Roof Live</t>
  </si>
  <si>
    <t>Snow Load</t>
  </si>
  <si>
    <t>Seismic Load</t>
  </si>
  <si>
    <t>Dead Load</t>
  </si>
  <si>
    <t>Rain Load</t>
  </si>
  <si>
    <t>Wind Load</t>
  </si>
  <si>
    <t>2. Anchorage Geometry:</t>
  </si>
  <si>
    <t>Tensile Forces Eccentricity</t>
  </si>
  <si>
    <t>Tensional Load =</t>
  </si>
  <si>
    <t>Shear Load =</t>
  </si>
  <si>
    <t>Stud Spacing From Out-to-Out</t>
  </si>
  <si>
    <t>Anchorage Type:</t>
  </si>
  <si>
    <t>Cast-In-Anchors</t>
  </si>
  <si>
    <t>Headed-Bolts</t>
  </si>
  <si>
    <t>Hooked-Bars</t>
  </si>
  <si>
    <t>Post-Installed-Anchors</t>
  </si>
  <si>
    <t>Tension</t>
  </si>
  <si>
    <t>Shear</t>
  </si>
  <si>
    <t>Condition A</t>
  </si>
  <si>
    <t>Condition B</t>
  </si>
  <si>
    <t>Category 1</t>
  </si>
  <si>
    <t>Anchorage Type</t>
  </si>
  <si>
    <t>3. Site Information:</t>
  </si>
  <si>
    <t>Site Seismic Category:</t>
  </si>
  <si>
    <t>Seismic Category</t>
  </si>
  <si>
    <t>A</t>
  </si>
  <si>
    <t>B</t>
  </si>
  <si>
    <t>C</t>
  </si>
  <si>
    <t>F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</si>
  <si>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 xml:space="preserve"> =</t>
    </r>
  </si>
  <si>
    <t>Installation Type:</t>
  </si>
  <si>
    <t>Installation Type</t>
  </si>
  <si>
    <t>Cast-In-Anchor</t>
  </si>
  <si>
    <t>Post-Installed-Anchor</t>
  </si>
  <si>
    <t>Number of Studs:</t>
  </si>
  <si>
    <t>n =</t>
  </si>
  <si>
    <t>s =</t>
  </si>
  <si>
    <r>
      <t>e</t>
    </r>
    <r>
      <rPr>
        <vertAlign val="subscript"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 xml:space="preserve"> =</t>
    </r>
  </si>
  <si>
    <t>Geometry Variables Per Type</t>
  </si>
  <si>
    <t>Minimum Edge Distance:</t>
  </si>
  <si>
    <t>Maximum Edge Distance:</t>
  </si>
  <si>
    <r>
      <t>de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=</t>
    </r>
  </si>
  <si>
    <r>
      <t>de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=</t>
    </r>
  </si>
  <si>
    <t>Welded</t>
  </si>
  <si>
    <t>Supplemental Reinforcement:</t>
  </si>
  <si>
    <t>Anchorage Condition:</t>
  </si>
  <si>
    <t>Yes</t>
  </si>
  <si>
    <t>No</t>
  </si>
  <si>
    <t>-</t>
  </si>
  <si>
    <t>Condition-A</t>
  </si>
  <si>
    <t>Condition-B</t>
  </si>
  <si>
    <t>Embedment Depth:</t>
  </si>
  <si>
    <t>Lightweight Concrete?</t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</si>
  <si>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 Light"/>
        <family val="2"/>
        <scheme val="major"/>
      </rPr>
      <t>a</t>
    </r>
    <r>
      <rPr>
        <sz val="11"/>
        <color theme="1"/>
        <rFont val="Calibri"/>
        <family val="2"/>
      </rPr>
      <t xml:space="preserve"> =</t>
    </r>
  </si>
  <si>
    <t>CONTROLLING HERE?</t>
  </si>
  <si>
    <t>Concrete Condition</t>
  </si>
  <si>
    <t>Cracked</t>
  </si>
  <si>
    <t>Uncracked</t>
  </si>
  <si>
    <t>Concrete Condition:</t>
  </si>
  <si>
    <t>Ccond =</t>
  </si>
  <si>
    <t>Anchor Category</t>
  </si>
  <si>
    <t>Anchor Condition</t>
  </si>
  <si>
    <t>Anchor Category:</t>
  </si>
  <si>
    <t>Y/N</t>
  </si>
  <si>
    <t>Adhesive</t>
  </si>
  <si>
    <t>Headed-Studs</t>
  </si>
  <si>
    <t>Post-Installed-Expansion</t>
  </si>
  <si>
    <t>Undercut-Anchors</t>
  </si>
  <si>
    <t>Specialty-Anchors</t>
  </si>
  <si>
    <t>Seismic Design RQD?</t>
  </si>
  <si>
    <t>Additional Considerations:</t>
  </si>
  <si>
    <t>3.1. Seismic Anchorage Information:</t>
  </si>
  <si>
    <t>Direction of Install</t>
  </si>
  <si>
    <t>Horizontal</t>
  </si>
  <si>
    <t>Upward-Inclined</t>
  </si>
  <si>
    <t>Upward</t>
  </si>
  <si>
    <t>Direction of Install:</t>
  </si>
  <si>
    <t>Sustained?</t>
  </si>
  <si>
    <t>4. Factors:</t>
  </si>
  <si>
    <t>Type of Reinforcement:</t>
  </si>
  <si>
    <t>Explain:</t>
  </si>
  <si>
    <t>Ref.</t>
  </si>
  <si>
    <t>3.2. Concrete Information:</t>
  </si>
  <si>
    <t>4.1. Steel Factors:</t>
  </si>
  <si>
    <t>5. General Requirements for Strength of Anchors:</t>
  </si>
  <si>
    <t>Failure modes</t>
  </si>
  <si>
    <t>Individual</t>
  </si>
  <si>
    <t>Group Control</t>
  </si>
  <si>
    <t>Group</t>
  </si>
  <si>
    <t>Anchor Group</t>
  </si>
  <si>
    <t>Steel Strength in Tension</t>
  </si>
  <si>
    <t>Concrete Breakout in Tension</t>
  </si>
  <si>
    <t>Pullout Strength in Tension</t>
  </si>
  <si>
    <t>Concrete Side-Face Blowout</t>
  </si>
  <si>
    <t>Bond Strength of Adhesive</t>
  </si>
  <si>
    <t>Steel Strength in Shear</t>
  </si>
  <si>
    <t>Concrete Breakout in Shear</t>
  </si>
  <si>
    <t>Concrete Pryout in Shear</t>
  </si>
  <si>
    <t>ACI 318-14 S.17.4.1.</t>
  </si>
  <si>
    <t>ACI 318-14 S.17.4.2.</t>
  </si>
  <si>
    <t>ACI 318-14 S.17.4.3.</t>
  </si>
  <si>
    <t>ACI 318-14 S.17.4.4.</t>
  </si>
  <si>
    <t>ACI 318-14 S.17.4.5.</t>
  </si>
  <si>
    <t>ACI 318-14 S.17.5.1.</t>
  </si>
  <si>
    <t>ACI 318-14 S.17.5.2.</t>
  </si>
  <si>
    <t>ACI 318-14 S.17.5.3.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</si>
  <si>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cb</t>
    </r>
    <r>
      <rPr>
        <sz val="11"/>
        <color theme="1"/>
        <rFont val="Calibri"/>
        <family val="2"/>
      </rPr>
      <t>≥N</t>
    </r>
    <r>
      <rPr>
        <vertAlign val="subscript"/>
        <sz val="11"/>
        <color theme="1"/>
        <rFont val="Calibri"/>
        <family val="2"/>
      </rPr>
      <t>ua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</si>
  <si>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sa</t>
    </r>
    <r>
      <rPr>
        <sz val="11"/>
        <color theme="1"/>
        <rFont val="Calibri"/>
        <family val="2"/>
      </rPr>
      <t>≥N</t>
    </r>
    <r>
      <rPr>
        <vertAlign val="subscript"/>
        <sz val="11"/>
        <color theme="1"/>
        <rFont val="Calibri"/>
        <family val="2"/>
      </rPr>
      <t>ua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</si>
  <si>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sa</t>
    </r>
    <r>
      <rPr>
        <sz val="11"/>
        <color theme="1"/>
        <rFont val="Calibri"/>
        <family val="2"/>
      </rPr>
      <t>≥V</t>
    </r>
    <r>
      <rPr>
        <vertAlign val="subscript"/>
        <sz val="11"/>
        <color theme="1"/>
        <rFont val="Calibri"/>
        <family val="2"/>
      </rPr>
      <t>ua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</si>
  <si>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cb</t>
    </r>
    <r>
      <rPr>
        <sz val="11"/>
        <color theme="1"/>
        <rFont val="Calibri"/>
        <family val="2"/>
      </rPr>
      <t>≥V</t>
    </r>
    <r>
      <rPr>
        <vertAlign val="subscript"/>
        <sz val="11"/>
        <color theme="1"/>
        <rFont val="Calibri"/>
        <family val="2"/>
      </rPr>
      <t>ua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</si>
  <si>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cp</t>
    </r>
    <r>
      <rPr>
        <sz val="11"/>
        <color theme="1"/>
        <rFont val="Calibri"/>
        <family val="2"/>
      </rPr>
      <t>≥V</t>
    </r>
    <r>
      <rPr>
        <vertAlign val="subscript"/>
        <sz val="11"/>
        <color theme="1"/>
        <rFont val="Calibri"/>
        <family val="2"/>
      </rPr>
      <t>ua</t>
    </r>
  </si>
  <si>
    <t>ACI 318-14 S.17.3.1.3. &amp; S.17.3.2.</t>
  </si>
  <si>
    <t>ACI 318-14 S.17.3.</t>
  </si>
  <si>
    <t>5.1. Concrete Nominal Strength:</t>
  </si>
  <si>
    <t>Modification for Size Effects</t>
  </si>
  <si>
    <t>Number of Anchors</t>
  </si>
  <si>
    <t>Effects of Close Spacing</t>
  </si>
  <si>
    <t>Proximity to Edges</t>
  </si>
  <si>
    <t>Depth of Concrete Member</t>
  </si>
  <si>
    <t>Eccentric Loadings of Anchor Groups</t>
  </si>
  <si>
    <t>Presence or Absence of Cracking</t>
  </si>
  <si>
    <t>ACI 318-14 S.17.3.2.</t>
  </si>
  <si>
    <t>5.2. Design Requirements for Tensile Loading:</t>
  </si>
  <si>
    <t>ACI 318-14 S.17.4.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</si>
</sst>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Times New Roman"/>
      <family val="1"/>
    </font>
    <font>
      <b/>
      <sz val="10"/>
      <name val="Times New Roman"/>
      <family val="1"/>
    </font>
    <font>
      <b/>
      <sz val="20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6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6"/>
      <color theme="1"/>
      <name val="Times New Roman"/>
      <family val="1"/>
    </font>
    <font>
      <b/>
      <u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4" fillId="0" borderId="0">
      <alignment vertical="center"/>
    </xf>
  </cellStyleXfs>
  <cellXfs count="46">
    <xf numFmtId="0" fontId="0" fillId="0" borderId="0" xfId="0"/>
    <xf numFmtId="0" fontId="3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0" borderId="0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7" xfId="0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3" fillId="0" borderId="1" xfId="0" applyNumberFormat="1" applyFont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TITLE1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0E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abSelected="1" view="pageLayout" zoomScaleNormal="100" workbookViewId="0">
      <selection activeCell="I8" sqref="I8"/>
    </sheetView>
  </sheetViews>
  <sheetFormatPr defaultRowHeight="15" x14ac:dyDescent="0.25"/>
  <cols>
    <col min="1" max="1" width="2" customWidth="1"/>
    <col min="2" max="3" width="8.42578125" customWidth="1"/>
    <col min="4" max="4" width="8.7109375" customWidth="1"/>
    <col min="5" max="5" width="12.140625" customWidth="1"/>
    <col min="6" max="6" width="7.85546875" customWidth="1"/>
    <col min="7" max="7" width="7.7109375" customWidth="1"/>
    <col min="8" max="8" width="7.42578125" customWidth="1"/>
    <col min="9" max="9" width="9.7109375" customWidth="1"/>
    <col min="10" max="10" width="9.5703125" customWidth="1"/>
    <col min="11" max="11" width="8.42578125" customWidth="1"/>
    <col min="12" max="12" width="9.85546875" customWidth="1"/>
    <col min="13" max="13" width="1" customWidth="1"/>
  </cols>
  <sheetData>
    <row r="1" spans="2:18" ht="20.25" x14ac:dyDescent="0.25">
      <c r="B1" s="2" t="s">
        <v>0</v>
      </c>
      <c r="C1" s="33" t="s">
        <v>1</v>
      </c>
      <c r="D1" s="33"/>
      <c r="E1" s="33"/>
      <c r="F1" s="33"/>
      <c r="G1" s="33"/>
      <c r="H1" s="33"/>
      <c r="I1" s="30" t="s">
        <v>7</v>
      </c>
      <c r="J1" s="31"/>
      <c r="K1" s="31"/>
      <c r="L1" s="32"/>
    </row>
    <row r="2" spans="2:18" x14ac:dyDescent="0.25">
      <c r="B2" s="2" t="s">
        <v>2</v>
      </c>
      <c r="C2" s="33" t="s">
        <v>3</v>
      </c>
      <c r="D2" s="33"/>
      <c r="E2" s="33"/>
      <c r="F2" s="33"/>
      <c r="G2" s="33"/>
      <c r="H2" s="33"/>
      <c r="I2" s="7" t="s">
        <v>8</v>
      </c>
      <c r="J2" s="7" t="s">
        <v>9</v>
      </c>
      <c r="K2" s="7" t="s">
        <v>10</v>
      </c>
      <c r="L2" s="34">
        <v>4017740</v>
      </c>
    </row>
    <row r="3" spans="2:18" x14ac:dyDescent="0.25">
      <c r="B3" s="36" t="s">
        <v>4</v>
      </c>
      <c r="C3" s="38" t="s">
        <v>12</v>
      </c>
      <c r="D3" s="38"/>
      <c r="E3" s="38"/>
      <c r="F3" s="38"/>
      <c r="G3" s="38"/>
      <c r="H3" s="38"/>
      <c r="I3" s="4" t="s">
        <v>11</v>
      </c>
      <c r="J3" s="4"/>
      <c r="K3" s="4"/>
      <c r="L3" s="35"/>
    </row>
    <row r="4" spans="2:18" x14ac:dyDescent="0.25">
      <c r="B4" s="37"/>
      <c r="C4" s="38"/>
      <c r="D4" s="38"/>
      <c r="E4" s="38"/>
      <c r="F4" s="38"/>
      <c r="G4" s="38"/>
      <c r="H4" s="38"/>
      <c r="I4" s="8">
        <v>42587</v>
      </c>
      <c r="J4" s="8"/>
      <c r="K4" s="8"/>
      <c r="L4" s="1">
        <v>1</v>
      </c>
    </row>
    <row r="6" spans="2:18" ht="15" customHeight="1" x14ac:dyDescent="0.25">
      <c r="B6" s="42" t="str">
        <f>C3</f>
        <v>Concrete Anchorage Design</v>
      </c>
      <c r="C6" s="43"/>
      <c r="D6" s="43"/>
      <c r="E6" s="43"/>
      <c r="F6" s="43"/>
      <c r="G6" s="43"/>
      <c r="H6" s="43"/>
      <c r="K6" s="5" t="s">
        <v>6</v>
      </c>
      <c r="L6" s="6" t="s">
        <v>13</v>
      </c>
    </row>
    <row r="7" spans="2:18" ht="15" customHeight="1" x14ac:dyDescent="0.25">
      <c r="B7" s="43"/>
      <c r="C7" s="43"/>
      <c r="D7" s="43"/>
      <c r="E7" s="43"/>
      <c r="F7" s="43"/>
      <c r="G7" s="43"/>
      <c r="H7" s="43"/>
      <c r="K7" s="5" t="s">
        <v>5</v>
      </c>
      <c r="L7" s="6" t="s">
        <v>14</v>
      </c>
    </row>
    <row r="9" spans="2:18" x14ac:dyDescent="0.25">
      <c r="B9" s="11" t="s">
        <v>15</v>
      </c>
      <c r="D9" s="15" t="s">
        <v>42</v>
      </c>
      <c r="J9" s="24" t="s">
        <v>135</v>
      </c>
      <c r="K9" s="24"/>
      <c r="L9" s="24"/>
      <c r="M9" s="24"/>
    </row>
    <row r="11" spans="2:18" x14ac:dyDescent="0.25">
      <c r="B11" s="11" t="s">
        <v>45</v>
      </c>
      <c r="J11" s="22" t="s">
        <v>44</v>
      </c>
    </row>
    <row r="13" spans="2:18" x14ac:dyDescent="0.25">
      <c r="B13" s="12" t="s">
        <v>57</v>
      </c>
      <c r="C13" s="3" t="s">
        <v>16</v>
      </c>
      <c r="D13" s="15">
        <v>9000</v>
      </c>
      <c r="E13" s="14" t="s">
        <v>17</v>
      </c>
      <c r="G13" s="12" t="s">
        <v>53</v>
      </c>
      <c r="H13" s="3" t="s">
        <v>18</v>
      </c>
      <c r="I13" s="15">
        <v>5000</v>
      </c>
      <c r="J13" s="14" t="s">
        <v>17</v>
      </c>
    </row>
    <row r="14" spans="2:18" x14ac:dyDescent="0.25">
      <c r="B14" s="12"/>
      <c r="C14" s="3"/>
      <c r="D14" s="3"/>
      <c r="E14" s="14"/>
      <c r="G14" s="12" t="s">
        <v>54</v>
      </c>
      <c r="H14" s="3" t="s">
        <v>22</v>
      </c>
      <c r="I14" s="15">
        <v>2500</v>
      </c>
      <c r="J14" s="14" t="s">
        <v>17</v>
      </c>
      <c r="O14" t="s">
        <v>78</v>
      </c>
      <c r="R14" t="s">
        <v>109</v>
      </c>
    </row>
    <row r="15" spans="2:18" x14ac:dyDescent="0.25">
      <c r="B15" s="12" t="s">
        <v>58</v>
      </c>
      <c r="C15" s="3" t="s">
        <v>19</v>
      </c>
      <c r="D15" s="15">
        <v>0</v>
      </c>
      <c r="E15" s="14" t="s">
        <v>20</v>
      </c>
      <c r="G15" s="12" t="s">
        <v>55</v>
      </c>
      <c r="H15" s="3" t="s">
        <v>21</v>
      </c>
      <c r="I15" s="15">
        <v>0</v>
      </c>
      <c r="J15" s="14" t="s">
        <v>17</v>
      </c>
      <c r="O15" t="s">
        <v>79</v>
      </c>
      <c r="R15" t="s">
        <v>110</v>
      </c>
    </row>
    <row r="16" spans="2:18" x14ac:dyDescent="0.25">
      <c r="B16" s="12" t="s">
        <v>59</v>
      </c>
      <c r="C16" s="3" t="s">
        <v>23</v>
      </c>
      <c r="D16" s="15">
        <v>0</v>
      </c>
      <c r="E16" s="14" t="s">
        <v>20</v>
      </c>
      <c r="G16" s="12" t="s">
        <v>56</v>
      </c>
      <c r="H16" s="3" t="s">
        <v>24</v>
      </c>
      <c r="I16" s="15">
        <v>6500</v>
      </c>
      <c r="J16" s="14" t="s">
        <v>17</v>
      </c>
      <c r="O16" t="s">
        <v>80</v>
      </c>
      <c r="R16" t="s">
        <v>111</v>
      </c>
    </row>
    <row r="17" spans="1:22" x14ac:dyDescent="0.25">
      <c r="O17" t="s">
        <v>81</v>
      </c>
    </row>
    <row r="18" spans="1:22" x14ac:dyDescent="0.25">
      <c r="A18" s="44" t="s">
        <v>25</v>
      </c>
      <c r="B18" s="44"/>
      <c r="C18" s="44"/>
      <c r="D18" s="44"/>
      <c r="E18" s="16" t="s">
        <v>26</v>
      </c>
      <c r="F18" s="16" t="s">
        <v>27</v>
      </c>
      <c r="G18" s="16" t="s">
        <v>28</v>
      </c>
      <c r="H18" s="16" t="s">
        <v>29</v>
      </c>
      <c r="I18" s="16" t="s">
        <v>30</v>
      </c>
      <c r="J18" s="16" t="s">
        <v>31</v>
      </c>
      <c r="K18" s="16" t="s">
        <v>32</v>
      </c>
      <c r="L18" s="16" t="s">
        <v>33</v>
      </c>
      <c r="O18" s="21" t="s">
        <v>26</v>
      </c>
    </row>
    <row r="19" spans="1:22" x14ac:dyDescent="0.25">
      <c r="A19" s="17">
        <v>1</v>
      </c>
      <c r="B19" s="45" t="s">
        <v>34</v>
      </c>
      <c r="C19" s="45"/>
      <c r="D19" s="45"/>
      <c r="E19" s="9">
        <f>$D$13</f>
        <v>9000</v>
      </c>
      <c r="F19" s="9"/>
      <c r="G19" s="9"/>
      <c r="H19" s="9"/>
      <c r="I19" s="9"/>
      <c r="J19" s="9"/>
      <c r="K19" s="9"/>
      <c r="L19" s="9">
        <f>1.4*E19</f>
        <v>12600</v>
      </c>
      <c r="O19" t="s">
        <v>32</v>
      </c>
    </row>
    <row r="20" spans="1:22" x14ac:dyDescent="0.25">
      <c r="A20" s="17">
        <v>2</v>
      </c>
      <c r="B20" s="45" t="s">
        <v>35</v>
      </c>
      <c r="C20" s="45"/>
      <c r="D20" s="45"/>
      <c r="E20" s="9">
        <f t="shared" ref="E20:E25" si="0">$D$13</f>
        <v>9000</v>
      </c>
      <c r="F20" s="9">
        <f>$I$13</f>
        <v>5000</v>
      </c>
      <c r="G20" s="9">
        <f>$I$14</f>
        <v>2500</v>
      </c>
      <c r="H20" s="9">
        <f>$I$15</f>
        <v>0</v>
      </c>
      <c r="I20" s="9">
        <f>$D$15</f>
        <v>0</v>
      </c>
      <c r="J20" s="9"/>
      <c r="K20" s="9"/>
      <c r="L20" s="9">
        <f>1.2*E20+1.6*F20+0.5*(MAX(G20,H20,I20))</f>
        <v>20050</v>
      </c>
      <c r="O20" t="s">
        <v>82</v>
      </c>
    </row>
    <row r="21" spans="1:22" x14ac:dyDescent="0.25">
      <c r="A21" s="17">
        <v>3</v>
      </c>
      <c r="B21" s="45" t="s">
        <v>36</v>
      </c>
      <c r="C21" s="45"/>
      <c r="D21" s="45"/>
      <c r="E21" s="9">
        <f t="shared" si="0"/>
        <v>9000</v>
      </c>
      <c r="F21" s="9">
        <f t="shared" ref="F21:F23" si="1">$I$13</f>
        <v>5000</v>
      </c>
      <c r="G21" s="9">
        <f t="shared" ref="G21:G22" si="2">$I$14</f>
        <v>2500</v>
      </c>
      <c r="H21" s="9">
        <f t="shared" ref="H21:H23" si="3">$I$15</f>
        <v>0</v>
      </c>
      <c r="I21" s="9">
        <f t="shared" ref="I21:I22" si="4">$D$15</f>
        <v>0</v>
      </c>
      <c r="J21" s="9">
        <f>$D$16</f>
        <v>0</v>
      </c>
      <c r="K21" s="9"/>
      <c r="L21" s="9">
        <f>1.2*E21+1.6*(MAX(G21,H21,I21))+(MAX(F21,0.5*J21))</f>
        <v>19800</v>
      </c>
    </row>
    <row r="22" spans="1:22" x14ac:dyDescent="0.25">
      <c r="A22" s="17">
        <v>4</v>
      </c>
      <c r="B22" s="45" t="s">
        <v>37</v>
      </c>
      <c r="C22" s="45"/>
      <c r="D22" s="45"/>
      <c r="E22" s="9">
        <f t="shared" si="0"/>
        <v>9000</v>
      </c>
      <c r="F22" s="9">
        <f t="shared" si="1"/>
        <v>5000</v>
      </c>
      <c r="G22" s="9">
        <f t="shared" si="2"/>
        <v>2500</v>
      </c>
      <c r="H22" s="9">
        <f t="shared" si="3"/>
        <v>0</v>
      </c>
      <c r="I22" s="9">
        <f t="shared" si="4"/>
        <v>0</v>
      </c>
      <c r="J22" s="9">
        <f>$D$16</f>
        <v>0</v>
      </c>
      <c r="K22" s="9"/>
      <c r="L22" s="9">
        <f>1.2*E22+J22+F22+0.5*(MAX(G22,H22,I22))</f>
        <v>17050</v>
      </c>
      <c r="O22" t="s">
        <v>85</v>
      </c>
      <c r="R22" t="s">
        <v>126</v>
      </c>
    </row>
    <row r="23" spans="1:22" x14ac:dyDescent="0.25">
      <c r="A23" s="17">
        <v>5</v>
      </c>
      <c r="B23" s="45" t="s">
        <v>38</v>
      </c>
      <c r="C23" s="45"/>
      <c r="D23" s="45"/>
      <c r="E23" s="9">
        <f t="shared" si="0"/>
        <v>9000</v>
      </c>
      <c r="F23" s="9">
        <f t="shared" si="1"/>
        <v>5000</v>
      </c>
      <c r="G23" s="9"/>
      <c r="H23" s="9">
        <f t="shared" si="3"/>
        <v>0</v>
      </c>
      <c r="I23" s="9"/>
      <c r="J23" s="9"/>
      <c r="K23" s="9">
        <f>$I$16</f>
        <v>6500</v>
      </c>
      <c r="L23" s="9">
        <f>1.2*E23+K23+F23+0.2*H23</f>
        <v>22300</v>
      </c>
      <c r="O23" t="s">
        <v>86</v>
      </c>
      <c r="R23" t="s">
        <v>127</v>
      </c>
    </row>
    <row r="24" spans="1:22" x14ac:dyDescent="0.25">
      <c r="A24" s="17">
        <v>6</v>
      </c>
      <c r="B24" s="45" t="s">
        <v>39</v>
      </c>
      <c r="C24" s="45"/>
      <c r="D24" s="45"/>
      <c r="E24" s="9">
        <f t="shared" si="0"/>
        <v>9000</v>
      </c>
      <c r="F24" s="9"/>
      <c r="G24" s="9"/>
      <c r="H24" s="9"/>
      <c r="I24" s="9"/>
      <c r="J24" s="9">
        <f>$D$16</f>
        <v>0</v>
      </c>
      <c r="K24" s="9"/>
      <c r="L24" s="9">
        <f>0.9*E24+J24</f>
        <v>8100</v>
      </c>
      <c r="O24" t="s">
        <v>87</v>
      </c>
      <c r="R24" t="s">
        <v>128</v>
      </c>
    </row>
    <row r="25" spans="1:22" x14ac:dyDescent="0.25">
      <c r="A25" s="17">
        <v>7</v>
      </c>
      <c r="B25" s="45" t="s">
        <v>40</v>
      </c>
      <c r="C25" s="45"/>
      <c r="D25" s="45"/>
      <c r="E25" s="9">
        <f t="shared" si="0"/>
        <v>9000</v>
      </c>
      <c r="F25" s="9"/>
      <c r="G25" s="9"/>
      <c r="H25" s="9"/>
      <c r="I25" s="9"/>
      <c r="J25" s="9"/>
      <c r="K25" s="9">
        <f>$I$16</f>
        <v>6500</v>
      </c>
      <c r="L25" s="9">
        <f>0.9*E25+K25</f>
        <v>14600</v>
      </c>
      <c r="O25" t="s">
        <v>97</v>
      </c>
      <c r="R25" t="s">
        <v>129</v>
      </c>
    </row>
    <row r="26" spans="1:22" x14ac:dyDescent="0.25">
      <c r="A26" s="13"/>
    </row>
    <row r="27" spans="1:22" x14ac:dyDescent="0.25">
      <c r="C27" s="18" t="s">
        <v>41</v>
      </c>
      <c r="D27" s="19">
        <f>MAX(L19:L25)</f>
        <v>22300</v>
      </c>
      <c r="E27" s="10" t="s">
        <v>43</v>
      </c>
      <c r="G27" s="12" t="s">
        <v>62</v>
      </c>
      <c r="H27" s="20"/>
      <c r="I27" t="s">
        <v>43</v>
      </c>
      <c r="J27" t="s">
        <v>131</v>
      </c>
      <c r="K27" s="15" t="s">
        <v>100</v>
      </c>
      <c r="O27" s="10" t="s">
        <v>117</v>
      </c>
      <c r="P27" s="10" t="s">
        <v>115</v>
      </c>
      <c r="Q27" s="10"/>
      <c r="R27" s="10" t="s">
        <v>114</v>
      </c>
    </row>
    <row r="28" spans="1:22" x14ac:dyDescent="0.25">
      <c r="G28" s="12" t="s">
        <v>63</v>
      </c>
      <c r="H28" s="20"/>
      <c r="I28" t="s">
        <v>43</v>
      </c>
      <c r="O28" t="s">
        <v>100</v>
      </c>
      <c r="P28" t="s">
        <v>103</v>
      </c>
      <c r="R28" s="3">
        <v>1</v>
      </c>
    </row>
    <row r="29" spans="1:22" x14ac:dyDescent="0.25">
      <c r="B29" s="11" t="s">
        <v>60</v>
      </c>
      <c r="O29" t="s">
        <v>101</v>
      </c>
      <c r="P29" t="s">
        <v>104</v>
      </c>
      <c r="R29" s="3">
        <v>2</v>
      </c>
    </row>
    <row r="30" spans="1:22" x14ac:dyDescent="0.25">
      <c r="O30" t="s">
        <v>102</v>
      </c>
      <c r="P30" t="s">
        <v>102</v>
      </c>
      <c r="R30" s="3">
        <v>3</v>
      </c>
    </row>
    <row r="31" spans="1:22" x14ac:dyDescent="0.25">
      <c r="B31" t="s">
        <v>65</v>
      </c>
      <c r="D31" s="39" t="s">
        <v>118</v>
      </c>
      <c r="E31" s="39"/>
      <c r="J31" s="22" t="str">
        <f>IF(D31&lt;&gt;"Specialty-Anchors","ACI 318-14 S.17.1.3. Applies","ACI 318-14 S.17.1.3. Does Not Apply")</f>
        <v>ACI 318-14 S.17.1.3. Applies</v>
      </c>
    </row>
    <row r="32" spans="1:22" x14ac:dyDescent="0.25">
      <c r="B32" t="s">
        <v>84</v>
      </c>
      <c r="D32" s="39" t="s">
        <v>87</v>
      </c>
      <c r="E32" s="39"/>
      <c r="J32" s="23" t="str">
        <f>IF(AND(D31="Adhesive",K27="Yes"),"Must Satisfy ACI 318-14 S.17.3.1.1.","Must Satisfy ACI 318-14 S.17.3.1.1")</f>
        <v>Must Satisfy ACI 318-14 S.17.3.1.1.</v>
      </c>
      <c r="O32" t="s">
        <v>75</v>
      </c>
      <c r="Q32" t="s">
        <v>74</v>
      </c>
      <c r="V32" t="s">
        <v>92</v>
      </c>
    </row>
    <row r="33" spans="2:19" x14ac:dyDescent="0.25">
      <c r="B33" t="s">
        <v>130</v>
      </c>
      <c r="D33" s="39" t="s">
        <v>127</v>
      </c>
      <c r="E33" s="39"/>
      <c r="J33" s="22" t="str">
        <f>IF(D33&lt;&gt;"Upward","ACI 318-14 S.14.2.4 Applies","ACI 318-14 S.14.2.4 Does Not Apply")</f>
        <v>ACI 318-14 S.14.2.4 Applies</v>
      </c>
      <c r="Q33" t="s">
        <v>72</v>
      </c>
      <c r="S33" t="s">
        <v>73</v>
      </c>
    </row>
    <row r="34" spans="2:19" x14ac:dyDescent="0.25">
      <c r="Q34" t="s">
        <v>70</v>
      </c>
      <c r="R34" t="s">
        <v>71</v>
      </c>
    </row>
    <row r="35" spans="2:19" x14ac:dyDescent="0.25">
      <c r="B35" t="s">
        <v>98</v>
      </c>
      <c r="E35" s="15" t="s">
        <v>100</v>
      </c>
      <c r="I35" s="12" t="s">
        <v>133</v>
      </c>
      <c r="O35" t="s">
        <v>66</v>
      </c>
    </row>
    <row r="36" spans="2:19" x14ac:dyDescent="0.25">
      <c r="B36" t="s">
        <v>99</v>
      </c>
      <c r="E36" s="3" t="str">
        <f>IF(E35="Yes","Condition-A","Condition-B")</f>
        <v>Condition-A</v>
      </c>
      <c r="O36" t="s">
        <v>67</v>
      </c>
    </row>
    <row r="37" spans="2:19" x14ac:dyDescent="0.25">
      <c r="B37" t="s">
        <v>116</v>
      </c>
      <c r="E37" s="15">
        <v>1</v>
      </c>
      <c r="I37" s="12" t="s">
        <v>134</v>
      </c>
      <c r="O37" t="s">
        <v>119</v>
      </c>
    </row>
    <row r="38" spans="2:19" x14ac:dyDescent="0.25">
      <c r="O38" t="s">
        <v>68</v>
      </c>
    </row>
    <row r="39" spans="2:19" x14ac:dyDescent="0.25">
      <c r="B39" t="s">
        <v>88</v>
      </c>
      <c r="E39" s="12" t="s">
        <v>89</v>
      </c>
      <c r="F39" s="15">
        <v>1</v>
      </c>
      <c r="J39" s="22" t="str">
        <f>IF(F39=1,"Single Anchor","Group of Anchors")</f>
        <v>Single Anchor</v>
      </c>
      <c r="O39" t="s">
        <v>69</v>
      </c>
    </row>
    <row r="40" spans="2:19" ht="18" x14ac:dyDescent="0.35">
      <c r="B40" t="s">
        <v>61</v>
      </c>
      <c r="E40" s="12" t="s">
        <v>91</v>
      </c>
      <c r="O40" t="s">
        <v>120</v>
      </c>
    </row>
    <row r="41" spans="2:19" x14ac:dyDescent="0.25">
      <c r="B41" t="s">
        <v>64</v>
      </c>
      <c r="E41" s="12" t="s">
        <v>90</v>
      </c>
      <c r="O41" t="s">
        <v>121</v>
      </c>
    </row>
    <row r="42" spans="2:19" x14ac:dyDescent="0.25">
      <c r="O42" t="s">
        <v>118</v>
      </c>
    </row>
    <row r="43" spans="2:19" ht="18" x14ac:dyDescent="0.35">
      <c r="B43" t="s">
        <v>93</v>
      </c>
      <c r="E43" s="12" t="s">
        <v>96</v>
      </c>
      <c r="O43" t="s">
        <v>122</v>
      </c>
    </row>
    <row r="44" spans="2:19" ht="18" x14ac:dyDescent="0.35">
      <c r="B44" t="s">
        <v>94</v>
      </c>
      <c r="E44" s="12" t="s">
        <v>95</v>
      </c>
    </row>
    <row r="45" spans="2:19" x14ac:dyDescent="0.25">
      <c r="B45" t="s">
        <v>105</v>
      </c>
    </row>
    <row r="46" spans="2:19" ht="20.25" x14ac:dyDescent="0.25">
      <c r="B46" s="2" t="s">
        <v>0</v>
      </c>
      <c r="C46" s="33" t="str">
        <f>C1</f>
        <v>MBTA</v>
      </c>
      <c r="D46" s="33"/>
      <c r="E46" s="33"/>
      <c r="F46" s="33"/>
      <c r="G46" s="33"/>
      <c r="H46" s="33"/>
      <c r="I46" s="30" t="s">
        <v>7</v>
      </c>
      <c r="J46" s="31"/>
      <c r="K46" s="31"/>
      <c r="L46" s="32"/>
    </row>
    <row r="47" spans="2:19" x14ac:dyDescent="0.25">
      <c r="B47" s="2" t="s">
        <v>2</v>
      </c>
      <c r="C47" s="33" t="s">
        <v>3</v>
      </c>
      <c r="D47" s="33"/>
      <c r="E47" s="33"/>
      <c r="F47" s="33"/>
      <c r="G47" s="33"/>
      <c r="H47" s="33"/>
      <c r="I47" s="7" t="s">
        <v>8</v>
      </c>
      <c r="J47" s="7" t="s">
        <v>9</v>
      </c>
      <c r="K47" s="7" t="s">
        <v>10</v>
      </c>
      <c r="L47" s="34">
        <v>4017740</v>
      </c>
    </row>
    <row r="48" spans="2:19" x14ac:dyDescent="0.25">
      <c r="B48" s="36" t="s">
        <v>4</v>
      </c>
      <c r="C48" s="38" t="s">
        <v>12</v>
      </c>
      <c r="D48" s="38"/>
      <c r="E48" s="38"/>
      <c r="F48" s="38"/>
      <c r="G48" s="38"/>
      <c r="H48" s="38"/>
      <c r="I48" s="4" t="s">
        <v>11</v>
      </c>
      <c r="J48" s="4"/>
      <c r="K48" s="4"/>
      <c r="L48" s="35"/>
    </row>
    <row r="49" spans="2:12" x14ac:dyDescent="0.25">
      <c r="B49" s="37"/>
      <c r="C49" s="38"/>
      <c r="D49" s="38"/>
      <c r="E49" s="38"/>
      <c r="F49" s="38"/>
      <c r="G49" s="38"/>
      <c r="H49" s="38"/>
      <c r="I49" s="8">
        <v>42587</v>
      </c>
      <c r="J49" s="8"/>
      <c r="K49" s="8"/>
      <c r="L49" s="1">
        <f>1+L4</f>
        <v>2</v>
      </c>
    </row>
    <row r="52" spans="2:12" x14ac:dyDescent="0.25">
      <c r="B52" s="11" t="s">
        <v>76</v>
      </c>
    </row>
    <row r="56" spans="2:12" x14ac:dyDescent="0.25">
      <c r="B56" s="11" t="s">
        <v>125</v>
      </c>
      <c r="J56" s="22" t="str">
        <f>IF(E59="Yes","Must Satisfy ACI 318-14 S17.2.3.","ACI 318-14 S17.2.3. Not Applicable")</f>
        <v>ACI 318-14 S17.2.3. Not Applicable</v>
      </c>
    </row>
    <row r="58" spans="2:12" x14ac:dyDescent="0.25">
      <c r="B58" t="s">
        <v>77</v>
      </c>
      <c r="E58" s="15" t="s">
        <v>79</v>
      </c>
      <c r="J58" s="22" t="str">
        <f>IF(OR(E58="C",E58="D",E58="E",E58="F"),"Seismic Condition Factor Applies", "ACI 17.2.3.2 Not Applicable")</f>
        <v>ACI 17.2.3.2 Not Applicable</v>
      </c>
    </row>
    <row r="59" spans="2:12" x14ac:dyDescent="0.25">
      <c r="B59" t="s">
        <v>123</v>
      </c>
      <c r="E59" s="3" t="str">
        <f>IF(OR(E58="C",E58="D",E58="E",E58="F"),"Yes", "No")</f>
        <v>No</v>
      </c>
    </row>
    <row r="60" spans="2:12" x14ac:dyDescent="0.25">
      <c r="B60" t="s">
        <v>124</v>
      </c>
      <c r="E60" s="23" t="str">
        <f>IF(AND(E59="Yes",D32="Post-Installed-Anchor"),"Must satisfy ACI 318-14 S.17.2.3.3","None")</f>
        <v>None</v>
      </c>
    </row>
    <row r="63" spans="2:12" x14ac:dyDescent="0.25">
      <c r="B63" s="11" t="s">
        <v>136</v>
      </c>
      <c r="J63" s="22" t="s">
        <v>165</v>
      </c>
    </row>
    <row r="65" spans="2:10" x14ac:dyDescent="0.25">
      <c r="B65" t="s">
        <v>112</v>
      </c>
      <c r="F65" s="12" t="s">
        <v>113</v>
      </c>
      <c r="G65" s="40" t="s">
        <v>110</v>
      </c>
      <c r="H65" s="40"/>
    </row>
    <row r="66" spans="2:10" x14ac:dyDescent="0.25">
      <c r="B66" t="s">
        <v>46</v>
      </c>
      <c r="F66" s="12" t="s">
        <v>47</v>
      </c>
      <c r="G66" s="15">
        <v>3000</v>
      </c>
      <c r="H66" t="s">
        <v>48</v>
      </c>
      <c r="J66" s="22" t="str">
        <f>IF(D32="Cast-in","ACI 318-14 S.17.2.7. Max (10ksi)","ACI 318-14 S.17.2.7. Max (8ksi)")</f>
        <v>ACI 318-14 S.17.2.7. Max (8ksi)</v>
      </c>
    </row>
    <row r="67" spans="2:10" x14ac:dyDescent="0.25">
      <c r="B67" t="s">
        <v>49</v>
      </c>
      <c r="F67" s="12" t="s">
        <v>83</v>
      </c>
      <c r="G67" s="15">
        <v>0.15</v>
      </c>
      <c r="H67" t="s">
        <v>50</v>
      </c>
      <c r="J67" s="22" t="s">
        <v>51</v>
      </c>
    </row>
    <row r="68" spans="2:10" x14ac:dyDescent="0.25">
      <c r="B68" t="s">
        <v>106</v>
      </c>
      <c r="G68" s="15" t="s">
        <v>100</v>
      </c>
    </row>
    <row r="69" spans="2:10" ht="18" x14ac:dyDescent="0.35">
      <c r="B69" t="s">
        <v>52</v>
      </c>
      <c r="F69" s="12" t="s">
        <v>107</v>
      </c>
      <c r="G69" s="3">
        <f>IF(OR(D32="Cast-In",D31="Undercut-Anchors"),G67,IF(OR(D33="Post-Installed-Expansion",D31="Adhesive"),G67*0.8,IF(AND(D31="adhesive",H35="bond"),G67*0.6,"-")))</f>
        <v>0.12</v>
      </c>
      <c r="H69" t="s">
        <v>50</v>
      </c>
      <c r="J69" s="22" t="str">
        <f>IF(G68="Yes","ACI 318-14 S.17.2.6. Applies","ACI 318-14 S.17.2.6. Does NOT Apply")</f>
        <v>ACI 318-14 S.17.2.6. Applies</v>
      </c>
    </row>
    <row r="70" spans="2:10" x14ac:dyDescent="0.25">
      <c r="G70" t="s">
        <v>108</v>
      </c>
    </row>
    <row r="72" spans="2:10" x14ac:dyDescent="0.25">
      <c r="B72" s="11" t="s">
        <v>132</v>
      </c>
    </row>
    <row r="74" spans="2:10" x14ac:dyDescent="0.25">
      <c r="B74" s="11" t="s">
        <v>137</v>
      </c>
    </row>
    <row r="77" spans="2:10" x14ac:dyDescent="0.25">
      <c r="B77" s="11" t="s">
        <v>138</v>
      </c>
      <c r="J77" s="22" t="s">
        <v>166</v>
      </c>
    </row>
    <row r="79" spans="2:10" x14ac:dyDescent="0.25">
      <c r="F79" s="29" t="s">
        <v>143</v>
      </c>
      <c r="G79" s="29"/>
    </row>
    <row r="80" spans="2:10" ht="25.5" x14ac:dyDescent="0.25">
      <c r="B80" s="41" t="s">
        <v>139</v>
      </c>
      <c r="C80" s="41"/>
      <c r="D80" s="41"/>
      <c r="E80" s="25" t="s">
        <v>140</v>
      </c>
      <c r="F80" s="26" t="s">
        <v>141</v>
      </c>
      <c r="G80" s="25" t="s">
        <v>142</v>
      </c>
    </row>
    <row r="81" spans="2:12" ht="18" x14ac:dyDescent="0.25">
      <c r="B81" s="28" t="s">
        <v>144</v>
      </c>
      <c r="C81" s="28"/>
      <c r="D81" s="28"/>
      <c r="E81" s="27" t="s">
        <v>161</v>
      </c>
      <c r="F81" s="3" t="str">
        <f>IF(F39&lt;&gt;1,E81,"-")</f>
        <v>-</v>
      </c>
      <c r="J81" s="22" t="s">
        <v>152</v>
      </c>
    </row>
    <row r="82" spans="2:12" ht="18" x14ac:dyDescent="0.25">
      <c r="B82" s="28" t="s">
        <v>145</v>
      </c>
      <c r="C82" s="28"/>
      <c r="D82" s="28"/>
      <c r="E82" s="27" t="s">
        <v>160</v>
      </c>
      <c r="F82" s="3"/>
      <c r="G82" s="3" t="str">
        <f>IF(F39&lt;&gt;1,E82,"-")</f>
        <v>-</v>
      </c>
      <c r="J82" s="22" t="s">
        <v>153</v>
      </c>
    </row>
    <row r="83" spans="2:12" x14ac:dyDescent="0.25">
      <c r="B83" s="28" t="s">
        <v>146</v>
      </c>
      <c r="C83" s="28"/>
      <c r="D83" s="28"/>
      <c r="E83" s="27" t="str">
        <f>IF(OR(D31="Cast-in-Anchors",D31="Post-Installed-Expansion",D31="Undercut-Anchors"),"fNpn≥Nua","-")</f>
        <v>-</v>
      </c>
      <c r="F83" s="3" t="str">
        <f>IF(F39&lt;&gt;1,E83,"-")</f>
        <v>-</v>
      </c>
      <c r="J83" s="22" t="s">
        <v>154</v>
      </c>
    </row>
    <row r="84" spans="2:12" ht="18" x14ac:dyDescent="0.25">
      <c r="B84" s="28" t="s">
        <v>147</v>
      </c>
      <c r="C84" s="28"/>
      <c r="D84" s="28"/>
      <c r="E84" s="27" t="str">
        <f>IF(OR(D31="Headed-Bolt",D31="Headed-Stud"),"fNsb≥Nua","-")</f>
        <v>-</v>
      </c>
      <c r="F84" s="3"/>
      <c r="G84" s="3" t="str">
        <f>IF(F39&lt;&gt;1,E84,"-")</f>
        <v>-</v>
      </c>
      <c r="J84" s="22" t="s">
        <v>155</v>
      </c>
    </row>
    <row r="85" spans="2:12" ht="18" x14ac:dyDescent="0.25">
      <c r="B85" s="28" t="s">
        <v>148</v>
      </c>
      <c r="C85" s="28"/>
      <c r="D85" s="28"/>
      <c r="E85" s="27" t="str">
        <f>IF(D31="Adhesive","fNa≥Nua","-")</f>
        <v>fNa≥Nua</v>
      </c>
      <c r="F85" s="3"/>
      <c r="G85" s="3" t="str">
        <f>IF(F39&lt;&gt;1,E85,"-")</f>
        <v>-</v>
      </c>
      <c r="J85" s="22" t="s">
        <v>156</v>
      </c>
    </row>
    <row r="86" spans="2:12" ht="18" x14ac:dyDescent="0.25">
      <c r="B86" s="28" t="s">
        <v>149</v>
      </c>
      <c r="C86" s="28"/>
      <c r="D86" s="28"/>
      <c r="E86" s="27" t="s">
        <v>162</v>
      </c>
      <c r="F86" s="3" t="str">
        <f>IF(F39&lt;&gt;1,E86,"-")</f>
        <v>-</v>
      </c>
      <c r="J86" s="22" t="s">
        <v>157</v>
      </c>
    </row>
    <row r="87" spans="2:12" ht="18" x14ac:dyDescent="0.25">
      <c r="B87" s="28" t="s">
        <v>150</v>
      </c>
      <c r="C87" s="28"/>
      <c r="D87" s="28"/>
      <c r="E87" s="27" t="s">
        <v>163</v>
      </c>
      <c r="G87" s="3" t="str">
        <f>IF(F39&lt;&gt;1,E87,"-")</f>
        <v>-</v>
      </c>
      <c r="J87" s="22" t="s">
        <v>158</v>
      </c>
    </row>
    <row r="88" spans="2:12" ht="18" x14ac:dyDescent="0.25">
      <c r="B88" s="28" t="s">
        <v>151</v>
      </c>
      <c r="C88" s="28"/>
      <c r="D88" s="28"/>
      <c r="E88" s="27" t="s">
        <v>164</v>
      </c>
      <c r="G88" s="3" t="str">
        <f>IF(F39&lt;&gt;1,E88,"-")</f>
        <v>-</v>
      </c>
      <c r="J88" s="22" t="s">
        <v>159</v>
      </c>
    </row>
    <row r="89" spans="2:12" x14ac:dyDescent="0.25">
      <c r="B89" s="3"/>
      <c r="C89" s="3"/>
      <c r="D89" s="3"/>
      <c r="E89" s="27"/>
      <c r="J89" s="22"/>
    </row>
    <row r="90" spans="2:12" ht="20.25" x14ac:dyDescent="0.25">
      <c r="B90" s="2" t="s">
        <v>0</v>
      </c>
      <c r="C90" s="33" t="str">
        <f>C1</f>
        <v>MBTA</v>
      </c>
      <c r="D90" s="33"/>
      <c r="E90" s="33"/>
      <c r="F90" s="33"/>
      <c r="G90" s="33"/>
      <c r="H90" s="33"/>
      <c r="I90" s="30" t="s">
        <v>7</v>
      </c>
      <c r="J90" s="31"/>
      <c r="K90" s="31"/>
      <c r="L90" s="32"/>
    </row>
    <row r="91" spans="2:12" x14ac:dyDescent="0.25">
      <c r="B91" s="2" t="s">
        <v>2</v>
      </c>
      <c r="C91" s="33" t="str">
        <f>C2</f>
        <v>Wellington Carhouse</v>
      </c>
      <c r="D91" s="33"/>
      <c r="E91" s="33"/>
      <c r="F91" s="33"/>
      <c r="G91" s="33"/>
      <c r="H91" s="33"/>
      <c r="I91" s="7" t="s">
        <v>8</v>
      </c>
      <c r="J91" s="7" t="s">
        <v>9</v>
      </c>
      <c r="K91" s="7" t="s">
        <v>10</v>
      </c>
      <c r="L91" s="34">
        <v>4017740</v>
      </c>
    </row>
    <row r="92" spans="2:12" x14ac:dyDescent="0.25">
      <c r="B92" s="36" t="s">
        <v>4</v>
      </c>
      <c r="C92" s="38" t="s">
        <v>12</v>
      </c>
      <c r="D92" s="38"/>
      <c r="E92" s="38"/>
      <c r="F92" s="38"/>
      <c r="G92" s="38"/>
      <c r="H92" s="38"/>
      <c r="I92" s="4" t="s">
        <v>11</v>
      </c>
      <c r="J92" s="4"/>
      <c r="K92" s="4"/>
      <c r="L92" s="35"/>
    </row>
    <row r="93" spans="2:12" x14ac:dyDescent="0.25">
      <c r="B93" s="37"/>
      <c r="C93" s="38"/>
      <c r="D93" s="38"/>
      <c r="E93" s="38"/>
      <c r="F93" s="38"/>
      <c r="G93" s="38"/>
      <c r="H93" s="38"/>
      <c r="I93" s="8">
        <v>42587</v>
      </c>
      <c r="J93" s="8"/>
      <c r="K93" s="8"/>
      <c r="L93" s="1">
        <f>1+L49</f>
        <v>3</v>
      </c>
    </row>
    <row r="95" spans="2:12" x14ac:dyDescent="0.25">
      <c r="B95" t="s">
        <v>167</v>
      </c>
      <c r="J95" s="22" t="s">
        <v>175</v>
      </c>
    </row>
    <row r="97" spans="2:10" x14ac:dyDescent="0.25">
      <c r="B97" t="s">
        <v>168</v>
      </c>
    </row>
    <row r="98" spans="2:10" x14ac:dyDescent="0.25">
      <c r="B98" t="s">
        <v>169</v>
      </c>
    </row>
    <row r="99" spans="2:10" x14ac:dyDescent="0.25">
      <c r="B99" t="s">
        <v>170</v>
      </c>
    </row>
    <row r="100" spans="2:10" x14ac:dyDescent="0.25">
      <c r="B100" t="s">
        <v>171</v>
      </c>
    </row>
    <row r="101" spans="2:10" x14ac:dyDescent="0.25">
      <c r="B101" t="s">
        <v>172</v>
      </c>
    </row>
    <row r="102" spans="2:10" x14ac:dyDescent="0.25">
      <c r="B102" t="s">
        <v>173</v>
      </c>
    </row>
    <row r="103" spans="2:10" x14ac:dyDescent="0.25">
      <c r="B103" t="s">
        <v>174</v>
      </c>
    </row>
    <row r="106" spans="2:10" x14ac:dyDescent="0.25">
      <c r="B106" t="s">
        <v>176</v>
      </c>
      <c r="J106" s="22" t="s">
        <v>177</v>
      </c>
    </row>
  </sheetData>
  <mergeCells count="41">
    <mergeCell ref="A18:D18"/>
    <mergeCell ref="B25:D25"/>
    <mergeCell ref="B24:D24"/>
    <mergeCell ref="B23:D23"/>
    <mergeCell ref="B22:D22"/>
    <mergeCell ref="B21:D21"/>
    <mergeCell ref="B20:D20"/>
    <mergeCell ref="B19:D19"/>
    <mergeCell ref="C3:H4"/>
    <mergeCell ref="B3:B4"/>
    <mergeCell ref="B6:H7"/>
    <mergeCell ref="L2:L3"/>
    <mergeCell ref="I1:L1"/>
    <mergeCell ref="C2:H2"/>
    <mergeCell ref="C1:H1"/>
    <mergeCell ref="I46:L46"/>
    <mergeCell ref="C47:H47"/>
    <mergeCell ref="L47:L48"/>
    <mergeCell ref="B48:B49"/>
    <mergeCell ref="C48:H49"/>
    <mergeCell ref="D31:E31"/>
    <mergeCell ref="D32:E32"/>
    <mergeCell ref="G65:H65"/>
    <mergeCell ref="D33:E33"/>
    <mergeCell ref="C90:H90"/>
    <mergeCell ref="B80:D80"/>
    <mergeCell ref="B81:D81"/>
    <mergeCell ref="B82:D82"/>
    <mergeCell ref="B83:D83"/>
    <mergeCell ref="B84:D84"/>
    <mergeCell ref="B85:D85"/>
    <mergeCell ref="B86:D86"/>
    <mergeCell ref="B87:D87"/>
    <mergeCell ref="C46:H46"/>
    <mergeCell ref="B88:D88"/>
    <mergeCell ref="F79:G79"/>
    <mergeCell ref="I90:L90"/>
    <mergeCell ref="C91:H91"/>
    <mergeCell ref="L91:L92"/>
    <mergeCell ref="B92:B93"/>
    <mergeCell ref="C92:H93"/>
  </mergeCells>
  <conditionalFormatting sqref="L19:L25">
    <cfRule type="top10" dxfId="0" priority="1" rank="1"/>
  </conditionalFormatting>
  <dataValidations disablePrompts="1" count="7">
    <dataValidation type="list" allowBlank="1" showInputMessage="1" showErrorMessage="1" sqref="E58">
      <formula1>SeismicCat</formula1>
    </dataValidation>
    <dataValidation type="list" allowBlank="1" showInputMessage="1" showErrorMessage="1" sqref="D31">
      <formula1>AnchorType</formula1>
    </dataValidation>
    <dataValidation type="list" allowBlank="1" showInputMessage="1" showErrorMessage="1" sqref="D32">
      <formula1>InstallType</formula1>
    </dataValidation>
    <dataValidation type="list" allowBlank="1" showInputMessage="1" showErrorMessage="1" sqref="E35 G68 K27">
      <formula1>YN</formula1>
    </dataValidation>
    <dataValidation type="list" allowBlank="1" showInputMessage="1" showErrorMessage="1" sqref="G65:H65">
      <formula1>ConcreteCond</formula1>
    </dataValidation>
    <dataValidation type="list" allowBlank="1" showInputMessage="1" showErrorMessage="1" sqref="E37">
      <formula1>AnchorCat</formula1>
    </dataValidation>
    <dataValidation type="list" allowBlank="1" showInputMessage="1" showErrorMessage="1" sqref="D33:E33">
      <formula1>AnchorDir</formula1>
    </dataValidation>
  </dataValidations>
  <pageMargins left="0.25" right="0.25" top="0.75" bottom="0.75" header="0.3" footer="0.3"/>
  <pageSetup orientation="portrait" r:id="rId1"/>
  <headerFooter>
    <oddFooter xml:space="preserve">&amp;R&amp;"Calibri,Italic"&amp;5 &amp;K00-0142016 ARGouveia (C) &amp;"Calibri,Regular"&amp;11&amp;K01+000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Anchorage</vt:lpstr>
      <vt:lpstr>Sheet2</vt:lpstr>
      <vt:lpstr>AnchorCat</vt:lpstr>
      <vt:lpstr>AnchorDir</vt:lpstr>
      <vt:lpstr>AnchorType</vt:lpstr>
      <vt:lpstr>ConcreteCond</vt:lpstr>
      <vt:lpstr>Condition</vt:lpstr>
      <vt:lpstr>InstallType</vt:lpstr>
      <vt:lpstr>Anchorage!Print_Area</vt:lpstr>
      <vt:lpstr>SeismicCat</vt:lpstr>
      <vt:lpstr>YN</vt:lpstr>
    </vt:vector>
  </TitlesOfParts>
  <Company>STV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R. Gouveia</dc:creator>
  <cp:lastModifiedBy>Ana R. Gouveia</cp:lastModifiedBy>
  <cp:lastPrinted>2016-08-08T15:34:42Z</cp:lastPrinted>
  <dcterms:created xsi:type="dcterms:W3CDTF">2016-08-05T20:39:22Z</dcterms:created>
  <dcterms:modified xsi:type="dcterms:W3CDTF">2016-08-18T14:47:02Z</dcterms:modified>
</cp:coreProperties>
</file>