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sti\Downloads\AR4-MK3-kinematic-model-standard-DH.xlsm (2)\"/>
    </mc:Choice>
  </mc:AlternateContent>
  <xr:revisionPtr revIDLastSave="0" documentId="13_ncr:1_{FFB53459-8940-406B-A430-9B7DFB8BC7A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8" i="1" l="1"/>
  <c r="Q40" i="1"/>
  <c r="N14" i="1"/>
  <c r="Q22" i="1" l="1"/>
  <c r="Q21" i="1"/>
  <c r="Q20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B16" i="1" s="1"/>
  <c r="E33" i="1"/>
  <c r="E28" i="1"/>
  <c r="Y16" i="1" l="1"/>
  <c r="C26" i="2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F7" i="1"/>
  <c r="E7" i="1" s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 l="1"/>
  <c r="T21" i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l="1" a="1"/>
  <c r="AD24" i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<sst xmlns="http://schemas.openxmlformats.org/spreadsheetml/2006/main" count="109" uniqueCount="75">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</sst>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topLeftCell="A10" zoomScale="75" zoomScaleNormal="75" workbookViewId="0">
      <selection activeCell="I35" sqref="I35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263.68300000000005</v>
      </c>
      <c r="G4" s="71"/>
      <c r="H4" s="71"/>
      <c r="I4" s="71"/>
      <c r="J4" s="71"/>
      <c r="M4" s="9"/>
      <c r="N4" s="12" t="s">
        <v>17</v>
      </c>
      <c r="O4" s="13">
        <v>286.83000000000004</v>
      </c>
      <c r="P4" s="12" t="s">
        <v>3</v>
      </c>
      <c r="Q4" s="11">
        <f>O52</f>
        <v>-7.3529189296393689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40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4.8513007431163686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433.77</v>
      </c>
      <c r="G6" s="9"/>
      <c r="H6" s="9"/>
      <c r="M6" s="12"/>
      <c r="N6" s="12" t="s">
        <v>19</v>
      </c>
      <c r="O6" s="13">
        <v>438.52</v>
      </c>
      <c r="P6" s="12" t="s">
        <v>5</v>
      </c>
      <c r="Q6" s="11">
        <f>T25</f>
        <v>-6.3551308042667358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180</v>
      </c>
      <c r="F7" s="8">
        <f>ATAN2(G54/COS(F8),G55/COS(F8))</f>
        <v>3.1415926535897931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4.4440792749482787E-15</v>
      </c>
      <c r="Y7" s="9"/>
      <c r="Z7" s="9"/>
      <c r="AA7" s="9"/>
      <c r="AB7" s="9"/>
    </row>
    <row r="8" spans="1:34" x14ac:dyDescent="0.3">
      <c r="A8" s="9" t="s">
        <v>61</v>
      </c>
      <c r="B8" s="11">
        <v>90</v>
      </c>
      <c r="C8" s="9">
        <f t="shared" ref="C8" si="0">RADIANS(B8)</f>
        <v>1.5707963267948966</v>
      </c>
      <c r="D8" s="12" t="s">
        <v>49</v>
      </c>
      <c r="E8" s="13">
        <f t="shared" ref="E8:E9" si="1">DEGREES(F8)</f>
        <v>7.0195835743237771E-15</v>
      </c>
      <c r="F8" s="8">
        <f>ATAN2((H56^2+I56^2)^0.5,-G56)</f>
        <v>1.22514845490862E-16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91.503830061150367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180</v>
      </c>
      <c r="F9" s="8">
        <f>ATAN2(I56/COS(F8),H56/COS(F8))</f>
        <v>3.1415926535897931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-7.3529189296393591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23.146999999999998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40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286.83000000000004</v>
      </c>
      <c r="S14" s="29">
        <f>(Q44*COS(RADIANS(-Q4)))-(Q45*SIN(RADIANS(-Q4)))</f>
        <v>312.54718128468221</v>
      </c>
      <c r="T14" s="29">
        <f>(Q45*COS(RADIANS(-Q4)))+(Q44*SIN(RADIANS(-Q4)))</f>
        <v>0</v>
      </c>
      <c r="X14" s="29">
        <f>COS(RADIANS(Q4))</f>
        <v>0.99177666144958398</v>
      </c>
      <c r="Y14" s="29">
        <f>-SIN(RADIANS(Q4))*COS(C13)</f>
        <v>7.8397664626045625E-18</v>
      </c>
      <c r="Z14" s="29">
        <f>SIN(RADIANS(Q4))*SIN(C13)</f>
        <v>0.12798067746311292</v>
      </c>
      <c r="AA14" s="29">
        <f>E13*COS(RADIANS(Q4))</f>
        <v>63.672061665063296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-0.12798067746311292</v>
      </c>
      <c r="Y15" s="29">
        <f>COS(RADIANS(Q4))*COS(C13)</f>
        <v>6.0753682219469368E-17</v>
      </c>
      <c r="Z15" s="29">
        <f>-COS(RADIANS(Q4))*SIN(C13)</f>
        <v>0.99177666144958398</v>
      </c>
      <c r="AA15" s="29">
        <f>E13*SIN(RADIANS(Q4))</f>
        <v>-8.2163594931318507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438.52</v>
      </c>
      <c r="S16" s="30" t="s">
        <v>51</v>
      </c>
      <c r="T16" s="29">
        <f>ABS(S14-E13)</f>
        <v>248.34718128468222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8.3874588329751004E-2</v>
      </c>
      <c r="AD16" s="60">
        <v>0.98822365870717621</v>
      </c>
      <c r="AE16" s="60">
        <v>0.12798067746311292</v>
      </c>
      <c r="AF16" s="60">
        <v>89.253811105637354</v>
      </c>
      <c r="AG16" s="9"/>
      <c r="AH16" s="9"/>
    </row>
    <row r="17" spans="1:34" x14ac:dyDescent="0.3">
      <c r="A17" s="24">
        <v>5</v>
      </c>
      <c r="B17" s="25">
        <f>C8</f>
        <v>1.5707963267948966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397.01559786996631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-1.0823330547718247E-2</v>
      </c>
      <c r="AD17" s="60">
        <v>-0.12752219147964863</v>
      </c>
      <c r="AE17" s="60">
        <v>0.99177666144958398</v>
      </c>
      <c r="AF17" s="60">
        <v>-11.517475310185915</v>
      </c>
      <c r="AG17" s="9"/>
      <c r="AH17" s="9"/>
    </row>
    <row r="18" spans="1:34" ht="15" thickBot="1" x14ac:dyDescent="0.35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0.99641753745524253</v>
      </c>
      <c r="AD18" s="60">
        <v>-8.4570036370042873E-2</v>
      </c>
      <c r="AE18" s="60">
        <v>6.1257422745431001E-17</v>
      </c>
      <c r="AF18" s="60">
        <v>473.67734892384897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309.75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23.146999999999998</v>
      </c>
      <c r="S20" s="30" t="s">
        <v>30</v>
      </c>
      <c r="T20" s="29">
        <f>DEGREES(ATAN(T16/T19))</f>
        <v>38.721471226741045</v>
      </c>
      <c r="X20" s="29">
        <f>COS(RADIANS(Q5-90))</f>
        <v>8.4570036370042873E-2</v>
      </c>
      <c r="Y20" s="29">
        <f>-SIN(RADIANS(Q5-90))*COS(C14)</f>
        <v>0.99641753745524253</v>
      </c>
      <c r="Z20" s="29">
        <f>SIN(RADIANS(Q5-90))*SIN(C14)</f>
        <v>0</v>
      </c>
      <c r="AA20" s="29">
        <f>E14*COS(RADIANS(Q5-90))</f>
        <v>25.793861092863075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40</v>
      </c>
      <c r="S21" s="30" t="s">
        <v>32</v>
      </c>
      <c r="T21" s="29">
        <f>DEGREES(ACOS((E14^2+T17^2-T18^2)/(2*E14*T17)))</f>
        <v>33.870170483624676</v>
      </c>
      <c r="X21" s="29">
        <f>SIN(RADIANS(Q5-90))</f>
        <v>-0.99641753745524253</v>
      </c>
      <c r="Y21" s="29">
        <f>COS(RADIANS(Q5-90))*COS(C14)</f>
        <v>8.4570036370042873E-2</v>
      </c>
      <c r="Z21" s="29">
        <f>-COS(RADIANS(Q5-90))*SIN(C14)</f>
        <v>0</v>
      </c>
      <c r="AA21" s="29">
        <f>E14*SIN(RADIANS(Q5-90))</f>
        <v>-303.90734892384899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96.355130804266736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2.6027961093832389E-2</v>
      </c>
      <c r="AD23" s="61">
        <v>0.12798067746311287</v>
      </c>
      <c r="AE23" s="61">
        <v>0.99143506667727899</v>
      </c>
      <c r="AF23" s="61">
        <v>89.253811105637354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4.8513007431163686</v>
      </c>
      <c r="AB24" s="9"/>
      <c r="AC24" s="60">
        <v>-3.3586957863108464E-3</v>
      </c>
      <c r="AD24" s="61">
        <v>0.99177666144958398</v>
      </c>
      <c r="AE24" s="60">
        <v>-0.12793659744784658</v>
      </c>
      <c r="AF24" s="60">
        <v>-11.517475310185915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-6.3551308042667358</v>
      </c>
      <c r="X25" s="8" t="s">
        <v>5</v>
      </c>
      <c r="AB25" s="9"/>
      <c r="AC25" s="60">
        <v>-0.9996555728869384</v>
      </c>
      <c r="AD25" s="61">
        <v>5.9649796877731978E-17</v>
      </c>
      <c r="AE25" s="61">
        <v>2.6243772520105318E-2</v>
      </c>
      <c r="AF25" s="61">
        <v>473.67734892384897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-23.146999999999998</v>
      </c>
      <c r="X26" s="29">
        <f>COS(RADIANS(Q6+180))</f>
        <v>-0.99385490744290039</v>
      </c>
      <c r="Y26" s="29">
        <f>-SIN(RADIANS(Q6+180))*COS(C15)</f>
        <v>-6.7806247584713244E-18</v>
      </c>
      <c r="Z26" s="29">
        <f>SIN(RADIANS(Q6+180))*SIN(C15)</f>
        <v>0.11069066334458333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-40</v>
      </c>
      <c r="X27" s="29">
        <f>SIN(RADIANS(Q6+180))</f>
        <v>0.11069066334458333</v>
      </c>
      <c r="Y27" s="29">
        <f>COS(RADIANS(Q6+180))*COS(C15)</f>
        <v>-6.0880990212850952E-17</v>
      </c>
      <c r="Z27" s="29">
        <f>-COS(RADIANS(Q6+180))*SIN(C15)</f>
        <v>0.99385490744290039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2.6027961093832389E-2</v>
      </c>
      <c r="AD29" s="38">
        <f>AC24</f>
        <v>-3.3586957863108464E-3</v>
      </c>
      <c r="AE29" s="29">
        <f>AC25</f>
        <v>-0.9996555728869384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0.12798067746311287</v>
      </c>
      <c r="AD30" s="38">
        <f>AD24</f>
        <v>0.99177666144958398</v>
      </c>
      <c r="AE30" s="34">
        <f>AD25</f>
        <v>5.9649796877731978E-17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0.99143506667727899</v>
      </c>
      <c r="AD31" s="38">
        <f>AE24</f>
        <v>-0.12793659744784658</v>
      </c>
      <c r="AE31" s="34">
        <f>AE25</f>
        <v>2.6243772520105318E-2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309.97700000000003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-40</v>
      </c>
      <c r="X33" s="63">
        <f t="array" ref="X33:Z35">MMULT(AC29:AE31,N32:P34)</f>
        <v>-2.6027961093832267E-2</v>
      </c>
      <c r="Y33" s="64">
        <v>-3.3586957863109656E-3</v>
      </c>
      <c r="Z33" s="65">
        <v>0.9996555728869384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438.52</v>
      </c>
      <c r="X34" s="66">
        <v>-0.12798067746311276</v>
      </c>
      <c r="Y34" s="29">
        <v>0.99177666144958398</v>
      </c>
      <c r="Z34" s="67">
        <v>7.7537100486415853E-17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-0.99143506667727899</v>
      </c>
      <c r="Y35" s="69">
        <v>-0.12793659744784647</v>
      </c>
      <c r="Z35" s="70">
        <v>-2.6243772520105214E-2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-1</v>
      </c>
      <c r="H42" s="29">
        <v>-7.5049436828248946E-33</v>
      </c>
      <c r="I42" s="40">
        <v>1.22514845490862E-16</v>
      </c>
      <c r="J42" s="41">
        <v>286.83000000000004</v>
      </c>
    </row>
    <row r="43" spans="2:34" ht="15" thickBot="1" x14ac:dyDescent="0.35">
      <c r="G43" s="29">
        <v>3.7524718414124473E-33</v>
      </c>
      <c r="H43" s="29">
        <v>1</v>
      </c>
      <c r="I43" s="40">
        <v>1.22514845490862E-16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-1.22514845490862E-16</v>
      </c>
      <c r="H44" s="29">
        <v>1.22514845490862E-16</v>
      </c>
      <c r="I44" s="40">
        <v>-1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309.97700000000003</v>
      </c>
      <c r="AB44" s="9"/>
    </row>
    <row r="45" spans="2:34" x14ac:dyDescent="0.3">
      <c r="B45" s="29">
        <f>COS(B17)</f>
        <v>6.1257422745431001E-17</v>
      </c>
      <c r="C45" s="29">
        <f>-SIN(B17)*COS(C17)</f>
        <v>-6.1257422745431001E-17</v>
      </c>
      <c r="D45" s="29">
        <f>SIN(B17)*SIN(C17)</f>
        <v>1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-40.000000000000007</v>
      </c>
      <c r="AB45" s="9"/>
    </row>
    <row r="46" spans="2:34" ht="15" thickBot="1" x14ac:dyDescent="0.35">
      <c r="B46" s="29">
        <f>SIN(B17)</f>
        <v>1</v>
      </c>
      <c r="C46" s="29">
        <f>COS(B17)*COS(C17)</f>
        <v>3.7524718414124473E-33</v>
      </c>
      <c r="D46" s="29">
        <f>-COS(B17)*SIN(C17)</f>
        <v>-6.1257422745431001E-17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479.52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-1</v>
      </c>
      <c r="H48" s="29">
        <v>-7.5049436828248946E-33</v>
      </c>
      <c r="I48" s="29">
        <v>1.22514845490862E-16</v>
      </c>
      <c r="J48" s="29">
        <v>286.83000000000004</v>
      </c>
      <c r="AB48" s="9"/>
    </row>
    <row r="49" spans="2:33" x14ac:dyDescent="0.3">
      <c r="G49" s="29">
        <v>3.7524718414124473E-33</v>
      </c>
      <c r="H49" s="29">
        <v>1</v>
      </c>
      <c r="I49" s="29">
        <v>1.22514845490862E-16</v>
      </c>
      <c r="J49" s="29">
        <v>-2.2665246415809786E-17</v>
      </c>
      <c r="N49" s="29" t="s">
        <v>39</v>
      </c>
      <c r="O49" s="25" t="str">
        <f>IF(B8&gt;0,"F","N")</f>
        <v>F</v>
      </c>
    </row>
    <row r="50" spans="2:33" x14ac:dyDescent="0.3">
      <c r="B50" s="8" t="s">
        <v>8</v>
      </c>
      <c r="G50" s="29">
        <v>-1.22514845490862E-16</v>
      </c>
      <c r="H50" s="29">
        <v>1.22514845490862E-16</v>
      </c>
      <c r="I50" s="29">
        <v>-1</v>
      </c>
      <c r="J50" s="29">
        <v>433.77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-7.3529189296393689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-1</v>
      </c>
      <c r="H54" s="29">
        <v>-7.5049436828248946E-33</v>
      </c>
      <c r="I54" s="29">
        <v>1.22514845490862E-16</v>
      </c>
      <c r="J54" s="29">
        <v>263.68300000000005</v>
      </c>
    </row>
    <row r="55" spans="2:33" x14ac:dyDescent="0.3">
      <c r="G55" s="29">
        <v>3.7524718414124473E-33</v>
      </c>
      <c r="H55" s="29">
        <v>1</v>
      </c>
      <c r="I55" s="29">
        <v>1.22514845490862E-16</v>
      </c>
      <c r="J55" s="29">
        <v>40</v>
      </c>
    </row>
    <row r="56" spans="2:33" x14ac:dyDescent="0.3">
      <c r="B56" s="8" t="s">
        <v>16</v>
      </c>
      <c r="G56" s="29">
        <v>-1.22514845490862E-16</v>
      </c>
      <c r="H56" s="29">
        <v>1.22514845490862E-16</v>
      </c>
      <c r="I56" s="29">
        <v>-1</v>
      </c>
      <c r="J56" s="29">
        <v>433.77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23.146999999999998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40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Justin Fauson</cp:lastModifiedBy>
  <dcterms:created xsi:type="dcterms:W3CDTF">2016-12-01T18:45:41Z</dcterms:created>
  <dcterms:modified xsi:type="dcterms:W3CDTF">2026-04-03T19:05:15Z</dcterms:modified>
</cp:coreProperties>
</file>