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E\NextCloud_Stef\Data\_Energie_Cafe\Warmtepomp\"/>
    </mc:Choice>
  </mc:AlternateContent>
  <xr:revisionPtr revIDLastSave="0" documentId="8_{EA79D9CA-C3D8-476E-9405-7C2EFF999102}" xr6:coauthVersionLast="47" xr6:coauthVersionMax="47" xr10:uidLastSave="{00000000-0000-0000-0000-000000000000}"/>
  <workbookProtection workbookAlgorithmName="SHA-512" workbookHashValue="MS3eNOEE8HxZzas7m9AJpIdXEX0zSsydi3ujE+alp2wnq2oCulu9C61WTn7rB6FfexnOMIx3dH4Qw2mYFwS5BA==" workbookSaltValue="2gxp6rUyZ6uvihyADHZ//w==" workbookSpinCount="100000" lockStructure="1"/>
  <bookViews>
    <workbookView xWindow="-120" yWindow="-120" windowWidth="38640" windowHeight="21120" tabRatio="713" xr2:uid="{00000000-000D-0000-FFFF-FFFF00000000}"/>
  </bookViews>
  <sheets>
    <sheet name="Basis" sheetId="17" r:id="rId1"/>
    <sheet name="Tabellen" sheetId="28" r:id="rId2"/>
    <sheet name="Details" sheetId="20" r:id="rId3"/>
    <sheet name="Rapport" sheetId="14" r:id="rId4"/>
    <sheet name="Truucs" sheetId="29" state="hidden" r:id="rId5"/>
    <sheet name="Rm" sheetId="10" r:id="rId6"/>
    <sheet name="Ventilatie" sheetId="26" r:id="rId7"/>
    <sheet name="Versie" sheetId="21" r:id="rId8"/>
    <sheet name="_Text" sheetId="13" state="hidden" r:id="rId9"/>
    <sheet name="S_Calc" sheetId="19" state="hidden" r:id="rId10"/>
    <sheet name="Constants" sheetId="9" state="hidden" r:id="rId11"/>
    <sheet name="BAG" sheetId="22" state="hidden" r:id="rId12"/>
  </sheets>
  <definedNames>
    <definedName name="_xlnm._FilterDatabase" localSheetId="11" hidden="1">BAG!$A$1:$O$4259</definedName>
    <definedName name="Aangepakt_Dak">Basis!$G$14</definedName>
    <definedName name="Aangepakt_Glas">Basis!$G$15</definedName>
    <definedName name="Aangepakt_Kieren">Basis!$G$16</definedName>
    <definedName name="Aangepakt_Muur">Basis!$G$13</definedName>
    <definedName name="Aangepakt_Vloer">Basis!$G$12</definedName>
    <definedName name="Aanwezigheid">Details!$D$24</definedName>
    <definedName name="Adres">Basis!$G$1</definedName>
    <definedName name="AdresTabel">BAG!$A:$A</definedName>
    <definedName name="Afw_Dak">_Text!$B$17</definedName>
    <definedName name="Afw_Glas_0">_Text!$B$25</definedName>
    <definedName name="Afw_Glas_1">_Text!$E$25</definedName>
    <definedName name="Afw_Muren">_Text!#REF!</definedName>
    <definedName name="Afw_Muur">_Text!$B$33</definedName>
    <definedName name="Afw_Vloer">_Text!$B$38</definedName>
    <definedName name="Afwijking_Gasverbruik">_Text!$B$13</definedName>
    <definedName name="Apparatuur_Productie">Details!$D$25</definedName>
    <definedName name="Besparing">Basis!$P$33</definedName>
    <definedName name="Besparing_Dak">Basis!$P$23</definedName>
    <definedName name="Besparing_Element">S_Calc!$H$3</definedName>
    <definedName name="Besparing_Element_Name">S_Calc!$H$4</definedName>
    <definedName name="Besparing_Glas">Basis!$P$24</definedName>
    <definedName name="Besparing_Muren">Basis!$P$26</definedName>
    <definedName name="Besparing_Vloer">Basis!$P$27</definedName>
    <definedName name="Besparings_Tabel">S_Calc!$D$3:$E$6</definedName>
    <definedName name="Bomen_kWh">Details!$H$14</definedName>
    <definedName name="Bomen_m3">Details!$H$15</definedName>
    <definedName name="Bouwjaar">Details!$D$7</definedName>
    <definedName name="Bouwjaar_BAG">Details!$B$7</definedName>
    <definedName name="Breedte">Details!$D$36</definedName>
    <definedName name="CO2_kWh">Details!$H$13</definedName>
    <definedName name="CO2_m3">Details!$H$12</definedName>
    <definedName name="Correctie_Bouwjaar">Details!$B$11</definedName>
    <definedName name="Correctie_Kruipruimte">Details!$B$56</definedName>
    <definedName name="Correctie_Vloerverwarming">Details!$D$56</definedName>
    <definedName name="Dak_Detail">Details!$D$126</definedName>
    <definedName name="Dak_Opp">Details!$C$129</definedName>
    <definedName name="Dak_Rc">Details!$D$130</definedName>
    <definedName name="Dak_Rc_b">Details!$G$130</definedName>
    <definedName name="Dak_Verbruik">S_Calc!$C$49</definedName>
    <definedName name="Dak_Verbruik_b">S_Calc!$S$49</definedName>
    <definedName name="Dak_Years">#REF!</definedName>
    <definedName name="Diepte">Details!$D$37</definedName>
    <definedName name="Energie_m2">Basis!$L$38</definedName>
    <definedName name="Energie_m2_b">Basis!$N$38</definedName>
    <definedName name="Energiecoach">Basis!$G$3</definedName>
    <definedName name="EnergieLabel_T">Constants!$B$28:$C$38</definedName>
    <definedName name="GD">Details!$B$12</definedName>
    <definedName name="GG">#REF!</definedName>
    <definedName name="Glas_Beste_Ug">Details!$B$16</definedName>
    <definedName name="Glas_Boven_Opp">Details!$G$89</definedName>
    <definedName name="Glas_Boven_Utot">Details!$J$89</definedName>
    <definedName name="Glas_Boven_Utot_b">Details!$T$89</definedName>
    <definedName name="Glas_Boven_Verbruik">S_Calc!$C$48</definedName>
    <definedName name="Glas_Boven_Verbruik_b">S_Calc!$S$48</definedName>
    <definedName name="Glas_Detail">Details!$J$63</definedName>
    <definedName name="Glas_Instraal">Constants!$G$59</definedName>
    <definedName name="Glas_m2">Details!$G$90</definedName>
    <definedName name="Glas_Maat">Basis!$G$6</definedName>
    <definedName name="Glas_Maat_L">Constants!$F$52:$F$54</definedName>
    <definedName name="Glas_Maat_T">Constants!$F$52:$G$54</definedName>
    <definedName name="Glas_Nu_Ug">Details!$B$61</definedName>
    <definedName name="Glas_Onder_Opp">Details!$G$88</definedName>
    <definedName name="Glas_Onder_Utot">Details!$J$88</definedName>
    <definedName name="Glas_Onder_Utot_b">Details!$T$88</definedName>
    <definedName name="Glas_Soort">#REF!</definedName>
    <definedName name="Glas_Vebruik_b">Details!$R$90</definedName>
    <definedName name="Glas_Verbruik">Details!$H$90</definedName>
    <definedName name="Glas_Verbruik_0">Details!$H$88</definedName>
    <definedName name="Glas_Verbruik_0_b">Details!$R$88</definedName>
    <definedName name="Glas_Verbruik_1">Details!$H$89</definedName>
    <definedName name="Glas_Verbruik_1_b">Details!$R$89</definedName>
    <definedName name="Glas_Verbruik_b">Details!$R$90</definedName>
    <definedName name="Glas_ZonIn">Details!$I$90</definedName>
    <definedName name="Glas_ZonIn_0">Details!$I$88</definedName>
    <definedName name="Glas_ZonIn_0_b">Details!$S$88</definedName>
    <definedName name="Glas_ZonIn_1">Details!$I$89</definedName>
    <definedName name="Glas_ZonIn_1_b">Details!$S$89</definedName>
    <definedName name="Glas_ZonIn_b">Details!$S$90</definedName>
    <definedName name="Graadje_Lager">Basis!$L$43</definedName>
    <definedName name="Graadje_Lager_b">Basis!$N$43</definedName>
    <definedName name="Huidig_Gasverbruik">Basis!$G$18</definedName>
    <definedName name="Interne_Warmtelast">Details!$E$23</definedName>
    <definedName name="JaNee_L">Constants!$F$16:$F$17</definedName>
    <definedName name="JaNee_T">Constants!$F$16:$G$17</definedName>
    <definedName name="JaNee2_L">Constants!$I$16:$I$18</definedName>
    <definedName name="JaNee2_T">Constants!$I$16:$J$18</definedName>
    <definedName name="Ketel_Rendement">Details!$B$13</definedName>
    <definedName name="Kieren_Detail">Details!$B$141</definedName>
    <definedName name="Kieren_Verbruik">Details!$E$142</definedName>
    <definedName name="Kieren_Verbruik_b">Details!$H$142</definedName>
    <definedName name="Kompas">Constants!$B$52:$B$59</definedName>
    <definedName name="Kompas_1">Details!$A$74</definedName>
    <definedName name="Kompas_t">Constants!$C$52:$D$59</definedName>
    <definedName name="Kompas2">Constants!$B$52:$B$67</definedName>
    <definedName name="kWh_m3">Details!$B$14</definedName>
    <definedName name="m3_gas_hout">Details!$H$19</definedName>
    <definedName name="Muur_Boven_Opp">Details!$B$101</definedName>
    <definedName name="Muur_Boven_Rc">Details!$D$111</definedName>
    <definedName name="Muur_Boven_Rc_b">Details!$G$111</definedName>
    <definedName name="Muur_Boven_Utot">S_Calc!$I$20</definedName>
    <definedName name="Muur_Boven_Verbruik">S_Calc!$C$47</definedName>
    <definedName name="Muur_Boven_Verbruik_b">S_Calc!$S$47</definedName>
    <definedName name="Muur_Detail">Details!$D$107</definedName>
    <definedName name="Muur_Onder_Opp">Details!$B$100</definedName>
    <definedName name="Muur_Onder_Rc">Details!$D$110</definedName>
    <definedName name="Muur_Onder_Rc_b">Details!$G$110</definedName>
    <definedName name="Muur_Verbruik">Details!$E$112</definedName>
    <definedName name="Muur_Verbruik_b">Details!$H$112</definedName>
    <definedName name="Muur_Years">#REF!</definedName>
    <definedName name="Muur_Zolder_Opp">Details!$B$102</definedName>
    <definedName name="Muur_Zolder_Rc">Details!$D$112</definedName>
    <definedName name="Muur_Zolder_Rc_b">Details!$G$112</definedName>
    <definedName name="Muur_Zolder_Verbruik">S_Calc!$C$50</definedName>
    <definedName name="Muur_Zolder_Verbruik_b">S_Calc!$S$50</definedName>
    <definedName name="My_Path">Truucs!$B$50</definedName>
    <definedName name="Opp">Details!$D$8</definedName>
    <definedName name="Opp_BAG">Details!$B$8</definedName>
    <definedName name="Personen">Basis!$G$4</definedName>
    <definedName name="Plafond_Rc">Details!$D$40</definedName>
    <definedName name="PostCode">Details!$B$5</definedName>
    <definedName name="Prijs_kWh">Details!$H$17</definedName>
    <definedName name="Prijs_m3">Details!$H$16</definedName>
    <definedName name="QV10_Corr">Constants!$B$132:$C$138</definedName>
    <definedName name="Radiator_Type">#REF!</definedName>
    <definedName name="Rapport_Muren">_Text!$C$33</definedName>
    <definedName name="Rapport_Vloer">_Text!$C$38</definedName>
    <definedName name="Rc_Bouwbesluit">Constants!$B$4:$G$12</definedName>
    <definedName name="Rc_Years">#REF!</definedName>
    <definedName name="Rsi_Orient">#REF!</definedName>
    <definedName name="Rsie_L">Constants!$B$22:$B$24</definedName>
    <definedName name="Rsie_T">Constants!$B$22:$E$24</definedName>
    <definedName name="T_Boven">S_Calc!$F$19</definedName>
    <definedName name="T_Boven_b">S_Calc!$V$19</definedName>
    <definedName name="T_Boven_x">S_Calc!$F$18</definedName>
    <definedName name="T_Boven_x_b">S_Calc!$V$18</definedName>
    <definedName name="T_Glas_Boven">Basis!$AB$5</definedName>
    <definedName name="T_Glas_Boven_b">Basis!$AB$26</definedName>
    <definedName name="T_Glas_Onder">Basis!$AB$12</definedName>
    <definedName name="T_GLas_Onder_b">Basis!$AB$33</definedName>
    <definedName name="T_Vloer">Basis!$Z$17</definedName>
    <definedName name="T_Vloer_b">Basis!$Z$39</definedName>
    <definedName name="T_Zolder">S_Calc!$J$24</definedName>
    <definedName name="T_Zolder_b">S_Calc!$Z$24</definedName>
    <definedName name="T_Zolder_x">S_Calc!$J$23</definedName>
    <definedName name="T_Zolder_x_b">S_Calc!$Z$23</definedName>
    <definedName name="T_Zolder_x_b_lager">S_Calc!$Z$67</definedName>
    <definedName name="T_Zolder_x_lager">S_Calc!$J$67</definedName>
    <definedName name="Tapwater_Detail">Details!$E$26</definedName>
    <definedName name="Tbinnen">Details!$D$29</definedName>
    <definedName name="Tboven_set">Details!$D$30</definedName>
    <definedName name="Tbuiten">Details!$D$32</definedName>
    <definedName name="test22">Basis!$Y$22:$AC$41</definedName>
    <definedName name="Text_Dak">_Text!$C$18:$C$23</definedName>
    <definedName name="Text_Gasverbruik">_Text!$C$13:$C$15</definedName>
    <definedName name="Text_Glas_0">_Text!$C$26:$C$28</definedName>
    <definedName name="Text_Glas_1">_Text!$C$29:$C$31</definedName>
    <definedName name="Text_Muren">_Text!$C$34:$C$36</definedName>
    <definedName name="Text_Opm_Dak">Basis!$R$23</definedName>
    <definedName name="Text_Opm_Gas">Basis!$R$34</definedName>
    <definedName name="Text_Opm_Glas">Basis!$R$25</definedName>
    <definedName name="Text_Opm_Intern">Basis!$R$31</definedName>
    <definedName name="Text_Opm_Kieren">Basis!$R$28</definedName>
    <definedName name="Text_Opm_Muren">Basis!$R$26</definedName>
    <definedName name="Text_Opm_Tapwater">Basis!$R$30</definedName>
    <definedName name="Text_Opm_Totaal">Basis!$R$33</definedName>
    <definedName name="Text_Opm_Ventilatie">Basis!$R$29</definedName>
    <definedName name="Text_Opm_Vloer">Basis!$R$27</definedName>
    <definedName name="Text_Sel_1">Rapport!$C$16:$C$29</definedName>
    <definedName name="Text_Vloer">_Text!$C$39:$C$41</definedName>
    <definedName name="Totaal_Verbruik">Basis!$L$33</definedName>
    <definedName name="Totaal_Verbruik_b">Basis!$N$33</definedName>
    <definedName name="Truc_Range">Truucs!$C$44:$C$47</definedName>
    <definedName name="Tzolder_set">Details!$D$31</definedName>
    <definedName name="V_m2_Rc">Details!$L$12</definedName>
    <definedName name="V_m2_Rc_lager">Details!$L$15</definedName>
    <definedName name="Ventilatie_Detail">Details!$B$137</definedName>
    <definedName name="Ventilatie_List">Constants!$B$141:$B$144</definedName>
    <definedName name="Ventilatie_Tabel">Constants!$B$141:$C$144</definedName>
    <definedName name="Ventilatie_Verbruik">Details!$E$138</definedName>
    <definedName name="Ventilatie_Verbruik_b">Details!$H$138</definedName>
    <definedName name="VentilatieSysteem">Basis!$G$9</definedName>
    <definedName name="Verbruik_Gevel">S_Calc!$C$52</definedName>
    <definedName name="Verbruik_Gevel_1">S_Calc!$C$91</definedName>
    <definedName name="Verbruik_Gevel_1_b">S_Calc!$S$91</definedName>
    <definedName name="Verbruik_Gevel_b">S_Calc!$S$52</definedName>
    <definedName name="Vermogen_Verbruik">S_Calc!$E$42</definedName>
    <definedName name="Vermogen_Verbruik_lager">S_Calc!$E$81</definedName>
    <definedName name="Versie">Basis!$W$1</definedName>
    <definedName name="Verwarming_1">Basis!$G$10</definedName>
    <definedName name="Vloer_Detail">Details!$A$53</definedName>
    <definedName name="Vloer_Opp">Details!$B$46</definedName>
    <definedName name="Vloer_Rc">Details!$E$56</definedName>
    <definedName name="Vloer_Rc_b">Details!$H$56</definedName>
    <definedName name="Vloer_Verbruik">Details!$F$56</definedName>
    <definedName name="Vloer_Verbruik_b">Details!$I$56</definedName>
    <definedName name="Vloer_Years">#REF!</definedName>
    <definedName name="Vloerverwarming">Basis!$G$8</definedName>
    <definedName name="Warmtepomp_beta">Details!$B$18</definedName>
    <definedName name="Warmtepomp_beta_hybrid">Details!$B$19</definedName>
    <definedName name="Warmtepomp_kW">Basis!$L$39</definedName>
    <definedName name="Warmtepomp_kW_b">Basis!$N$39</definedName>
    <definedName name="Warmtepomp_kWh">Basis!$L$40</definedName>
    <definedName name="Warmtepomp_kWh_b">Basis!$N$40</definedName>
    <definedName name="Warmtepomp_m3">Details!$B$17</definedName>
    <definedName name="Warmtepomp_SCOP">Details!$B$20</definedName>
    <definedName name="Warmtepomp_Zon">Basis!$L$41</definedName>
    <definedName name="Warmtepomp_Zon_b">Basis!$N$41</definedName>
    <definedName name="WarmteProductie_pp">Details!$D$23</definedName>
    <definedName name="WarmWater_Gebruik">Basis!$G$11</definedName>
    <definedName name="WarmWater_L">Constants!$B$149:$B$151</definedName>
    <definedName name="WarmWater_T">Constants!$B$149:$C$151</definedName>
    <definedName name="WarmWater_Verbruik">Details!$D$26</definedName>
    <definedName name="WarmWater_Verbruik_b">Basis!$N$30</definedName>
    <definedName name="WoningType" localSheetId="4">#REF!</definedName>
    <definedName name="WoningType">Basis!$G$5</definedName>
    <definedName name="WoningType_L">Constants!$B$16:$B$18</definedName>
    <definedName name="WoningType_T">Constants!$B$16:$C$18</definedName>
    <definedName name="WoningType_W">Constants!$C$16:$C$18</definedName>
    <definedName name="Woonplaats">Details!$B$6</definedName>
    <definedName name="WT" localSheetId="4">#REF!</definedName>
    <definedName name="WT">Details!$G$5</definedName>
    <definedName name="WTV_3">#REF!</definedName>
    <definedName name="Zoldervloer_Rc">Details!$D$41</definedName>
    <definedName name="Zon_in">Constants!$K$56:$R$56</definedName>
    <definedName name="Zonnepaneel_Opbrengst">Details!$H$18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20" l="1"/>
  <c r="B26" i="20"/>
  <c r="D26" i="20" s="1"/>
  <c r="L30" i="17" s="1"/>
  <c r="P32" i="17"/>
  <c r="B9" i="20"/>
  <c r="D9" i="20" s="1"/>
  <c r="A116" i="14"/>
  <c r="A101" i="14"/>
  <c r="A99" i="14"/>
  <c r="A84" i="14"/>
  <c r="A148" i="14"/>
  <c r="A78" i="14"/>
  <c r="A87" i="14"/>
  <c r="A82" i="14"/>
  <c r="A96" i="14"/>
  <c r="A92" i="14"/>
  <c r="A73" i="14"/>
  <c r="A69" i="14"/>
  <c r="A10" i="14"/>
  <c r="A107" i="14"/>
  <c r="A111" i="14"/>
  <c r="A89" i="14"/>
  <c r="A76" i="14"/>
  <c r="U61" i="20"/>
  <c r="U62" i="20"/>
  <c r="B50" i="29"/>
  <c r="A12" i="14" l="1"/>
  <c r="B47" i="29" l="1"/>
  <c r="B46" i="29"/>
  <c r="B45" i="29"/>
  <c r="B36" i="29"/>
  <c r="B37" i="29" s="1"/>
  <c r="C25" i="29"/>
  <c r="C26" i="29" s="1"/>
  <c r="B25" i="29"/>
  <c r="B22" i="29"/>
  <c r="B20" i="29"/>
  <c r="B11" i="29"/>
  <c r="B3" i="29"/>
  <c r="B5" i="29"/>
  <c r="B12" i="29"/>
  <c r="B27" i="29" l="1"/>
  <c r="C27" i="29"/>
  <c r="B26" i="29"/>
  <c r="B38" i="29"/>
  <c r="B40" i="29"/>
  <c r="B41" i="29" s="1"/>
  <c r="B42" i="29" s="1"/>
  <c r="C12" i="29"/>
  <c r="B13" i="29"/>
  <c r="C11" i="29"/>
  <c r="B7" i="29"/>
  <c r="B9" i="29"/>
  <c r="C28" i="29" l="1"/>
  <c r="B28" i="29"/>
  <c r="C13" i="29"/>
  <c r="B14" i="29"/>
  <c r="C29" i="29" l="1"/>
  <c r="B29" i="29"/>
  <c r="B15" i="29"/>
  <c r="C14" i="29"/>
  <c r="C30" i="29" l="1"/>
  <c r="B30" i="29"/>
  <c r="C15" i="29"/>
  <c r="C31" i="29" l="1"/>
  <c r="B31" i="29"/>
  <c r="C32" i="29" l="1"/>
  <c r="B32" i="29"/>
  <c r="A39" i="14" l="1"/>
  <c r="A38" i="14"/>
  <c r="B4" i="20" l="1"/>
  <c r="A27" i="17" l="1"/>
  <c r="J11" i="28"/>
  <c r="J10" i="28"/>
  <c r="J9" i="28"/>
  <c r="J8" i="28"/>
  <c r="J7" i="28"/>
  <c r="J6" i="28"/>
  <c r="J5" i="28"/>
  <c r="E12" i="10"/>
  <c r="E13" i="10"/>
  <c r="H13" i="10"/>
  <c r="K13" i="10"/>
  <c r="N13" i="10"/>
  <c r="Q13" i="10"/>
  <c r="T13" i="10"/>
  <c r="H12" i="10"/>
  <c r="K12" i="10"/>
  <c r="N12" i="10"/>
  <c r="Q12" i="10"/>
  <c r="T12" i="10"/>
  <c r="E11" i="10"/>
  <c r="H11" i="10"/>
  <c r="K11" i="10"/>
  <c r="N11" i="10"/>
  <c r="Q11" i="10"/>
  <c r="T11" i="10"/>
  <c r="B3" i="28"/>
  <c r="C3" i="28"/>
  <c r="D3" i="28"/>
  <c r="C5" i="28"/>
  <c r="D5" i="28"/>
  <c r="C6" i="28"/>
  <c r="D6" i="28"/>
  <c r="C7" i="28"/>
  <c r="C8" i="28"/>
  <c r="C9" i="28"/>
  <c r="C10" i="28"/>
  <c r="C11" i="28"/>
  <c r="C12" i="28"/>
  <c r="C13" i="28"/>
  <c r="C14" i="28"/>
  <c r="C15" i="28"/>
  <c r="C16" i="28"/>
  <c r="C17" i="28"/>
  <c r="D4" i="28"/>
  <c r="C4" i="28"/>
  <c r="B5" i="28"/>
  <c r="B6" i="28"/>
  <c r="B7" i="28"/>
  <c r="B8" i="28"/>
  <c r="B9" i="28"/>
  <c r="B10" i="28"/>
  <c r="B11" i="28"/>
  <c r="B12" i="28"/>
  <c r="B13" i="28"/>
  <c r="B14" i="28"/>
  <c r="B15" i="28"/>
  <c r="B16" i="28"/>
  <c r="B17" i="28"/>
  <c r="B4" i="28"/>
  <c r="H9" i="26" l="1"/>
  <c r="G9" i="26"/>
  <c r="F9" i="26"/>
  <c r="E9" i="26"/>
  <c r="D9" i="26"/>
  <c r="C9" i="26"/>
  <c r="P41" i="17"/>
  <c r="P40" i="17"/>
  <c r="N30" i="17"/>
  <c r="C153" i="9"/>
  <c r="B141" i="20"/>
  <c r="B137" i="20"/>
  <c r="G130" i="20" a="1"/>
  <c r="G130" i="20" s="1"/>
  <c r="J63" i="20"/>
  <c r="E33" i="9"/>
  <c r="A34" i="17"/>
  <c r="H15" i="20"/>
  <c r="C97" i="14" l="1"/>
  <c r="A97" i="14" s="1"/>
  <c r="L15" i="20"/>
  <c r="K7" i="9"/>
  <c r="U51" i="17"/>
  <c r="U50" i="17"/>
  <c r="U49" i="17"/>
  <c r="L34" i="17"/>
  <c r="H23" i="9"/>
  <c r="H22" i="9"/>
  <c r="H24" i="9"/>
  <c r="J8" i="9"/>
  <c r="J7" i="9"/>
  <c r="J6" i="9"/>
  <c r="T29" i="10"/>
  <c r="Q29" i="10"/>
  <c r="N29" i="10"/>
  <c r="K29" i="10"/>
  <c r="H29" i="10"/>
  <c r="E29" i="10"/>
  <c r="A136" i="20" l="1"/>
  <c r="A4258" i="22"/>
  <c r="A4257" i="22"/>
  <c r="A4256" i="22"/>
  <c r="A4255" i="22"/>
  <c r="A4254" i="22"/>
  <c r="A4253" i="22"/>
  <c r="A4252" i="22"/>
  <c r="A4251" i="22"/>
  <c r="A4250" i="22"/>
  <c r="A4249" i="22"/>
  <c r="A4248" i="22"/>
  <c r="A4247" i="22"/>
  <c r="A4246" i="22"/>
  <c r="A4245" i="22"/>
  <c r="A4244" i="22"/>
  <c r="A4243" i="22"/>
  <c r="A4242" i="22"/>
  <c r="A4241" i="22"/>
  <c r="A4240" i="22"/>
  <c r="A4239" i="22"/>
  <c r="A4238" i="22"/>
  <c r="A4237" i="22"/>
  <c r="A4236" i="22"/>
  <c r="A4235" i="22"/>
  <c r="A4234" i="22"/>
  <c r="A4233" i="22"/>
  <c r="A4232" i="22"/>
  <c r="A4231" i="22"/>
  <c r="A4230" i="22"/>
  <c r="A4229" i="22"/>
  <c r="A4228" i="22"/>
  <c r="A4227" i="22"/>
  <c r="A4226" i="22"/>
  <c r="A4225" i="22"/>
  <c r="A4224" i="22"/>
  <c r="A4223" i="22"/>
  <c r="A4222" i="22"/>
  <c r="A4221" i="22"/>
  <c r="A4220" i="22"/>
  <c r="A4219" i="22"/>
  <c r="A4218" i="22"/>
  <c r="A4217" i="22"/>
  <c r="A4216" i="22"/>
  <c r="A4215" i="22"/>
  <c r="A4214" i="22"/>
  <c r="A4213" i="22"/>
  <c r="A4212" i="22"/>
  <c r="A4211" i="22"/>
  <c r="A4210" i="22"/>
  <c r="A4209" i="22"/>
  <c r="A4208" i="22"/>
  <c r="A4207" i="22"/>
  <c r="A4206" i="22"/>
  <c r="A4205" i="22"/>
  <c r="A4204" i="22"/>
  <c r="A4203" i="22"/>
  <c r="A4202" i="22"/>
  <c r="A4201" i="22"/>
  <c r="A4200" i="22"/>
  <c r="A4199" i="22"/>
  <c r="A4198" i="22"/>
  <c r="A4197" i="22"/>
  <c r="A4196" i="22"/>
  <c r="A4195" i="22"/>
  <c r="A4194" i="22"/>
  <c r="A4193" i="22"/>
  <c r="A4192" i="22"/>
  <c r="A4191" i="22"/>
  <c r="A4190" i="22"/>
  <c r="A4189" i="22"/>
  <c r="A4188" i="22"/>
  <c r="A4187" i="22"/>
  <c r="A4186" i="22"/>
  <c r="A4185" i="22"/>
  <c r="A4184" i="22"/>
  <c r="A4183" i="22"/>
  <c r="A4182" i="22"/>
  <c r="A4181" i="22"/>
  <c r="A4180" i="22"/>
  <c r="A4179" i="22"/>
  <c r="A4178" i="22"/>
  <c r="A4177" i="22"/>
  <c r="A4176" i="22"/>
  <c r="A4175" i="22"/>
  <c r="A4174" i="22"/>
  <c r="A4173" i="22"/>
  <c r="A4172" i="22"/>
  <c r="A4171" i="22"/>
  <c r="A4170" i="22"/>
  <c r="A4169" i="22"/>
  <c r="A4168" i="22"/>
  <c r="A4167" i="22"/>
  <c r="A4166" i="22"/>
  <c r="A4165" i="22"/>
  <c r="A4164" i="22"/>
  <c r="A4163" i="22"/>
  <c r="A4162" i="22"/>
  <c r="A4161" i="22"/>
  <c r="A4160" i="22"/>
  <c r="A4159" i="22"/>
  <c r="A4158" i="22"/>
  <c r="A4157" i="22"/>
  <c r="A4156" i="22"/>
  <c r="A4155" i="22"/>
  <c r="A4154" i="22"/>
  <c r="A4153" i="22"/>
  <c r="A4152" i="22"/>
  <c r="A4151" i="22"/>
  <c r="A4150" i="22"/>
  <c r="A4149" i="22"/>
  <c r="A4148" i="22"/>
  <c r="A4147" i="22"/>
  <c r="A4146" i="22"/>
  <c r="A4145" i="22"/>
  <c r="A4144" i="22"/>
  <c r="A4143" i="22"/>
  <c r="A4142" i="22"/>
  <c r="A4141" i="22"/>
  <c r="A4140" i="22"/>
  <c r="A4139" i="22"/>
  <c r="A4138" i="22"/>
  <c r="A4137" i="22"/>
  <c r="A4136" i="22"/>
  <c r="A4135" i="22"/>
  <c r="A4134" i="22"/>
  <c r="A4133" i="22"/>
  <c r="A4132" i="22"/>
  <c r="A4131" i="22"/>
  <c r="A4130" i="22"/>
  <c r="A4129" i="22"/>
  <c r="A4128" i="22"/>
  <c r="A4127" i="22"/>
  <c r="A4126" i="22"/>
  <c r="A4125" i="22"/>
  <c r="A4124" i="22"/>
  <c r="A4123" i="22"/>
  <c r="A4122" i="22"/>
  <c r="A4121" i="22"/>
  <c r="A4120" i="22"/>
  <c r="A4119" i="22"/>
  <c r="A4118" i="22"/>
  <c r="A4117" i="22"/>
  <c r="A4116" i="22"/>
  <c r="A4115" i="22"/>
  <c r="A4114" i="22"/>
  <c r="A4113" i="22"/>
  <c r="A4112" i="22"/>
  <c r="A4111" i="22"/>
  <c r="A4110" i="22"/>
  <c r="A4109" i="22"/>
  <c r="A4108" i="22"/>
  <c r="A4107" i="22"/>
  <c r="A4106" i="22"/>
  <c r="A4105" i="22"/>
  <c r="A4104" i="22"/>
  <c r="A4102" i="22"/>
  <c r="A4101" i="22"/>
  <c r="A4100" i="22"/>
  <c r="A4099" i="22"/>
  <c r="A4098" i="22"/>
  <c r="A4097" i="22"/>
  <c r="A4096" i="22"/>
  <c r="A4095" i="22"/>
  <c r="A4094" i="22"/>
  <c r="A4093" i="22"/>
  <c r="A4092" i="22"/>
  <c r="A4091" i="22"/>
  <c r="A4090" i="22"/>
  <c r="A4089" i="22"/>
  <c r="A4088" i="22"/>
  <c r="A4087" i="22"/>
  <c r="A4086" i="22"/>
  <c r="A4085" i="22"/>
  <c r="A4084" i="22"/>
  <c r="A4083" i="22"/>
  <c r="A4082" i="22"/>
  <c r="A4081" i="22"/>
  <c r="A4080" i="22"/>
  <c r="A4079" i="22"/>
  <c r="A4078" i="22"/>
  <c r="A4077" i="22"/>
  <c r="A4076" i="22"/>
  <c r="A4075" i="22"/>
  <c r="A4074" i="22"/>
  <c r="A4073" i="22"/>
  <c r="A4072" i="22"/>
  <c r="A4071" i="22"/>
  <c r="A4070" i="22"/>
  <c r="A4069" i="22"/>
  <c r="A4068" i="22"/>
  <c r="A4067" i="22"/>
  <c r="A4066" i="22"/>
  <c r="A4065" i="22"/>
  <c r="A4064" i="22"/>
  <c r="A4063" i="22"/>
  <c r="A4062" i="22"/>
  <c r="A4061" i="22"/>
  <c r="A4060" i="22"/>
  <c r="A4059" i="22"/>
  <c r="A4058" i="22"/>
  <c r="A4057" i="22"/>
  <c r="A4056" i="22"/>
  <c r="A4055" i="22"/>
  <c r="A4054" i="22"/>
  <c r="A4053" i="22"/>
  <c r="A4052" i="22"/>
  <c r="A4051" i="22"/>
  <c r="A4050" i="22"/>
  <c r="A4049" i="22"/>
  <c r="A4048" i="22"/>
  <c r="A4047" i="22"/>
  <c r="A4046" i="22"/>
  <c r="A4045" i="22"/>
  <c r="A4044" i="22"/>
  <c r="A4043" i="22"/>
  <c r="A4042" i="22"/>
  <c r="A4041" i="22"/>
  <c r="A4040" i="22"/>
  <c r="A4039" i="22"/>
  <c r="A4038" i="22"/>
  <c r="A4037" i="22"/>
  <c r="A4036" i="22"/>
  <c r="A4035" i="22"/>
  <c r="A4034" i="22"/>
  <c r="A4033" i="22"/>
  <c r="A4032" i="22"/>
  <c r="A4031" i="22"/>
  <c r="A4030" i="22"/>
  <c r="A4029" i="22"/>
  <c r="A4028" i="22"/>
  <c r="A4027" i="22"/>
  <c r="A4026" i="22"/>
  <c r="A4025" i="22"/>
  <c r="A4024" i="22"/>
  <c r="A4023" i="22"/>
  <c r="A4022" i="22"/>
  <c r="A4021" i="22"/>
  <c r="A4020" i="22"/>
  <c r="A4019" i="22"/>
  <c r="A4018" i="22"/>
  <c r="A4017" i="22"/>
  <c r="A4016" i="22"/>
  <c r="A4015" i="22"/>
  <c r="A4014" i="22"/>
  <c r="A4013" i="22"/>
  <c r="A4012" i="22"/>
  <c r="A4011" i="22"/>
  <c r="A4010" i="22"/>
  <c r="A4009" i="22"/>
  <c r="A4008" i="22"/>
  <c r="A4007" i="22"/>
  <c r="A4006" i="22"/>
  <c r="A4005" i="22"/>
  <c r="A4004" i="22"/>
  <c r="A4003" i="22"/>
  <c r="A4002" i="22"/>
  <c r="A4001" i="22"/>
  <c r="A4000" i="22"/>
  <c r="A3999" i="22"/>
  <c r="A3998" i="22"/>
  <c r="A3997" i="22"/>
  <c r="A3996" i="22"/>
  <c r="A3995" i="22"/>
  <c r="A3994" i="22"/>
  <c r="A3993" i="22"/>
  <c r="A3992" i="22"/>
  <c r="A3991" i="22"/>
  <c r="A3990" i="22"/>
  <c r="A3989" i="22"/>
  <c r="A3988" i="22"/>
  <c r="A3987" i="22"/>
  <c r="A3986" i="22"/>
  <c r="A3985" i="22"/>
  <c r="A3984" i="22"/>
  <c r="A3983" i="22"/>
  <c r="A3982" i="22"/>
  <c r="A3981" i="22"/>
  <c r="A3980" i="22"/>
  <c r="A3979" i="22"/>
  <c r="A3978" i="22"/>
  <c r="A3977" i="22"/>
  <c r="A3976" i="22"/>
  <c r="A3975" i="22"/>
  <c r="A3974" i="22"/>
  <c r="A3973" i="22"/>
  <c r="A3972" i="22"/>
  <c r="A3971" i="22"/>
  <c r="A3970" i="22"/>
  <c r="A3969" i="22"/>
  <c r="A3968" i="22"/>
  <c r="A3967" i="22"/>
  <c r="A3966" i="22"/>
  <c r="A3965" i="22"/>
  <c r="A3964" i="22"/>
  <c r="A3963" i="22"/>
  <c r="A3962" i="22"/>
  <c r="A3961" i="22"/>
  <c r="A3960" i="22"/>
  <c r="A3959" i="22"/>
  <c r="A3958" i="22"/>
  <c r="A3957" i="22"/>
  <c r="A3956" i="22"/>
  <c r="A3955" i="22"/>
  <c r="A3954" i="22"/>
  <c r="A3953" i="22"/>
  <c r="A3952" i="22"/>
  <c r="A3951" i="22"/>
  <c r="A3950" i="22"/>
  <c r="A3949" i="22"/>
  <c r="A3948" i="22"/>
  <c r="A3947" i="22"/>
  <c r="A3946" i="22"/>
  <c r="A3945" i="22"/>
  <c r="A3944" i="22"/>
  <c r="A3943" i="22"/>
  <c r="A3942" i="22"/>
  <c r="A3941" i="22"/>
  <c r="A3940" i="22"/>
  <c r="A3939" i="22"/>
  <c r="A3938" i="22"/>
  <c r="A3937" i="22"/>
  <c r="A3936" i="22"/>
  <c r="A3935" i="22"/>
  <c r="A3934" i="22"/>
  <c r="A3933" i="22"/>
  <c r="A3932" i="22"/>
  <c r="A3931" i="22"/>
  <c r="A3930" i="22"/>
  <c r="A3929" i="22"/>
  <c r="A3928" i="22"/>
  <c r="A3927" i="22"/>
  <c r="A3926" i="22"/>
  <c r="A3925" i="22"/>
  <c r="A3924" i="22"/>
  <c r="A3923" i="22"/>
  <c r="A3922" i="22"/>
  <c r="A3921" i="22"/>
  <c r="A3920" i="22"/>
  <c r="A3919" i="22"/>
  <c r="A3918" i="22"/>
  <c r="A3917" i="22"/>
  <c r="A3916" i="22"/>
  <c r="A3915" i="22"/>
  <c r="A3914" i="22"/>
  <c r="A3913" i="22"/>
  <c r="A3912" i="22"/>
  <c r="A3911" i="22"/>
  <c r="A3910" i="22"/>
  <c r="A3909" i="22"/>
  <c r="A3908" i="22"/>
  <c r="A3907" i="22"/>
  <c r="A3906" i="22"/>
  <c r="A3905" i="22"/>
  <c r="A3904" i="22"/>
  <c r="A3903" i="22"/>
  <c r="A3902" i="22"/>
  <c r="A3901" i="22"/>
  <c r="A3900" i="22"/>
  <c r="A3899" i="22"/>
  <c r="A3898" i="22"/>
  <c r="A3897" i="22"/>
  <c r="A3896" i="22"/>
  <c r="A3895" i="22"/>
  <c r="A3894" i="22"/>
  <c r="A3893" i="22"/>
  <c r="A3892" i="22"/>
  <c r="A3891" i="22"/>
  <c r="A3890" i="22"/>
  <c r="A3889" i="22"/>
  <c r="A3888" i="22"/>
  <c r="A3887" i="22"/>
  <c r="A3886" i="22"/>
  <c r="A3885" i="22"/>
  <c r="A3884" i="22"/>
  <c r="A3883" i="22"/>
  <c r="A3882" i="22"/>
  <c r="A3881" i="22"/>
  <c r="A3880" i="22"/>
  <c r="A3879" i="22"/>
  <c r="A3878" i="22"/>
  <c r="A3877" i="22"/>
  <c r="A3876" i="22"/>
  <c r="A3875" i="22"/>
  <c r="A3874" i="22"/>
  <c r="A3873" i="22"/>
  <c r="A3872" i="22"/>
  <c r="A3871" i="22"/>
  <c r="A3870" i="22"/>
  <c r="A3869" i="22"/>
  <c r="A3868" i="22"/>
  <c r="A3867" i="22"/>
  <c r="A3866" i="22"/>
  <c r="A3865" i="22"/>
  <c r="A3864" i="22"/>
  <c r="A3863" i="22"/>
  <c r="A3862" i="22"/>
  <c r="A3861" i="22"/>
  <c r="A3860" i="22"/>
  <c r="A3859" i="22"/>
  <c r="A3858" i="22"/>
  <c r="A3857" i="22"/>
  <c r="A3856" i="22"/>
  <c r="A3855" i="22"/>
  <c r="A3854" i="22"/>
  <c r="A3853" i="22"/>
  <c r="A3852" i="22"/>
  <c r="A3851" i="22"/>
  <c r="A3850" i="22"/>
  <c r="A3849" i="22"/>
  <c r="A3848" i="22"/>
  <c r="A3847" i="22"/>
  <c r="A3846" i="22"/>
  <c r="A3845" i="22"/>
  <c r="A3844" i="22"/>
  <c r="A3843" i="22"/>
  <c r="A3842" i="22"/>
  <c r="A3841" i="22"/>
  <c r="A3840" i="22"/>
  <c r="A3839" i="22"/>
  <c r="A3838" i="22"/>
  <c r="A3837" i="22"/>
  <c r="A3836" i="22"/>
  <c r="A3835" i="22"/>
  <c r="A3834" i="22"/>
  <c r="A3833" i="22"/>
  <c r="A3832" i="22"/>
  <c r="A3831" i="22"/>
  <c r="A3830" i="22"/>
  <c r="A3829" i="22"/>
  <c r="A3828" i="22"/>
  <c r="A3827" i="22"/>
  <c r="A3826" i="22"/>
  <c r="A3825" i="22"/>
  <c r="A3824" i="22"/>
  <c r="A3823" i="22"/>
  <c r="A3822" i="22"/>
  <c r="A3821" i="22"/>
  <c r="A3820" i="22"/>
  <c r="A3819" i="22"/>
  <c r="A3818" i="22"/>
  <c r="A3817" i="22"/>
  <c r="A3816" i="22"/>
  <c r="A3815" i="22"/>
  <c r="A3814" i="22"/>
  <c r="A3813" i="22"/>
  <c r="A3812" i="22"/>
  <c r="A3811" i="22"/>
  <c r="A3810" i="22"/>
  <c r="A3809" i="22"/>
  <c r="A3808" i="22"/>
  <c r="A3807" i="22"/>
  <c r="A3806" i="22"/>
  <c r="A3805" i="22"/>
  <c r="A3804" i="22"/>
  <c r="A3803" i="22"/>
  <c r="A3802" i="22"/>
  <c r="A3801" i="22"/>
  <c r="A3800" i="22"/>
  <c r="A3799" i="22"/>
  <c r="A3798" i="22"/>
  <c r="A3797" i="22"/>
  <c r="A3796" i="22"/>
  <c r="A3795" i="22"/>
  <c r="A3794" i="22"/>
  <c r="A3793" i="22"/>
  <c r="A3792" i="22"/>
  <c r="A3791" i="22"/>
  <c r="A3790" i="22"/>
  <c r="A3789" i="22"/>
  <c r="A3788" i="22"/>
  <c r="A3787" i="22"/>
  <c r="A3786" i="22"/>
  <c r="A3785" i="22"/>
  <c r="A3784" i="22"/>
  <c r="A3783" i="22"/>
  <c r="A3782" i="22"/>
  <c r="A3781" i="22"/>
  <c r="A3780" i="22"/>
  <c r="A3779" i="22"/>
  <c r="A3778" i="22"/>
  <c r="A3777" i="22"/>
  <c r="A3776" i="22"/>
  <c r="A3775" i="22"/>
  <c r="A3774" i="22"/>
  <c r="A3773" i="22"/>
  <c r="A3772" i="22"/>
  <c r="A3771" i="22"/>
  <c r="A3770" i="22"/>
  <c r="A3769" i="22"/>
  <c r="A3768" i="22"/>
  <c r="A3767" i="22"/>
  <c r="A3766" i="22"/>
  <c r="A3765" i="22"/>
  <c r="A3764" i="22"/>
  <c r="A3763" i="22"/>
  <c r="A3762" i="22"/>
  <c r="A3761" i="22"/>
  <c r="A3760" i="22"/>
  <c r="A3759" i="22"/>
  <c r="A3758" i="22"/>
  <c r="A3757" i="22"/>
  <c r="A3756" i="22"/>
  <c r="A3755" i="22"/>
  <c r="A3754" i="22"/>
  <c r="A3753" i="22"/>
  <c r="A3752" i="22"/>
  <c r="A3751" i="22"/>
  <c r="A3750" i="22"/>
  <c r="A3749" i="22"/>
  <c r="A3748" i="22"/>
  <c r="A3747" i="22"/>
  <c r="A3746" i="22"/>
  <c r="A3745" i="22"/>
  <c r="A3744" i="22"/>
  <c r="A3743" i="22"/>
  <c r="A3742" i="22"/>
  <c r="A3741" i="22"/>
  <c r="A3740" i="22"/>
  <c r="A3739" i="22"/>
  <c r="A3738" i="22"/>
  <c r="A3737" i="22"/>
  <c r="A3736" i="22"/>
  <c r="A3735" i="22"/>
  <c r="A3734" i="22"/>
  <c r="A3733" i="22"/>
  <c r="A3732" i="22"/>
  <c r="A3731" i="22"/>
  <c r="A3730" i="22"/>
  <c r="A3729" i="22"/>
  <c r="A3728" i="22"/>
  <c r="A3727" i="22"/>
  <c r="A3726" i="22"/>
  <c r="A3725" i="22"/>
  <c r="A3724" i="22"/>
  <c r="A3723" i="22"/>
  <c r="A3722" i="22"/>
  <c r="A3721" i="22"/>
  <c r="A3720" i="22"/>
  <c r="A3719" i="22"/>
  <c r="A3718" i="22"/>
  <c r="A3717" i="22"/>
  <c r="A3716" i="22"/>
  <c r="A3715" i="22"/>
  <c r="A3714" i="22"/>
  <c r="A3713" i="22"/>
  <c r="A3712" i="22"/>
  <c r="A3711" i="22"/>
  <c r="A3710" i="22"/>
  <c r="A3709" i="22"/>
  <c r="A3708" i="22"/>
  <c r="A3707" i="22"/>
  <c r="A3706" i="22"/>
  <c r="A3705" i="22"/>
  <c r="A3704" i="22"/>
  <c r="A3703" i="22"/>
  <c r="A3702" i="22"/>
  <c r="A3701" i="22"/>
  <c r="A3700" i="22"/>
  <c r="A3699" i="22"/>
  <c r="A3698" i="22"/>
  <c r="A3697" i="22"/>
  <c r="A3696" i="22"/>
  <c r="A3695" i="22"/>
  <c r="A3694" i="22"/>
  <c r="A3693" i="22"/>
  <c r="A3692" i="22"/>
  <c r="A3691" i="22"/>
  <c r="A3690" i="22"/>
  <c r="A3689" i="22"/>
  <c r="A3688" i="22"/>
  <c r="A3687" i="22"/>
  <c r="A3686" i="22"/>
  <c r="A3685" i="22"/>
  <c r="A3684" i="22"/>
  <c r="A3683" i="22"/>
  <c r="A3682" i="22"/>
  <c r="A3681" i="22"/>
  <c r="A3680" i="22"/>
  <c r="A3679" i="22"/>
  <c r="A3678" i="22"/>
  <c r="A3677" i="22"/>
  <c r="A3676" i="22"/>
  <c r="A3675" i="22"/>
  <c r="A3674" i="22"/>
  <c r="A3673" i="22"/>
  <c r="A3672" i="22"/>
  <c r="A3671" i="22"/>
  <c r="A3670" i="22"/>
  <c r="A3669" i="22"/>
  <c r="A3668" i="22"/>
  <c r="A3667" i="22"/>
  <c r="A3666" i="22"/>
  <c r="A3665" i="22"/>
  <c r="A3664" i="22"/>
  <c r="A3663" i="22"/>
  <c r="A3662" i="22"/>
  <c r="A3661" i="22"/>
  <c r="A3660" i="22"/>
  <c r="A3659" i="22"/>
  <c r="A3658" i="22"/>
  <c r="A3657" i="22"/>
  <c r="A3656" i="22"/>
  <c r="A3655" i="22"/>
  <c r="A3654" i="22"/>
  <c r="A3653" i="22"/>
  <c r="A3652" i="22"/>
  <c r="A3651" i="22"/>
  <c r="A3650" i="22"/>
  <c r="A3649" i="22"/>
  <c r="A3648" i="22"/>
  <c r="A3647" i="22"/>
  <c r="A3646" i="22"/>
  <c r="A3645" i="22"/>
  <c r="A3644" i="22"/>
  <c r="A3643" i="22"/>
  <c r="A3642" i="22"/>
  <c r="A3641" i="22"/>
  <c r="A3640" i="22"/>
  <c r="A3639" i="22"/>
  <c r="A3638" i="22"/>
  <c r="A3637" i="22"/>
  <c r="A3636" i="22"/>
  <c r="A3635" i="22"/>
  <c r="A3634" i="22"/>
  <c r="A3633" i="22"/>
  <c r="A3632" i="22"/>
  <c r="A3631" i="22"/>
  <c r="A3630" i="22"/>
  <c r="A3629" i="22"/>
  <c r="A3628" i="22"/>
  <c r="A3627" i="22"/>
  <c r="A3626" i="22"/>
  <c r="A3625" i="22"/>
  <c r="A3624" i="22"/>
  <c r="A3623" i="22"/>
  <c r="A3622" i="22"/>
  <c r="A3621" i="22"/>
  <c r="A3620" i="22"/>
  <c r="A3619" i="22"/>
  <c r="A3618" i="22"/>
  <c r="A3617" i="22"/>
  <c r="A3616" i="22"/>
  <c r="A3615" i="22"/>
  <c r="A3614" i="22"/>
  <c r="A3613" i="22"/>
  <c r="A3612" i="22"/>
  <c r="A3611" i="22"/>
  <c r="A3610" i="22"/>
  <c r="A3609" i="22"/>
  <c r="A3608" i="22"/>
  <c r="A3607" i="22"/>
  <c r="A3606" i="22"/>
  <c r="A3605" i="22"/>
  <c r="A3604" i="22"/>
  <c r="A3603" i="22"/>
  <c r="A3602" i="22"/>
  <c r="A3601" i="22"/>
  <c r="A3600" i="22"/>
  <c r="A3599" i="22"/>
  <c r="A3598" i="22"/>
  <c r="A3597" i="22"/>
  <c r="A3596" i="22"/>
  <c r="A3595" i="22"/>
  <c r="A3594" i="22"/>
  <c r="A3593" i="22"/>
  <c r="A3592" i="22"/>
  <c r="A3591" i="22"/>
  <c r="A3590" i="22"/>
  <c r="A3589" i="22"/>
  <c r="A3588" i="22"/>
  <c r="A3587" i="22"/>
  <c r="A3586" i="22"/>
  <c r="A3585" i="22"/>
  <c r="A3584" i="22"/>
  <c r="A3583" i="22"/>
  <c r="A3582" i="22"/>
  <c r="A3581" i="22"/>
  <c r="A3580" i="22"/>
  <c r="A3579" i="22"/>
  <c r="A3578" i="22"/>
  <c r="A3577" i="22"/>
  <c r="A3576" i="22"/>
  <c r="A3575" i="22"/>
  <c r="A3574" i="22"/>
  <c r="A3573" i="22"/>
  <c r="A3572" i="22"/>
  <c r="A3571" i="22"/>
  <c r="A3570" i="22"/>
  <c r="A3569" i="22"/>
  <c r="A3568" i="22"/>
  <c r="A3567" i="22"/>
  <c r="A3566" i="22"/>
  <c r="A3565" i="22"/>
  <c r="A3564" i="22"/>
  <c r="A3563" i="22"/>
  <c r="A3562" i="22"/>
  <c r="A3561" i="22"/>
  <c r="A3560" i="22"/>
  <c r="A3559" i="22"/>
  <c r="A3558" i="22"/>
  <c r="A3557" i="22"/>
  <c r="A3556" i="22"/>
  <c r="A3555" i="22"/>
  <c r="A3554" i="22"/>
  <c r="A3553" i="22"/>
  <c r="A3552" i="22"/>
  <c r="A3551" i="22"/>
  <c r="A3550" i="22"/>
  <c r="A3549" i="22"/>
  <c r="A3548" i="22"/>
  <c r="A3547" i="22"/>
  <c r="A3546" i="22"/>
  <c r="A3545" i="22"/>
  <c r="A3544" i="22"/>
  <c r="A3543" i="22"/>
  <c r="A3542" i="22"/>
  <c r="A3541" i="22"/>
  <c r="A3540" i="22"/>
  <c r="A3539" i="22"/>
  <c r="A3538" i="22"/>
  <c r="A3537" i="22"/>
  <c r="A3536" i="22"/>
  <c r="A3535" i="22"/>
  <c r="A3534" i="22"/>
  <c r="A3533" i="22"/>
  <c r="A3532" i="22"/>
  <c r="A3531" i="22"/>
  <c r="A3530" i="22"/>
  <c r="A3529" i="22"/>
  <c r="A3528" i="22"/>
  <c r="A3527" i="22"/>
  <c r="A3526" i="22"/>
  <c r="A3525" i="22"/>
  <c r="A3524" i="22"/>
  <c r="A3523" i="22"/>
  <c r="A3522" i="22"/>
  <c r="A3521" i="22"/>
  <c r="A3520" i="22"/>
  <c r="A3519" i="22"/>
  <c r="A3518" i="22"/>
  <c r="A3517" i="22"/>
  <c r="A3516" i="22"/>
  <c r="A3515" i="22"/>
  <c r="A3514" i="22"/>
  <c r="A3513" i="22"/>
  <c r="A3512" i="22"/>
  <c r="A3511" i="22"/>
  <c r="A3510" i="22"/>
  <c r="A3509" i="22"/>
  <c r="A3508" i="22"/>
  <c r="A3507" i="22"/>
  <c r="A3506" i="22"/>
  <c r="A3505" i="22"/>
  <c r="A3504" i="22"/>
  <c r="A3503" i="22"/>
  <c r="A3502" i="22"/>
  <c r="A3501" i="22"/>
  <c r="A3500" i="22"/>
  <c r="A3499" i="22"/>
  <c r="A3498" i="22"/>
  <c r="A3497" i="22"/>
  <c r="A3496" i="22"/>
  <c r="A3495" i="22"/>
  <c r="A3494" i="22"/>
  <c r="A3493" i="22"/>
  <c r="A3492" i="22"/>
  <c r="A3491" i="22"/>
  <c r="A3490" i="22"/>
  <c r="A3489" i="22"/>
  <c r="A3488" i="22"/>
  <c r="A3487" i="22"/>
  <c r="A3486" i="22"/>
  <c r="A3485" i="22"/>
  <c r="A3484" i="22"/>
  <c r="A3483" i="22"/>
  <c r="A3482" i="22"/>
  <c r="A3481" i="22"/>
  <c r="A3480" i="22"/>
  <c r="A3479" i="22"/>
  <c r="A3478" i="22"/>
  <c r="A3477" i="22"/>
  <c r="A3476" i="22"/>
  <c r="A3475" i="22"/>
  <c r="A3474" i="22"/>
  <c r="A3473" i="22"/>
  <c r="A3472" i="22"/>
  <c r="A3471" i="22"/>
  <c r="A3470" i="22"/>
  <c r="A3469" i="22"/>
  <c r="A3468" i="22"/>
  <c r="A3467" i="22"/>
  <c r="A3466" i="22"/>
  <c r="A3465" i="22"/>
  <c r="A3464" i="22"/>
  <c r="A3463" i="22"/>
  <c r="A3462" i="22"/>
  <c r="A3461" i="22"/>
  <c r="A3460" i="22"/>
  <c r="A3459" i="22"/>
  <c r="A3458" i="22"/>
  <c r="A3457" i="22"/>
  <c r="A3456" i="22"/>
  <c r="A3455" i="22"/>
  <c r="A3454" i="22"/>
  <c r="A3453" i="22"/>
  <c r="A3452" i="22"/>
  <c r="A3451" i="22"/>
  <c r="A3450" i="22"/>
  <c r="A3449" i="22"/>
  <c r="A3448" i="22"/>
  <c r="A3447" i="22"/>
  <c r="A3446" i="22"/>
  <c r="A3445" i="22"/>
  <c r="A3444" i="22"/>
  <c r="A3443" i="22"/>
  <c r="A3442" i="22"/>
  <c r="A3441" i="22"/>
  <c r="A3440" i="22"/>
  <c r="A3439" i="22"/>
  <c r="A3438" i="22"/>
  <c r="A3437" i="22"/>
  <c r="A3436" i="22"/>
  <c r="A3435" i="22"/>
  <c r="A3434" i="22"/>
  <c r="A3433" i="22"/>
  <c r="A3432" i="22"/>
  <c r="A3431" i="22"/>
  <c r="A3430" i="22"/>
  <c r="A3429" i="22"/>
  <c r="A3428" i="22"/>
  <c r="A3427" i="22"/>
  <c r="A3426" i="22"/>
  <c r="A3425" i="22"/>
  <c r="A3424" i="22"/>
  <c r="A3423" i="22"/>
  <c r="A3422" i="22"/>
  <c r="A3421" i="22"/>
  <c r="A3420" i="22"/>
  <c r="A3419" i="22"/>
  <c r="A3418" i="22"/>
  <c r="A3417" i="22"/>
  <c r="A3416" i="22"/>
  <c r="A3415" i="22"/>
  <c r="A3414" i="22"/>
  <c r="A3413" i="22"/>
  <c r="A3412" i="22"/>
  <c r="A3411" i="22"/>
  <c r="A3410" i="22"/>
  <c r="A3409" i="22"/>
  <c r="A3408" i="22"/>
  <c r="A3407" i="22"/>
  <c r="A3406" i="22"/>
  <c r="A3405" i="22"/>
  <c r="A3404" i="22"/>
  <c r="A3403" i="22"/>
  <c r="A3402" i="22"/>
  <c r="A3401" i="22"/>
  <c r="A3400" i="22"/>
  <c r="A3399" i="22"/>
  <c r="A3398" i="22"/>
  <c r="A3397" i="22"/>
  <c r="A3396" i="22"/>
  <c r="A3395" i="22"/>
  <c r="A3394" i="22"/>
  <c r="A3393" i="22"/>
  <c r="A3392" i="22"/>
  <c r="A3391" i="22"/>
  <c r="A3390" i="22"/>
  <c r="A3389" i="22"/>
  <c r="A3388" i="22"/>
  <c r="A3387" i="22"/>
  <c r="A3386" i="22"/>
  <c r="A3385" i="22"/>
  <c r="A3384" i="22"/>
  <c r="A3383" i="22"/>
  <c r="A3382" i="22"/>
  <c r="A3381" i="22"/>
  <c r="A3380" i="22"/>
  <c r="A3379" i="22"/>
  <c r="A3378" i="22"/>
  <c r="A3377" i="22"/>
  <c r="A3376" i="22"/>
  <c r="A3375" i="22"/>
  <c r="A3374" i="22"/>
  <c r="A3373" i="22"/>
  <c r="A3372" i="22"/>
  <c r="A3371" i="22"/>
  <c r="A3370" i="22"/>
  <c r="A3369" i="22"/>
  <c r="A3368" i="22"/>
  <c r="A3367" i="22"/>
  <c r="A3366" i="22"/>
  <c r="A3365" i="22"/>
  <c r="A3364" i="22"/>
  <c r="A3363" i="22"/>
  <c r="A3362" i="22"/>
  <c r="A3361" i="22"/>
  <c r="A3360" i="22"/>
  <c r="A3359" i="22"/>
  <c r="A3358" i="22"/>
  <c r="A3357" i="22"/>
  <c r="A3356" i="22"/>
  <c r="A3355" i="22"/>
  <c r="A3354" i="22"/>
  <c r="A3353" i="22"/>
  <c r="A3352" i="22"/>
  <c r="A3351" i="22"/>
  <c r="A3350" i="22"/>
  <c r="A3349" i="22"/>
  <c r="A3348" i="22"/>
  <c r="A3347" i="22"/>
  <c r="A3346" i="22"/>
  <c r="A3345" i="22"/>
  <c r="A3344" i="22"/>
  <c r="A3343" i="22"/>
  <c r="A3342" i="22"/>
  <c r="A3341" i="22"/>
  <c r="A3340" i="22"/>
  <c r="A3339" i="22"/>
  <c r="A3338" i="22"/>
  <c r="A3337" i="22"/>
  <c r="A3336" i="22"/>
  <c r="A3335" i="22"/>
  <c r="A3334" i="22"/>
  <c r="A3333" i="22"/>
  <c r="A3332" i="22"/>
  <c r="A3331" i="22"/>
  <c r="A3330" i="22"/>
  <c r="A3329" i="22"/>
  <c r="A3328" i="22"/>
  <c r="A3327" i="22"/>
  <c r="A3326" i="22"/>
  <c r="A3325" i="22"/>
  <c r="A3324" i="22"/>
  <c r="A3323" i="22"/>
  <c r="A3322" i="22"/>
  <c r="A3321" i="22"/>
  <c r="A3320" i="22"/>
  <c r="A3319" i="22"/>
  <c r="A3318" i="22"/>
  <c r="A3317" i="22"/>
  <c r="A3316" i="22"/>
  <c r="A3315" i="22"/>
  <c r="A3314" i="22"/>
  <c r="A3313" i="22"/>
  <c r="A3312" i="22"/>
  <c r="A3311" i="22"/>
  <c r="A3310" i="22"/>
  <c r="A3309" i="22"/>
  <c r="A3308" i="22"/>
  <c r="A3307" i="22"/>
  <c r="A3306" i="22"/>
  <c r="A3305" i="22"/>
  <c r="A3304" i="22"/>
  <c r="A3303" i="22"/>
  <c r="A3302" i="22"/>
  <c r="A3301" i="22"/>
  <c r="A3300" i="22"/>
  <c r="A3299" i="22"/>
  <c r="A3298" i="22"/>
  <c r="A3297" i="22"/>
  <c r="A3296" i="22"/>
  <c r="A3295" i="22"/>
  <c r="A3294" i="22"/>
  <c r="A3293" i="22"/>
  <c r="A3292" i="22"/>
  <c r="A3291" i="22"/>
  <c r="A3290" i="22"/>
  <c r="A3289" i="22"/>
  <c r="A3288" i="22"/>
  <c r="A3287" i="22"/>
  <c r="A3286" i="22"/>
  <c r="A3285" i="22"/>
  <c r="A3284" i="22"/>
  <c r="A3283" i="22"/>
  <c r="A3282" i="22"/>
  <c r="A3281" i="22"/>
  <c r="A3280" i="22"/>
  <c r="A3279" i="22"/>
  <c r="A3278" i="22"/>
  <c r="A3277" i="22"/>
  <c r="A3276" i="22"/>
  <c r="A3275" i="22"/>
  <c r="A3274" i="22"/>
  <c r="A3273" i="22"/>
  <c r="A3272" i="22"/>
  <c r="A3271" i="22"/>
  <c r="A3270" i="22"/>
  <c r="A3269" i="22"/>
  <c r="A3268" i="22"/>
  <c r="A3267" i="22"/>
  <c r="A3266" i="22"/>
  <c r="A3265" i="22"/>
  <c r="A3264" i="22"/>
  <c r="A3263" i="22"/>
  <c r="A3262" i="22"/>
  <c r="A3261" i="22"/>
  <c r="A3260" i="22"/>
  <c r="A3259" i="22"/>
  <c r="A3258" i="22"/>
  <c r="A3257" i="22"/>
  <c r="A3256" i="22"/>
  <c r="A3255" i="22"/>
  <c r="A3254" i="22"/>
  <c r="A3253" i="22"/>
  <c r="A3252" i="22"/>
  <c r="A3251" i="22"/>
  <c r="A3250" i="22"/>
  <c r="A3249" i="22"/>
  <c r="A3248" i="22"/>
  <c r="A3247" i="22"/>
  <c r="A3246" i="22"/>
  <c r="A3245" i="22"/>
  <c r="A3244" i="22"/>
  <c r="A3243" i="22"/>
  <c r="A3242" i="22"/>
  <c r="A3241" i="22"/>
  <c r="A3240" i="22"/>
  <c r="A3239" i="22"/>
  <c r="A3238" i="22"/>
  <c r="A3237" i="22"/>
  <c r="A3236" i="22"/>
  <c r="A3235" i="22"/>
  <c r="A3234" i="22"/>
  <c r="A3233" i="22"/>
  <c r="A3232" i="22"/>
  <c r="A3231" i="22"/>
  <c r="A3230" i="22"/>
  <c r="A3229" i="22"/>
  <c r="A3228" i="22"/>
  <c r="A3227" i="22"/>
  <c r="A3226" i="22"/>
  <c r="A3225" i="22"/>
  <c r="A3224" i="22"/>
  <c r="A3223" i="22"/>
  <c r="A3222" i="22"/>
  <c r="A3221" i="22"/>
  <c r="A3220" i="22"/>
  <c r="A3219" i="22"/>
  <c r="A3218" i="22"/>
  <c r="A3217" i="22"/>
  <c r="A3216" i="22"/>
  <c r="A3215" i="22"/>
  <c r="A3214" i="22"/>
  <c r="A3213" i="22"/>
  <c r="A3212" i="22"/>
  <c r="A3211" i="22"/>
  <c r="A3210" i="22"/>
  <c r="A3209" i="22"/>
  <c r="A3208" i="22"/>
  <c r="A3207" i="22"/>
  <c r="A3206" i="22"/>
  <c r="A3205" i="22"/>
  <c r="A3204" i="22"/>
  <c r="A3203" i="22"/>
  <c r="A3202" i="22"/>
  <c r="A3201" i="22"/>
  <c r="A3200" i="22"/>
  <c r="A3199" i="22"/>
  <c r="A3198" i="22"/>
  <c r="A3197" i="22"/>
  <c r="A3196" i="22"/>
  <c r="A3195" i="22"/>
  <c r="A3194" i="22"/>
  <c r="A3193" i="22"/>
  <c r="A3192" i="22"/>
  <c r="A3191" i="22"/>
  <c r="A3190" i="22"/>
  <c r="A3189" i="22"/>
  <c r="A3188" i="22"/>
  <c r="A3187" i="22"/>
  <c r="A3186" i="22"/>
  <c r="A3185" i="22"/>
  <c r="A3184" i="22"/>
  <c r="A3183" i="22"/>
  <c r="A3182" i="22"/>
  <c r="A3181" i="22"/>
  <c r="A3180" i="22"/>
  <c r="A3179" i="22"/>
  <c r="A3178" i="22"/>
  <c r="A3177" i="22"/>
  <c r="A3176" i="22"/>
  <c r="A3175" i="22"/>
  <c r="A3174" i="22"/>
  <c r="A3173" i="22"/>
  <c r="A3172" i="22"/>
  <c r="A3171" i="22"/>
  <c r="A3170" i="22"/>
  <c r="A3169" i="22"/>
  <c r="A3168" i="22"/>
  <c r="A3167" i="22"/>
  <c r="A3166" i="22"/>
  <c r="A3165" i="22"/>
  <c r="A3164" i="22"/>
  <c r="A3163" i="22"/>
  <c r="A3162" i="22"/>
  <c r="A3161" i="22"/>
  <c r="A3160" i="22"/>
  <c r="A3159" i="22"/>
  <c r="A3158" i="22"/>
  <c r="A3157" i="22"/>
  <c r="A3156" i="22"/>
  <c r="A3155" i="22"/>
  <c r="A3154" i="22"/>
  <c r="A3153" i="22"/>
  <c r="A3152" i="22"/>
  <c r="A3151" i="22"/>
  <c r="A3150" i="22"/>
  <c r="A3149" i="22"/>
  <c r="A3148" i="22"/>
  <c r="A3147" i="22"/>
  <c r="A3146" i="22"/>
  <c r="A3145" i="22"/>
  <c r="A3144" i="22"/>
  <c r="A3143" i="22"/>
  <c r="A3142" i="22"/>
  <c r="A3141" i="22"/>
  <c r="A3140" i="22"/>
  <c r="A3139" i="22"/>
  <c r="A3138" i="22"/>
  <c r="A3137" i="22"/>
  <c r="A3136" i="22"/>
  <c r="A3135" i="22"/>
  <c r="A3134" i="22"/>
  <c r="A3133" i="22"/>
  <c r="A3132" i="22"/>
  <c r="A3131" i="22"/>
  <c r="A3130" i="22"/>
  <c r="A3129" i="22"/>
  <c r="A3128" i="22"/>
  <c r="A3127" i="22"/>
  <c r="A3126" i="22"/>
  <c r="A3125" i="22"/>
  <c r="A3124" i="22"/>
  <c r="A3123" i="22"/>
  <c r="A3122" i="22"/>
  <c r="A3121" i="22"/>
  <c r="A3120" i="22"/>
  <c r="A3119" i="22"/>
  <c r="A3118" i="22"/>
  <c r="A3117" i="22"/>
  <c r="A3116" i="22"/>
  <c r="A3115" i="22"/>
  <c r="A3114" i="22"/>
  <c r="A3113" i="22"/>
  <c r="A3112" i="22"/>
  <c r="A3111" i="22"/>
  <c r="A3110" i="22"/>
  <c r="A3109" i="22"/>
  <c r="A3108" i="22"/>
  <c r="A3107" i="22"/>
  <c r="A3106" i="22"/>
  <c r="A3105" i="22"/>
  <c r="A3104" i="22"/>
  <c r="A3103" i="22"/>
  <c r="A3102" i="22"/>
  <c r="A3101" i="22"/>
  <c r="A3100" i="22"/>
  <c r="A3099" i="22"/>
  <c r="A3098" i="22"/>
  <c r="A3097" i="22"/>
  <c r="A3096" i="22"/>
  <c r="A3095" i="22"/>
  <c r="A3094" i="22"/>
  <c r="A3093" i="22"/>
  <c r="A3092" i="22"/>
  <c r="A3091" i="22"/>
  <c r="A3090" i="22"/>
  <c r="A3089" i="22"/>
  <c r="A3088" i="22"/>
  <c r="A3087" i="22"/>
  <c r="A3086" i="22"/>
  <c r="A3085" i="22"/>
  <c r="A3084" i="22"/>
  <c r="A3083" i="22"/>
  <c r="A3082" i="22"/>
  <c r="A3081" i="22"/>
  <c r="A3080" i="22"/>
  <c r="A3079" i="22"/>
  <c r="A3078" i="22"/>
  <c r="A3077" i="22"/>
  <c r="A3076" i="22"/>
  <c r="A3075" i="22"/>
  <c r="A3074" i="22"/>
  <c r="A3073" i="22"/>
  <c r="A3072" i="22"/>
  <c r="A3071" i="22"/>
  <c r="A3070" i="22"/>
  <c r="A3069" i="22"/>
  <c r="A3068" i="22"/>
  <c r="A3067" i="22"/>
  <c r="A3066" i="22"/>
  <c r="A3065" i="22"/>
  <c r="A3064" i="22"/>
  <c r="A3063" i="22"/>
  <c r="A3062" i="22"/>
  <c r="A3061" i="22"/>
  <c r="A3060" i="22"/>
  <c r="A3059" i="22"/>
  <c r="A3058" i="22"/>
  <c r="A3057" i="22"/>
  <c r="A3056" i="22"/>
  <c r="A3055" i="22"/>
  <c r="A3054" i="22"/>
  <c r="A3053" i="22"/>
  <c r="A3052" i="22"/>
  <c r="A3051" i="22"/>
  <c r="A3050" i="22"/>
  <c r="A3049" i="22"/>
  <c r="A3048" i="22"/>
  <c r="A3047" i="22"/>
  <c r="A3046" i="22"/>
  <c r="A3045" i="22"/>
  <c r="A3044" i="22"/>
  <c r="A3043" i="22"/>
  <c r="A3042" i="22"/>
  <c r="A3041" i="22"/>
  <c r="A3040" i="22"/>
  <c r="A3039" i="22"/>
  <c r="A3038" i="22"/>
  <c r="A3037" i="22"/>
  <c r="A3036" i="22"/>
  <c r="A3035" i="22"/>
  <c r="A3034" i="22"/>
  <c r="A3033" i="22"/>
  <c r="A3032" i="22"/>
  <c r="A3031" i="22"/>
  <c r="A3030" i="22"/>
  <c r="A3029" i="22"/>
  <c r="A3028" i="22"/>
  <c r="A3027" i="22"/>
  <c r="A3026" i="22"/>
  <c r="A3025" i="22"/>
  <c r="A3024" i="22"/>
  <c r="A3023" i="22"/>
  <c r="A3022" i="22"/>
  <c r="A3021" i="22"/>
  <c r="A3020" i="22"/>
  <c r="A3019" i="22"/>
  <c r="A3018" i="22"/>
  <c r="A3017" i="22"/>
  <c r="A3016" i="22"/>
  <c r="A3015" i="22"/>
  <c r="A3014" i="22"/>
  <c r="A3013" i="22"/>
  <c r="A3012" i="22"/>
  <c r="A3011" i="22"/>
  <c r="A3010" i="22"/>
  <c r="A3009" i="22"/>
  <c r="A3008" i="22"/>
  <c r="A3007" i="22"/>
  <c r="A3006" i="22"/>
  <c r="A3005" i="22"/>
  <c r="A3004" i="22"/>
  <c r="A3003" i="22"/>
  <c r="A3002" i="22"/>
  <c r="A3001" i="22"/>
  <c r="A3000" i="22"/>
  <c r="A2999" i="22"/>
  <c r="A2998" i="22"/>
  <c r="A2997" i="22"/>
  <c r="A2996" i="22"/>
  <c r="A2995" i="22"/>
  <c r="A2994" i="22"/>
  <c r="A2993" i="22"/>
  <c r="A2992" i="22"/>
  <c r="A2991" i="22"/>
  <c r="A2990" i="22"/>
  <c r="A2989" i="22"/>
  <c r="A2988" i="22"/>
  <c r="A2987" i="22"/>
  <c r="A2986" i="22"/>
  <c r="A2985" i="22"/>
  <c r="A2984" i="22"/>
  <c r="A2983" i="22"/>
  <c r="A2982" i="22"/>
  <c r="A2981" i="22"/>
  <c r="A2980" i="22"/>
  <c r="A2979" i="22"/>
  <c r="A2978" i="22"/>
  <c r="A2977" i="22"/>
  <c r="A2976" i="22"/>
  <c r="A2975" i="22"/>
  <c r="A2974" i="22"/>
  <c r="A2973" i="22"/>
  <c r="A2972" i="22"/>
  <c r="A2971" i="22"/>
  <c r="A2970" i="22"/>
  <c r="A2969" i="22"/>
  <c r="A2968" i="22"/>
  <c r="A2967" i="22"/>
  <c r="A2966" i="22"/>
  <c r="A2965" i="22"/>
  <c r="A2964" i="22"/>
  <c r="A2963" i="22"/>
  <c r="A2962" i="22"/>
  <c r="A2961" i="22"/>
  <c r="A2960" i="22"/>
  <c r="A2959" i="22"/>
  <c r="A2958" i="22"/>
  <c r="A2957" i="22"/>
  <c r="A2956" i="22"/>
  <c r="A2955" i="22"/>
  <c r="A2954" i="22"/>
  <c r="A2953" i="22"/>
  <c r="A2952" i="22"/>
  <c r="A2951" i="22"/>
  <c r="A2950" i="22"/>
  <c r="A2949" i="22"/>
  <c r="A2948" i="22"/>
  <c r="A2947" i="22"/>
  <c r="A2946" i="22"/>
  <c r="A2945" i="22"/>
  <c r="A2944" i="22"/>
  <c r="A2943" i="22"/>
  <c r="A2942" i="22"/>
  <c r="A2941" i="22"/>
  <c r="A2940" i="22"/>
  <c r="A2939" i="22"/>
  <c r="A2938" i="22"/>
  <c r="A2937" i="22"/>
  <c r="A2936" i="22"/>
  <c r="A2935" i="22"/>
  <c r="A2934" i="22"/>
  <c r="A2933" i="22"/>
  <c r="A2932" i="22"/>
  <c r="A2931" i="22"/>
  <c r="A2930" i="22"/>
  <c r="A2929" i="22"/>
  <c r="A2928" i="22"/>
  <c r="A2927" i="22"/>
  <c r="A2926" i="22"/>
  <c r="A2925" i="22"/>
  <c r="A2924" i="22"/>
  <c r="A2923" i="22"/>
  <c r="A2922" i="22"/>
  <c r="A2921" i="22"/>
  <c r="A2920" i="22"/>
  <c r="A2919" i="22"/>
  <c r="A2918" i="22"/>
  <c r="A2917" i="22"/>
  <c r="A2916" i="22"/>
  <c r="A2915" i="22"/>
  <c r="A2914" i="22"/>
  <c r="A2913" i="22"/>
  <c r="A2912" i="22"/>
  <c r="A2911" i="22"/>
  <c r="A2910" i="22"/>
  <c r="A2909" i="22"/>
  <c r="A2908" i="22"/>
  <c r="A2907" i="22"/>
  <c r="A2906" i="22"/>
  <c r="A2905" i="22"/>
  <c r="A2904" i="22"/>
  <c r="A2903" i="22"/>
  <c r="A2902" i="22"/>
  <c r="A2901" i="22"/>
  <c r="A2900" i="22"/>
  <c r="A2899" i="22"/>
  <c r="A2898" i="22"/>
  <c r="A2897" i="22"/>
  <c r="A2896" i="22"/>
  <c r="A2895" i="22"/>
  <c r="A2894" i="22"/>
  <c r="A2893" i="22"/>
  <c r="A2892" i="22"/>
  <c r="A2891" i="22"/>
  <c r="A2890" i="22"/>
  <c r="A2889" i="22"/>
  <c r="A2888" i="22"/>
  <c r="A2887" i="22"/>
  <c r="A2886" i="22"/>
  <c r="A2885" i="22"/>
  <c r="A2884" i="22"/>
  <c r="A2883" i="22"/>
  <c r="A2882" i="22"/>
  <c r="A2881" i="22"/>
  <c r="A2880" i="22"/>
  <c r="A2879" i="22"/>
  <c r="A2878" i="22"/>
  <c r="A2877" i="22"/>
  <c r="A2876" i="22"/>
  <c r="A2875" i="22"/>
  <c r="A2874" i="22"/>
  <c r="A2873" i="22"/>
  <c r="A2872" i="22"/>
  <c r="A2871" i="22"/>
  <c r="A2870" i="22"/>
  <c r="A2869" i="22"/>
  <c r="A2868" i="22"/>
  <c r="A2867" i="22"/>
  <c r="A2866" i="22"/>
  <c r="A2865" i="22"/>
  <c r="A2864" i="22"/>
  <c r="A2863" i="22"/>
  <c r="A2862" i="22"/>
  <c r="A2861" i="22"/>
  <c r="A2860" i="22"/>
  <c r="A2859" i="22"/>
  <c r="A2858" i="22"/>
  <c r="A2857" i="22"/>
  <c r="A2856" i="22"/>
  <c r="A2855" i="22"/>
  <c r="A2854" i="22"/>
  <c r="A2853" i="22"/>
  <c r="A2852" i="22"/>
  <c r="A2851" i="22"/>
  <c r="A2850" i="22"/>
  <c r="A2849" i="22"/>
  <c r="A2848" i="22"/>
  <c r="A2847" i="22"/>
  <c r="A2846" i="22"/>
  <c r="A2845" i="22"/>
  <c r="A2844" i="22"/>
  <c r="A2843" i="22"/>
  <c r="A2842" i="22"/>
  <c r="A2841" i="22"/>
  <c r="A2840" i="22"/>
  <c r="A2839" i="22"/>
  <c r="A2838" i="22"/>
  <c r="A2837" i="22"/>
  <c r="A2836" i="22"/>
  <c r="A2835" i="22"/>
  <c r="A2834" i="22"/>
  <c r="A2833" i="22"/>
  <c r="A2832" i="22"/>
  <c r="A2831" i="22"/>
  <c r="A2830" i="22"/>
  <c r="A2829" i="22"/>
  <c r="A2828" i="22"/>
  <c r="A2827" i="22"/>
  <c r="A2826" i="22"/>
  <c r="A2825" i="22"/>
  <c r="A2824" i="22"/>
  <c r="A2823" i="22"/>
  <c r="A2822" i="22"/>
  <c r="A2821" i="22"/>
  <c r="A2820" i="22"/>
  <c r="A2819" i="22"/>
  <c r="A2818" i="22"/>
  <c r="A2817" i="22"/>
  <c r="A2816" i="22"/>
  <c r="A2815" i="22"/>
  <c r="A2814" i="22"/>
  <c r="A2813" i="22"/>
  <c r="A2812" i="22"/>
  <c r="A2811" i="22"/>
  <c r="A2810" i="22"/>
  <c r="A2809" i="22"/>
  <c r="A2808" i="22"/>
  <c r="A2807" i="22"/>
  <c r="A2806" i="22"/>
  <c r="A2805" i="22"/>
  <c r="A2804" i="22"/>
  <c r="A2803" i="22"/>
  <c r="A2802" i="22"/>
  <c r="A2801" i="22"/>
  <c r="A2800" i="22"/>
  <c r="A2799" i="22"/>
  <c r="A2798" i="22"/>
  <c r="A2797" i="22"/>
  <c r="A2796" i="22"/>
  <c r="A2795" i="22"/>
  <c r="A2794" i="22"/>
  <c r="A2793" i="22"/>
  <c r="A2792" i="22"/>
  <c r="A2791" i="22"/>
  <c r="A2790" i="22"/>
  <c r="A2789" i="22"/>
  <c r="A2788" i="22"/>
  <c r="A2787" i="22"/>
  <c r="A2786" i="22"/>
  <c r="A2785" i="22"/>
  <c r="A2784" i="22"/>
  <c r="A2783" i="22"/>
  <c r="A2782" i="22"/>
  <c r="A2781" i="22"/>
  <c r="A2780" i="22"/>
  <c r="A2779" i="22"/>
  <c r="A2778" i="22"/>
  <c r="A2777" i="22"/>
  <c r="A2776" i="22"/>
  <c r="A2775" i="22"/>
  <c r="A2774" i="22"/>
  <c r="A2773" i="22"/>
  <c r="A2772" i="22"/>
  <c r="A2771" i="22"/>
  <c r="A2770" i="22"/>
  <c r="A2769" i="22"/>
  <c r="A2768" i="22"/>
  <c r="A2767" i="22"/>
  <c r="A2766" i="22"/>
  <c r="A2765" i="22"/>
  <c r="A2764" i="22"/>
  <c r="A2763" i="22"/>
  <c r="A2762" i="22"/>
  <c r="A2761" i="22"/>
  <c r="A2760" i="22"/>
  <c r="A2759" i="22"/>
  <c r="A2758" i="22"/>
  <c r="A2757" i="22"/>
  <c r="A2756" i="22"/>
  <c r="A2755" i="22"/>
  <c r="A2754" i="22"/>
  <c r="A2753" i="22"/>
  <c r="A2752" i="22"/>
  <c r="A2751" i="22"/>
  <c r="A2750" i="22"/>
  <c r="A2749" i="22"/>
  <c r="A2748" i="22"/>
  <c r="A2747" i="22"/>
  <c r="A2746" i="22"/>
  <c r="A2745" i="22"/>
  <c r="A2744" i="22"/>
  <c r="A2743" i="22"/>
  <c r="A2742" i="22"/>
  <c r="A2741" i="22"/>
  <c r="A2740" i="22"/>
  <c r="A2739" i="22"/>
  <c r="A2738" i="22"/>
  <c r="A2737" i="22"/>
  <c r="A2736" i="22"/>
  <c r="A2735" i="22"/>
  <c r="A2734" i="22"/>
  <c r="A2733" i="22"/>
  <c r="A2732" i="22"/>
  <c r="A2731" i="22"/>
  <c r="A2730" i="22"/>
  <c r="A2729" i="22"/>
  <c r="A2728" i="22"/>
  <c r="A2727" i="22"/>
  <c r="A2726" i="22"/>
  <c r="A2725" i="22"/>
  <c r="A2724" i="22"/>
  <c r="A2723" i="22"/>
  <c r="A2722" i="22"/>
  <c r="A2721" i="22"/>
  <c r="A2720" i="22"/>
  <c r="A2719" i="22"/>
  <c r="A2718" i="22"/>
  <c r="A2717" i="22"/>
  <c r="A2716" i="22"/>
  <c r="A2715" i="22"/>
  <c r="A2714" i="22"/>
  <c r="A2713" i="22"/>
  <c r="A2712" i="22"/>
  <c r="A2711" i="22"/>
  <c r="A2710" i="22"/>
  <c r="A2709" i="22"/>
  <c r="A2708" i="22"/>
  <c r="A2707" i="22"/>
  <c r="A2706" i="22"/>
  <c r="A2705" i="22"/>
  <c r="A2704" i="22"/>
  <c r="A2703" i="22"/>
  <c r="A2702" i="22"/>
  <c r="A2701" i="22"/>
  <c r="A2700" i="22"/>
  <c r="A2699" i="22"/>
  <c r="A2698" i="22"/>
  <c r="A2697" i="22"/>
  <c r="A2696" i="22"/>
  <c r="A2695" i="22"/>
  <c r="A2694" i="22"/>
  <c r="A2693" i="22"/>
  <c r="A2692" i="22"/>
  <c r="A2691" i="22"/>
  <c r="A2690" i="22"/>
  <c r="A2689" i="22"/>
  <c r="A2688" i="22"/>
  <c r="A2687" i="22"/>
  <c r="A2686" i="22"/>
  <c r="A2685" i="22"/>
  <c r="A2684" i="22"/>
  <c r="A2683" i="22"/>
  <c r="A2682" i="22"/>
  <c r="A2681" i="22"/>
  <c r="A2680" i="22"/>
  <c r="A2679" i="22"/>
  <c r="A2678" i="22"/>
  <c r="A2677" i="22"/>
  <c r="A2676" i="22"/>
  <c r="A2675" i="22"/>
  <c r="A2674" i="22"/>
  <c r="A2673" i="22"/>
  <c r="A2672" i="22"/>
  <c r="A2671" i="22"/>
  <c r="A2670" i="22"/>
  <c r="A2669" i="22"/>
  <c r="A2668" i="22"/>
  <c r="A2667" i="22"/>
  <c r="A2666" i="22"/>
  <c r="A2665" i="22"/>
  <c r="A2664" i="22"/>
  <c r="A2663" i="22"/>
  <c r="A2662" i="22"/>
  <c r="A2661" i="22"/>
  <c r="A2660" i="22"/>
  <c r="A2659" i="22"/>
  <c r="A2658" i="22"/>
  <c r="A2657" i="22"/>
  <c r="A2656" i="22"/>
  <c r="A2655" i="22"/>
  <c r="A2654" i="22"/>
  <c r="A2653" i="22"/>
  <c r="A2652" i="22"/>
  <c r="A2651" i="22"/>
  <c r="A2650" i="22"/>
  <c r="A2649" i="22"/>
  <c r="A2648" i="22"/>
  <c r="A2647" i="22"/>
  <c r="A2646" i="22"/>
  <c r="A2645" i="22"/>
  <c r="A2644" i="22"/>
  <c r="A2643" i="22"/>
  <c r="A2642" i="22"/>
  <c r="A2641" i="22"/>
  <c r="A2640" i="22"/>
  <c r="A2639" i="22"/>
  <c r="A2638" i="22"/>
  <c r="A2637" i="22"/>
  <c r="A2636" i="22"/>
  <c r="A2635" i="22"/>
  <c r="A2634" i="22"/>
  <c r="A2633" i="22"/>
  <c r="A2632" i="22"/>
  <c r="A2631" i="22"/>
  <c r="A2630" i="22"/>
  <c r="A2629" i="22"/>
  <c r="A2628" i="22"/>
  <c r="A2627" i="22"/>
  <c r="A2626" i="22"/>
  <c r="A2625" i="22"/>
  <c r="A2624" i="22"/>
  <c r="A2623" i="22"/>
  <c r="A2622" i="22"/>
  <c r="A2621" i="22"/>
  <c r="A2620" i="22"/>
  <c r="A2619" i="22"/>
  <c r="A2618" i="22"/>
  <c r="A2617" i="22"/>
  <c r="A2616" i="22"/>
  <c r="A2615" i="22"/>
  <c r="A2614" i="22"/>
  <c r="A2613" i="22"/>
  <c r="A2612" i="22"/>
  <c r="A2611" i="22"/>
  <c r="A2610" i="22"/>
  <c r="A2609" i="22"/>
  <c r="A2608" i="22"/>
  <c r="A2607" i="22"/>
  <c r="A2606" i="22"/>
  <c r="A2605" i="22"/>
  <c r="A2604" i="22"/>
  <c r="A2603" i="22"/>
  <c r="A2602" i="22"/>
  <c r="A2601" i="22"/>
  <c r="A2600" i="22"/>
  <c r="A2599" i="22"/>
  <c r="A2598" i="22"/>
  <c r="A2597" i="22"/>
  <c r="A2596" i="22"/>
  <c r="A2595" i="22"/>
  <c r="A2594" i="22"/>
  <c r="A2593" i="22"/>
  <c r="A2592" i="22"/>
  <c r="A2591" i="22"/>
  <c r="A2590" i="22"/>
  <c r="A2589" i="22"/>
  <c r="A2588" i="22"/>
  <c r="A2587" i="22"/>
  <c r="A2586" i="22"/>
  <c r="A2585" i="22"/>
  <c r="A2584" i="22"/>
  <c r="A2583" i="22"/>
  <c r="A2582" i="22"/>
  <c r="A2581" i="22"/>
  <c r="A2580" i="22"/>
  <c r="A2579" i="22"/>
  <c r="A2578" i="22"/>
  <c r="A2577" i="22"/>
  <c r="A2576" i="22"/>
  <c r="A2575" i="22"/>
  <c r="A2574" i="22"/>
  <c r="A2573" i="22"/>
  <c r="A2572" i="22"/>
  <c r="A2571" i="22"/>
  <c r="A2570" i="22"/>
  <c r="A2569" i="22"/>
  <c r="A2568" i="22"/>
  <c r="A2567" i="22"/>
  <c r="A2566" i="22"/>
  <c r="A2565" i="22"/>
  <c r="A2564" i="22"/>
  <c r="A2563" i="22"/>
  <c r="A2562" i="22"/>
  <c r="A2561" i="22"/>
  <c r="A2560" i="22"/>
  <c r="A2559" i="22"/>
  <c r="A2558" i="22"/>
  <c r="A2557" i="22"/>
  <c r="A2556" i="22"/>
  <c r="A2555" i="22"/>
  <c r="A2554" i="22"/>
  <c r="A2553" i="22"/>
  <c r="A2552" i="22"/>
  <c r="A2551" i="22"/>
  <c r="A2550" i="22"/>
  <c r="A2549" i="22"/>
  <c r="A2548" i="22"/>
  <c r="A2547" i="22"/>
  <c r="A2546" i="22"/>
  <c r="A2545" i="22"/>
  <c r="A2544" i="22"/>
  <c r="A2543" i="22"/>
  <c r="A2542" i="22"/>
  <c r="A2541" i="22"/>
  <c r="A2540" i="22"/>
  <c r="A2539" i="22"/>
  <c r="A2538" i="22"/>
  <c r="A2537" i="22"/>
  <c r="A2536" i="22"/>
  <c r="A2535" i="22"/>
  <c r="A2534" i="22"/>
  <c r="A2533" i="22"/>
  <c r="A2532" i="22"/>
  <c r="A2531" i="22"/>
  <c r="A2530" i="22"/>
  <c r="A2529" i="22"/>
  <c r="A2528" i="22"/>
  <c r="A2527" i="22"/>
  <c r="A2526" i="22"/>
  <c r="A2525" i="22"/>
  <c r="A2524" i="22"/>
  <c r="A2523" i="22"/>
  <c r="A2522" i="22"/>
  <c r="A2521" i="22"/>
  <c r="A2520" i="22"/>
  <c r="A2519" i="22"/>
  <c r="A2518" i="22"/>
  <c r="A2517" i="22"/>
  <c r="A2516" i="22"/>
  <c r="A2515" i="22"/>
  <c r="A2514" i="22"/>
  <c r="A2513" i="22"/>
  <c r="A2512" i="22"/>
  <c r="A2511" i="22"/>
  <c r="A2510" i="22"/>
  <c r="A2509" i="22"/>
  <c r="A2508" i="22"/>
  <c r="A2507" i="22"/>
  <c r="A2506" i="22"/>
  <c r="A2505" i="22"/>
  <c r="A2504" i="22"/>
  <c r="A2503" i="22"/>
  <c r="A2502" i="22"/>
  <c r="A2501" i="22"/>
  <c r="A2500" i="22"/>
  <c r="A2499" i="22"/>
  <c r="A2498" i="22"/>
  <c r="A2497" i="22"/>
  <c r="A2496" i="22"/>
  <c r="A2495" i="22"/>
  <c r="A2494" i="22"/>
  <c r="A2493" i="22"/>
  <c r="A2492" i="22"/>
  <c r="A2491" i="22"/>
  <c r="A2490" i="22"/>
  <c r="A2489" i="22"/>
  <c r="A2488" i="22"/>
  <c r="A2487" i="22"/>
  <c r="A2486" i="22"/>
  <c r="A2485" i="22"/>
  <c r="A2484" i="22"/>
  <c r="A2483" i="22"/>
  <c r="A2482" i="22"/>
  <c r="A2481" i="22"/>
  <c r="A2480" i="22"/>
  <c r="A2479" i="22"/>
  <c r="A2478" i="22"/>
  <c r="A2477" i="22"/>
  <c r="A2476" i="22"/>
  <c r="A2475" i="22"/>
  <c r="A2474" i="22"/>
  <c r="A2473" i="22"/>
  <c r="A2472" i="22"/>
  <c r="A2471" i="22"/>
  <c r="A2470" i="22"/>
  <c r="A2469" i="22"/>
  <c r="A2468" i="22"/>
  <c r="A2467" i="22"/>
  <c r="A2466" i="22"/>
  <c r="A2465" i="22"/>
  <c r="A2464" i="22"/>
  <c r="A2463" i="22"/>
  <c r="A2462" i="22"/>
  <c r="A2461" i="22"/>
  <c r="A2460" i="22"/>
  <c r="A2459" i="22"/>
  <c r="A2458" i="22"/>
  <c r="A2457" i="22"/>
  <c r="A2456" i="22"/>
  <c r="A2455" i="22"/>
  <c r="A2454" i="22"/>
  <c r="A2453" i="22"/>
  <c r="A2452" i="22"/>
  <c r="A2451" i="22"/>
  <c r="A2450" i="22"/>
  <c r="A2449" i="22"/>
  <c r="A2448" i="22"/>
  <c r="A2447" i="22"/>
  <c r="A2446" i="22"/>
  <c r="A2445" i="22"/>
  <c r="A2444" i="22"/>
  <c r="A2443" i="22"/>
  <c r="A2442" i="22"/>
  <c r="A2441" i="22"/>
  <c r="A2440" i="22"/>
  <c r="A2439" i="22"/>
  <c r="A2438" i="22"/>
  <c r="A2437" i="22"/>
  <c r="A2436" i="22"/>
  <c r="A2435" i="22"/>
  <c r="A2434" i="22"/>
  <c r="A2433" i="22"/>
  <c r="A2432" i="22"/>
  <c r="A2431" i="22"/>
  <c r="A2430" i="22"/>
  <c r="A2429" i="22"/>
  <c r="A2428" i="22"/>
  <c r="A2427" i="22"/>
  <c r="A2426" i="22"/>
  <c r="A2425" i="22"/>
  <c r="A2424" i="22"/>
  <c r="A2423" i="22"/>
  <c r="A2422" i="22"/>
  <c r="A2421" i="22"/>
  <c r="A2420" i="22"/>
  <c r="A2419" i="22"/>
  <c r="A2418" i="22"/>
  <c r="A2417" i="22"/>
  <c r="A2416" i="22"/>
  <c r="A2415" i="22"/>
  <c r="A2414" i="22"/>
  <c r="A2413" i="22"/>
  <c r="A2412" i="22"/>
  <c r="A2411" i="22"/>
  <c r="A2410" i="22"/>
  <c r="A2409" i="22"/>
  <c r="A2408" i="22"/>
  <c r="A2407" i="22"/>
  <c r="A2406" i="22"/>
  <c r="A2405" i="22"/>
  <c r="A2404" i="22"/>
  <c r="A2403" i="22"/>
  <c r="A2402" i="22"/>
  <c r="A2401" i="22"/>
  <c r="A2400" i="22"/>
  <c r="A2399" i="22"/>
  <c r="A2398" i="22"/>
  <c r="A2397" i="22"/>
  <c r="A2396" i="22"/>
  <c r="A2395" i="22"/>
  <c r="A2394" i="22"/>
  <c r="A2393" i="22"/>
  <c r="A2392" i="22"/>
  <c r="A2391" i="22"/>
  <c r="A2390" i="22"/>
  <c r="A2389" i="22"/>
  <c r="A2388" i="22"/>
  <c r="A2387" i="22"/>
  <c r="A2386" i="22"/>
  <c r="A2385" i="22"/>
  <c r="A2384" i="22"/>
  <c r="A2383" i="22"/>
  <c r="A2382" i="22"/>
  <c r="A2381" i="22"/>
  <c r="A2380" i="22"/>
  <c r="A2379" i="22"/>
  <c r="A2378" i="22"/>
  <c r="A2377" i="22"/>
  <c r="A2376" i="22"/>
  <c r="A2375" i="22"/>
  <c r="A2374" i="22"/>
  <c r="A2373" i="22"/>
  <c r="A2372" i="22"/>
  <c r="A2371" i="22"/>
  <c r="A2370" i="22"/>
  <c r="A2369" i="22"/>
  <c r="A2368" i="22"/>
  <c r="A2367" i="22"/>
  <c r="A2366" i="22"/>
  <c r="A2365" i="22"/>
  <c r="A2364" i="22"/>
  <c r="A2363" i="22"/>
  <c r="A2362" i="22"/>
  <c r="A2361" i="22"/>
  <c r="A2360" i="22"/>
  <c r="A2359" i="22"/>
  <c r="A2358" i="22"/>
  <c r="A2357" i="22"/>
  <c r="A2356" i="22"/>
  <c r="A2355" i="22"/>
  <c r="A2354" i="22"/>
  <c r="A2353" i="22"/>
  <c r="A2352" i="22"/>
  <c r="A2351" i="22"/>
  <c r="A2350" i="22"/>
  <c r="A2349" i="22"/>
  <c r="A2348" i="22"/>
  <c r="A2347" i="22"/>
  <c r="A2346" i="22"/>
  <c r="A2345" i="22"/>
  <c r="A2344" i="22"/>
  <c r="A2343" i="22"/>
  <c r="A2342" i="22"/>
  <c r="A2341" i="22"/>
  <c r="A2340" i="22"/>
  <c r="A2339" i="22"/>
  <c r="A2338" i="22"/>
  <c r="A2337" i="22"/>
  <c r="A2336" i="22"/>
  <c r="A2335" i="22"/>
  <c r="A2334" i="22"/>
  <c r="A2333" i="22"/>
  <c r="A2332" i="22"/>
  <c r="A2331" i="22"/>
  <c r="A2330" i="22"/>
  <c r="A2329" i="22"/>
  <c r="A2328" i="22"/>
  <c r="A2327" i="22"/>
  <c r="A2326" i="22"/>
  <c r="A2325" i="22"/>
  <c r="A2324" i="22"/>
  <c r="A2323" i="22"/>
  <c r="A2322" i="22"/>
  <c r="A2321" i="22"/>
  <c r="A2320" i="22"/>
  <c r="A2319" i="22"/>
  <c r="A2318" i="22"/>
  <c r="A2317" i="22"/>
  <c r="A2316" i="22"/>
  <c r="A2315" i="22"/>
  <c r="A2314" i="22"/>
  <c r="A2313" i="22"/>
  <c r="A2312" i="22"/>
  <c r="A2311" i="22"/>
  <c r="A2310" i="22"/>
  <c r="A2309" i="22"/>
  <c r="A2308" i="22"/>
  <c r="A2307" i="22"/>
  <c r="A2306" i="22"/>
  <c r="A2305" i="22"/>
  <c r="A2304" i="22"/>
  <c r="A2303" i="22"/>
  <c r="A2302" i="22"/>
  <c r="A2301" i="22"/>
  <c r="A2300" i="22"/>
  <c r="A2299" i="22"/>
  <c r="A2298" i="22"/>
  <c r="A2297" i="22"/>
  <c r="A2296" i="22"/>
  <c r="A2295" i="22"/>
  <c r="A2294" i="22"/>
  <c r="A2293" i="22"/>
  <c r="A2292" i="22"/>
  <c r="A2291" i="22"/>
  <c r="A2290" i="22"/>
  <c r="A2289" i="22"/>
  <c r="A2288" i="22"/>
  <c r="A2287" i="22"/>
  <c r="A2286" i="22"/>
  <c r="A2285" i="22"/>
  <c r="A2284" i="22"/>
  <c r="A2283" i="22"/>
  <c r="A2282" i="22"/>
  <c r="A2281" i="22"/>
  <c r="A2280" i="22"/>
  <c r="A2279" i="22"/>
  <c r="A2278" i="22"/>
  <c r="A2277" i="22"/>
  <c r="A2276" i="22"/>
  <c r="A2275" i="22"/>
  <c r="A2274" i="22"/>
  <c r="A2273" i="22"/>
  <c r="A2272" i="22"/>
  <c r="A2271" i="22"/>
  <c r="A2270" i="22"/>
  <c r="A2269" i="22"/>
  <c r="A2268" i="22"/>
  <c r="A2267" i="22"/>
  <c r="A2266" i="22"/>
  <c r="A2265" i="22"/>
  <c r="A2264" i="22"/>
  <c r="A2263" i="22"/>
  <c r="A2262" i="22"/>
  <c r="A2261" i="22"/>
  <c r="A2260" i="22"/>
  <c r="A2259" i="22"/>
  <c r="A2258" i="22"/>
  <c r="A2257" i="22"/>
  <c r="A2256" i="22"/>
  <c r="A2255" i="22"/>
  <c r="A2254" i="22"/>
  <c r="A2253" i="22"/>
  <c r="A2252" i="22"/>
  <c r="A2251" i="22"/>
  <c r="A2250" i="22"/>
  <c r="A2249" i="22"/>
  <c r="A2248" i="22"/>
  <c r="A2247" i="22"/>
  <c r="A2246" i="22"/>
  <c r="A2245" i="22"/>
  <c r="A2244" i="22"/>
  <c r="A2243" i="22"/>
  <c r="A2242" i="22"/>
  <c r="A2241" i="22"/>
  <c r="A2240" i="22"/>
  <c r="A2239" i="22"/>
  <c r="A2238" i="22"/>
  <c r="A2237" i="22"/>
  <c r="A2236" i="22"/>
  <c r="A2235" i="22"/>
  <c r="A2234" i="22"/>
  <c r="A2233" i="22"/>
  <c r="A2232" i="22"/>
  <c r="A2231" i="22"/>
  <c r="A2230" i="22"/>
  <c r="A2229" i="22"/>
  <c r="A2228" i="22"/>
  <c r="A2227" i="22"/>
  <c r="A2226" i="22"/>
  <c r="A2225" i="22"/>
  <c r="A2224" i="22"/>
  <c r="A2223" i="22"/>
  <c r="A2222" i="22"/>
  <c r="A2221" i="22"/>
  <c r="A2220" i="22"/>
  <c r="A2219" i="22"/>
  <c r="A2218" i="22"/>
  <c r="A2217" i="22"/>
  <c r="A2216" i="22"/>
  <c r="A2215" i="22"/>
  <c r="A2214" i="22"/>
  <c r="A2213" i="22"/>
  <c r="A2212" i="22"/>
  <c r="A2211" i="22"/>
  <c r="A2210" i="22"/>
  <c r="A2209" i="22"/>
  <c r="A2208" i="22"/>
  <c r="A2207" i="22"/>
  <c r="A2206" i="22"/>
  <c r="A2205" i="22"/>
  <c r="A2204" i="22"/>
  <c r="A2203" i="22"/>
  <c r="A2202" i="22"/>
  <c r="A2201" i="22"/>
  <c r="A2200" i="22"/>
  <c r="A2199" i="22"/>
  <c r="A2198" i="22"/>
  <c r="A2197" i="22"/>
  <c r="A2196" i="22"/>
  <c r="A2195" i="22"/>
  <c r="A2194" i="22"/>
  <c r="A2193" i="22"/>
  <c r="A2192" i="22"/>
  <c r="A2191" i="22"/>
  <c r="A2190" i="22"/>
  <c r="A2189" i="22"/>
  <c r="A2188" i="22"/>
  <c r="A2187" i="22"/>
  <c r="A2186" i="22"/>
  <c r="A2185" i="22"/>
  <c r="A2184" i="22"/>
  <c r="A2183" i="22"/>
  <c r="A2182" i="22"/>
  <c r="A2181" i="22"/>
  <c r="A2180" i="22"/>
  <c r="A2179" i="22"/>
  <c r="A2178" i="22"/>
  <c r="A2177" i="22"/>
  <c r="A2176" i="22"/>
  <c r="A2175" i="22"/>
  <c r="A2174" i="22"/>
  <c r="A2173" i="22"/>
  <c r="A2172" i="22"/>
  <c r="A2171" i="22"/>
  <c r="A2170" i="22"/>
  <c r="A2169" i="22"/>
  <c r="A2168" i="22"/>
  <c r="A2167" i="22"/>
  <c r="A2166" i="22"/>
  <c r="A2165" i="22"/>
  <c r="A2164" i="22"/>
  <c r="A2163" i="22"/>
  <c r="A2162" i="22"/>
  <c r="A2161" i="22"/>
  <c r="A2160" i="22"/>
  <c r="A2159" i="22"/>
  <c r="A2158" i="22"/>
  <c r="A2157" i="22"/>
  <c r="A2156" i="22"/>
  <c r="A2155" i="22"/>
  <c r="A2154" i="22"/>
  <c r="A2153" i="22"/>
  <c r="A2152" i="22"/>
  <c r="A2151" i="22"/>
  <c r="A2150" i="22"/>
  <c r="A2149" i="22"/>
  <c r="A2148" i="22"/>
  <c r="A2147" i="22"/>
  <c r="A2146" i="22"/>
  <c r="A2145" i="22"/>
  <c r="A2144" i="22"/>
  <c r="A2143" i="22"/>
  <c r="A2142" i="22"/>
  <c r="A2141" i="22"/>
  <c r="A2140" i="22"/>
  <c r="A2139" i="22"/>
  <c r="A2138" i="22"/>
  <c r="A2137" i="22"/>
  <c r="A2136" i="22"/>
  <c r="A2135" i="22"/>
  <c r="A2134" i="22"/>
  <c r="A2133" i="22"/>
  <c r="A2132" i="22"/>
  <c r="A2131" i="22"/>
  <c r="A2130" i="22"/>
  <c r="A2129" i="22"/>
  <c r="A2128" i="22"/>
  <c r="A2127" i="22"/>
  <c r="A2126" i="22"/>
  <c r="A2125" i="22"/>
  <c r="A2124" i="22"/>
  <c r="A2123" i="22"/>
  <c r="A2122" i="22"/>
  <c r="A2121" i="22"/>
  <c r="A2120" i="22"/>
  <c r="A2119" i="22"/>
  <c r="A2118" i="22"/>
  <c r="A2117" i="22"/>
  <c r="A2116" i="22"/>
  <c r="A2115" i="22"/>
  <c r="A2114" i="22"/>
  <c r="A2113" i="22"/>
  <c r="A2112" i="22"/>
  <c r="A2111" i="22"/>
  <c r="A2110" i="22"/>
  <c r="A2109" i="22"/>
  <c r="A2108" i="22"/>
  <c r="A2107" i="22"/>
  <c r="A2106" i="22"/>
  <c r="A2105" i="22"/>
  <c r="A2104" i="22"/>
  <c r="A2103" i="22"/>
  <c r="A2102" i="22"/>
  <c r="A2101" i="22"/>
  <c r="A2100" i="22"/>
  <c r="A2099" i="22"/>
  <c r="A2098" i="22"/>
  <c r="A2097" i="22"/>
  <c r="A2096" i="22"/>
  <c r="A2095" i="22"/>
  <c r="A2094" i="22"/>
  <c r="A2093" i="22"/>
  <c r="A2092" i="22"/>
  <c r="A2091" i="22"/>
  <c r="A2090" i="22"/>
  <c r="A2089" i="22"/>
  <c r="A2088" i="22"/>
  <c r="A2087" i="22"/>
  <c r="A2086" i="22"/>
  <c r="A2085" i="22"/>
  <c r="A2084" i="22"/>
  <c r="A2083" i="22"/>
  <c r="A2082" i="22"/>
  <c r="A2081" i="22"/>
  <c r="A2080" i="22"/>
  <c r="A2079" i="22"/>
  <c r="A2078" i="22"/>
  <c r="A2077" i="22"/>
  <c r="A2076" i="22"/>
  <c r="A2075" i="22"/>
  <c r="A2074" i="22"/>
  <c r="A2073" i="22"/>
  <c r="A2072" i="22"/>
  <c r="A2071" i="22"/>
  <c r="A2070" i="22"/>
  <c r="A2069" i="22"/>
  <c r="A2068" i="22"/>
  <c r="A2067" i="22"/>
  <c r="A2066" i="22"/>
  <c r="A2065" i="22"/>
  <c r="A2064" i="22"/>
  <c r="A2063" i="22"/>
  <c r="A2062" i="22"/>
  <c r="A2061" i="22"/>
  <c r="A2060" i="22"/>
  <c r="A2059" i="22"/>
  <c r="A2058" i="22"/>
  <c r="A2057" i="22"/>
  <c r="A2056" i="22"/>
  <c r="A2055" i="22"/>
  <c r="A2054" i="22"/>
  <c r="A2053" i="22"/>
  <c r="A2052" i="22"/>
  <c r="A2051" i="22"/>
  <c r="A2050" i="22"/>
  <c r="A2049" i="22"/>
  <c r="A2048" i="22"/>
  <c r="A2047" i="22"/>
  <c r="A2046" i="22"/>
  <c r="A2045" i="22"/>
  <c r="A2044" i="22"/>
  <c r="A2043" i="22"/>
  <c r="A2042" i="22"/>
  <c r="A2041" i="22"/>
  <c r="A2040" i="22"/>
  <c r="A2039" i="22"/>
  <c r="A2038" i="22"/>
  <c r="A2037" i="22"/>
  <c r="A2036" i="22"/>
  <c r="A2035" i="22"/>
  <c r="A2034" i="22"/>
  <c r="A2033" i="22"/>
  <c r="A2032" i="22"/>
  <c r="A2031" i="22"/>
  <c r="A2030" i="22"/>
  <c r="A2029" i="22"/>
  <c r="A2028" i="22"/>
  <c r="A2027" i="22"/>
  <c r="A2026" i="22"/>
  <c r="A2025" i="22"/>
  <c r="A2024" i="22"/>
  <c r="A2023" i="22"/>
  <c r="A2022" i="22"/>
  <c r="A2021" i="22"/>
  <c r="A2020" i="22"/>
  <c r="A2019" i="22"/>
  <c r="A2018" i="22"/>
  <c r="A2017" i="22"/>
  <c r="A2016" i="22"/>
  <c r="A2015" i="22"/>
  <c r="A2014" i="22"/>
  <c r="A2013" i="22"/>
  <c r="A2012" i="22"/>
  <c r="A2011" i="22"/>
  <c r="A2010" i="22"/>
  <c r="A2009" i="22"/>
  <c r="A2008" i="22"/>
  <c r="A2007" i="22"/>
  <c r="A2006" i="22"/>
  <c r="A2005" i="22"/>
  <c r="A2004" i="22"/>
  <c r="A2003" i="22"/>
  <c r="A2002" i="22"/>
  <c r="A2001" i="22"/>
  <c r="A2000" i="22"/>
  <c r="A1999" i="22"/>
  <c r="A1998" i="22"/>
  <c r="A1997" i="22"/>
  <c r="A1996" i="22"/>
  <c r="A1995" i="22"/>
  <c r="A1994" i="22"/>
  <c r="A1993" i="22"/>
  <c r="A1992" i="22"/>
  <c r="A1991" i="22"/>
  <c r="A1990" i="22"/>
  <c r="A1989" i="22"/>
  <c r="A1988" i="22"/>
  <c r="A1987" i="22"/>
  <c r="A1986" i="22"/>
  <c r="A1985" i="22"/>
  <c r="A1984" i="22"/>
  <c r="A1983" i="22"/>
  <c r="A1982" i="22"/>
  <c r="A1981" i="22"/>
  <c r="A1980" i="22"/>
  <c r="A1979" i="22"/>
  <c r="A1978" i="22"/>
  <c r="A1977" i="22"/>
  <c r="A1976" i="22"/>
  <c r="A1975" i="22"/>
  <c r="A1974" i="22"/>
  <c r="A1973" i="22"/>
  <c r="A1972" i="22"/>
  <c r="A1971" i="22"/>
  <c r="A1970" i="22"/>
  <c r="A1969" i="22"/>
  <c r="A1968" i="22"/>
  <c r="A1967" i="22"/>
  <c r="A1966" i="22"/>
  <c r="A1965" i="22"/>
  <c r="A1964" i="22"/>
  <c r="A1963" i="22"/>
  <c r="A1962" i="22"/>
  <c r="A1961" i="22"/>
  <c r="A1960" i="22"/>
  <c r="A1959" i="22"/>
  <c r="A1958" i="22"/>
  <c r="A1957" i="22"/>
  <c r="A1956" i="22"/>
  <c r="A1955" i="22"/>
  <c r="A1954" i="22"/>
  <c r="A1953" i="22"/>
  <c r="A1952" i="22"/>
  <c r="A1951" i="22"/>
  <c r="A1950" i="22"/>
  <c r="A1949" i="22"/>
  <c r="A1948" i="22"/>
  <c r="A1947" i="22"/>
  <c r="A1946" i="22"/>
  <c r="A1945" i="22"/>
  <c r="A1944" i="22"/>
  <c r="A1943" i="22"/>
  <c r="A1942" i="22"/>
  <c r="A1941" i="22"/>
  <c r="A1940" i="22"/>
  <c r="A1939" i="22"/>
  <c r="A1938" i="22"/>
  <c r="A1937" i="22"/>
  <c r="A1936" i="22"/>
  <c r="A1935" i="22"/>
  <c r="A1934" i="22"/>
  <c r="A1933" i="22"/>
  <c r="A1932" i="22"/>
  <c r="A1931" i="22"/>
  <c r="A1930" i="22"/>
  <c r="A1929" i="22"/>
  <c r="A1928" i="22"/>
  <c r="A1927" i="22"/>
  <c r="A1926" i="22"/>
  <c r="A1925" i="22"/>
  <c r="A1924" i="22"/>
  <c r="A1923" i="22"/>
  <c r="A1922" i="22"/>
  <c r="A1921" i="22"/>
  <c r="A1920" i="22"/>
  <c r="A1919" i="22"/>
  <c r="A1918" i="22"/>
  <c r="A1917" i="22"/>
  <c r="A1916" i="22"/>
  <c r="A1915" i="22"/>
  <c r="A1914" i="22"/>
  <c r="A1913" i="22"/>
  <c r="A1912" i="22"/>
  <c r="A1911" i="22"/>
  <c r="A1910" i="22"/>
  <c r="A1909" i="22"/>
  <c r="A1908" i="22"/>
  <c r="A1907" i="22"/>
  <c r="A1906" i="22"/>
  <c r="A1905" i="22"/>
  <c r="A1904" i="22"/>
  <c r="A1903" i="22"/>
  <c r="A1902" i="22"/>
  <c r="A1901" i="22"/>
  <c r="A1900" i="22"/>
  <c r="A1899" i="22"/>
  <c r="A1898" i="22"/>
  <c r="A1897" i="22"/>
  <c r="A1896" i="22"/>
  <c r="A1895" i="22"/>
  <c r="A1894" i="22"/>
  <c r="A1893" i="22"/>
  <c r="A1892" i="22"/>
  <c r="A1891" i="22"/>
  <c r="A1890" i="22"/>
  <c r="A1889" i="22"/>
  <c r="A1888" i="22"/>
  <c r="A1887" i="22"/>
  <c r="A1886" i="22"/>
  <c r="A1885" i="22"/>
  <c r="A1884" i="22"/>
  <c r="A1883" i="22"/>
  <c r="A1882" i="22"/>
  <c r="A1881" i="22"/>
  <c r="A1880" i="22"/>
  <c r="A1879" i="22"/>
  <c r="A1878" i="22"/>
  <c r="A1877" i="22"/>
  <c r="A1876" i="22"/>
  <c r="A1875" i="22"/>
  <c r="A1874" i="22"/>
  <c r="A1873" i="22"/>
  <c r="A1872" i="22"/>
  <c r="A1871" i="22"/>
  <c r="A1870" i="22"/>
  <c r="A1869" i="22"/>
  <c r="A1868" i="22"/>
  <c r="A1867" i="22"/>
  <c r="A1866" i="22"/>
  <c r="A1865" i="22"/>
  <c r="A1864" i="22"/>
  <c r="A1863" i="22"/>
  <c r="A1862" i="22"/>
  <c r="A1861" i="22"/>
  <c r="A1860" i="22"/>
  <c r="A1859" i="22"/>
  <c r="A1858" i="22"/>
  <c r="A1857" i="22"/>
  <c r="A1856" i="22"/>
  <c r="A1855" i="22"/>
  <c r="A1854" i="22"/>
  <c r="A1853" i="22"/>
  <c r="A1852" i="22"/>
  <c r="A1851" i="22"/>
  <c r="A1850" i="22"/>
  <c r="A1849" i="22"/>
  <c r="A1848" i="22"/>
  <c r="A1847" i="22"/>
  <c r="A1846" i="22"/>
  <c r="A1845" i="22"/>
  <c r="A1844" i="22"/>
  <c r="A1843" i="22"/>
  <c r="A1842" i="22"/>
  <c r="A1841" i="22"/>
  <c r="A1840" i="22"/>
  <c r="A1839" i="22"/>
  <c r="A1838" i="22"/>
  <c r="A1837" i="22"/>
  <c r="A1836" i="22"/>
  <c r="A1835" i="22"/>
  <c r="A1834" i="22"/>
  <c r="A1833" i="22"/>
  <c r="A1832" i="22"/>
  <c r="A1831" i="22"/>
  <c r="A1830" i="22"/>
  <c r="A1829" i="22"/>
  <c r="A1828" i="22"/>
  <c r="A1827" i="22"/>
  <c r="A1826" i="22"/>
  <c r="A1825" i="22"/>
  <c r="A1824" i="22"/>
  <c r="A1823" i="22"/>
  <c r="A1822" i="22"/>
  <c r="A1821" i="22"/>
  <c r="A1820" i="22"/>
  <c r="A1819" i="22"/>
  <c r="A1818" i="22"/>
  <c r="A1817" i="22"/>
  <c r="A1816" i="22"/>
  <c r="A1815" i="22"/>
  <c r="A1814" i="22"/>
  <c r="A1813" i="22"/>
  <c r="A1812" i="22"/>
  <c r="A1811" i="22"/>
  <c r="A1810" i="22"/>
  <c r="A1809" i="22"/>
  <c r="A1808" i="22"/>
  <c r="A1807" i="22"/>
  <c r="A1806" i="22"/>
  <c r="A1805" i="22"/>
  <c r="A1804" i="22"/>
  <c r="A1803" i="22"/>
  <c r="A1802" i="22"/>
  <c r="A1801" i="22"/>
  <c r="A1800" i="22"/>
  <c r="A1799" i="22"/>
  <c r="A1798" i="22"/>
  <c r="A1797" i="22"/>
  <c r="A1796" i="22"/>
  <c r="A1795" i="22"/>
  <c r="A1794" i="22"/>
  <c r="A1793" i="22"/>
  <c r="A1792" i="22"/>
  <c r="A1791" i="22"/>
  <c r="A1790" i="22"/>
  <c r="A1789" i="22"/>
  <c r="A1788" i="22"/>
  <c r="A1787" i="22"/>
  <c r="A1786" i="22"/>
  <c r="A1785" i="22"/>
  <c r="A1784" i="22"/>
  <c r="A1783" i="22"/>
  <c r="A1782" i="22"/>
  <c r="A1781" i="22"/>
  <c r="A1780" i="22"/>
  <c r="A1779" i="22"/>
  <c r="A1778" i="22"/>
  <c r="A1777" i="22"/>
  <c r="A1776" i="22"/>
  <c r="A1775" i="22"/>
  <c r="A1774" i="22"/>
  <c r="A1773" i="22"/>
  <c r="A1772" i="22"/>
  <c r="A1771" i="22"/>
  <c r="A1770" i="22"/>
  <c r="A1769" i="22"/>
  <c r="A1768" i="22"/>
  <c r="A1767" i="22"/>
  <c r="A1766" i="22"/>
  <c r="A1765" i="22"/>
  <c r="A1764" i="22"/>
  <c r="A1763" i="22"/>
  <c r="A1762" i="22"/>
  <c r="A1761" i="22"/>
  <c r="A1760" i="22"/>
  <c r="A1759" i="22"/>
  <c r="A1758" i="22"/>
  <c r="A1757" i="22"/>
  <c r="A1756" i="22"/>
  <c r="A1755" i="22"/>
  <c r="A1754" i="22"/>
  <c r="A1753" i="22"/>
  <c r="A1752" i="22"/>
  <c r="A1751" i="22"/>
  <c r="A1750" i="22"/>
  <c r="A1749" i="22"/>
  <c r="A1748" i="22"/>
  <c r="A1747" i="22"/>
  <c r="A1746" i="22"/>
  <c r="A1745" i="22"/>
  <c r="A1744" i="22"/>
  <c r="A1743" i="22"/>
  <c r="A1742" i="22"/>
  <c r="A1741" i="22"/>
  <c r="A1740" i="22"/>
  <c r="A1739" i="22"/>
  <c r="A1738" i="22"/>
  <c r="A1737" i="22"/>
  <c r="A1736" i="22"/>
  <c r="A1735" i="22"/>
  <c r="A1734" i="22"/>
  <c r="A1733" i="22"/>
  <c r="A1732" i="22"/>
  <c r="A1731" i="22"/>
  <c r="A1730" i="22"/>
  <c r="A1729" i="22"/>
  <c r="A1728" i="22"/>
  <c r="A1727" i="22"/>
  <c r="A1726" i="22"/>
  <c r="A1725" i="22"/>
  <c r="A1724" i="22"/>
  <c r="A1723" i="22"/>
  <c r="A1722" i="22"/>
  <c r="A1721" i="22"/>
  <c r="A1720" i="22"/>
  <c r="A1719" i="22"/>
  <c r="A1718" i="22"/>
  <c r="A1717" i="22"/>
  <c r="A1716" i="22"/>
  <c r="A1715" i="22"/>
  <c r="A1714" i="22"/>
  <c r="A1713" i="22"/>
  <c r="A1712" i="22"/>
  <c r="A1711" i="22"/>
  <c r="A1710" i="22"/>
  <c r="A1709" i="22"/>
  <c r="A1708" i="22"/>
  <c r="A1707" i="22"/>
  <c r="A1706" i="22"/>
  <c r="A1705" i="22"/>
  <c r="A1704" i="22"/>
  <c r="A1703" i="22"/>
  <c r="A1702" i="22"/>
  <c r="A1701" i="22"/>
  <c r="A1700" i="22"/>
  <c r="A1699" i="22"/>
  <c r="A1698" i="22"/>
  <c r="A1697" i="22"/>
  <c r="A1696" i="22"/>
  <c r="A1695" i="22"/>
  <c r="A1694" i="22"/>
  <c r="A1693" i="22"/>
  <c r="A1692" i="22"/>
  <c r="A1691" i="22"/>
  <c r="A1690" i="22"/>
  <c r="A1689" i="22"/>
  <c r="A1688" i="22"/>
  <c r="A1687" i="22"/>
  <c r="A1686" i="22"/>
  <c r="A1685" i="22"/>
  <c r="A1684" i="22"/>
  <c r="A1683" i="22"/>
  <c r="A1682" i="22"/>
  <c r="A1681" i="22"/>
  <c r="A1680" i="22"/>
  <c r="A1679" i="22"/>
  <c r="A1678" i="22"/>
  <c r="A1677" i="22"/>
  <c r="A1676" i="22"/>
  <c r="A1675" i="22"/>
  <c r="A1674" i="22"/>
  <c r="A1673" i="22"/>
  <c r="A1672" i="22"/>
  <c r="A1671" i="22"/>
  <c r="A1670" i="22"/>
  <c r="A1669" i="22"/>
  <c r="A1668" i="22"/>
  <c r="A1667" i="22"/>
  <c r="A1666" i="22"/>
  <c r="A1665" i="22"/>
  <c r="A1664" i="22"/>
  <c r="A1663" i="22"/>
  <c r="A1662" i="22"/>
  <c r="A1661" i="22"/>
  <c r="A1660" i="22"/>
  <c r="A1659" i="22"/>
  <c r="A1658" i="22"/>
  <c r="A1657" i="22"/>
  <c r="A1656" i="22"/>
  <c r="A1655" i="22"/>
  <c r="A1654" i="22"/>
  <c r="A1653" i="22"/>
  <c r="A1652" i="22"/>
  <c r="A1651" i="22"/>
  <c r="A1650" i="22"/>
  <c r="A1649" i="22"/>
  <c r="A1648" i="22"/>
  <c r="A1647" i="22"/>
  <c r="A1646" i="22"/>
  <c r="A1645" i="22"/>
  <c r="A1644" i="22"/>
  <c r="A1643" i="22"/>
  <c r="A1642" i="22"/>
  <c r="A1641" i="22"/>
  <c r="A1640" i="22"/>
  <c r="A1639" i="22"/>
  <c r="A1638" i="22"/>
  <c r="A1637" i="22"/>
  <c r="A1636" i="22"/>
  <c r="A1635" i="22"/>
  <c r="A1634" i="22"/>
  <c r="A1633" i="22"/>
  <c r="A1632" i="22"/>
  <c r="A1631" i="22"/>
  <c r="A1630" i="22"/>
  <c r="A1629" i="22"/>
  <c r="A1628" i="22"/>
  <c r="A1627" i="22"/>
  <c r="A1626" i="22"/>
  <c r="A1625" i="22"/>
  <c r="A1624" i="22"/>
  <c r="A1623" i="22"/>
  <c r="A1622" i="22"/>
  <c r="A1621" i="22"/>
  <c r="A1620" i="22"/>
  <c r="A1619" i="22"/>
  <c r="A1618" i="22"/>
  <c r="A1617" i="22"/>
  <c r="A1616" i="22"/>
  <c r="A1615" i="22"/>
  <c r="A1614" i="22"/>
  <c r="A1613" i="22"/>
  <c r="A1612" i="22"/>
  <c r="A1611" i="22"/>
  <c r="A1610" i="22"/>
  <c r="A1609" i="22"/>
  <c r="A1608" i="22"/>
  <c r="A1607" i="22"/>
  <c r="A1606" i="22"/>
  <c r="A1605" i="22"/>
  <c r="A1604" i="22"/>
  <c r="A1603" i="22"/>
  <c r="A1602" i="22"/>
  <c r="A1601" i="22"/>
  <c r="A1600" i="22"/>
  <c r="A1599" i="22"/>
  <c r="A1598" i="22"/>
  <c r="A1597" i="22"/>
  <c r="A1596" i="22"/>
  <c r="A1595" i="22"/>
  <c r="A1594" i="22"/>
  <c r="A1593" i="22"/>
  <c r="A1592" i="22"/>
  <c r="A1591" i="22"/>
  <c r="A1590" i="22"/>
  <c r="A1589" i="22"/>
  <c r="A1588" i="22"/>
  <c r="A1587" i="22"/>
  <c r="A1586" i="22"/>
  <c r="A1585" i="22"/>
  <c r="A1584" i="22"/>
  <c r="A1583" i="22"/>
  <c r="A1582" i="22"/>
  <c r="A1581" i="22"/>
  <c r="A1580" i="22"/>
  <c r="A1579" i="22"/>
  <c r="A1578" i="22"/>
  <c r="A1577" i="22"/>
  <c r="A1576" i="22"/>
  <c r="A1575" i="22"/>
  <c r="A1574" i="22"/>
  <c r="A1573" i="22"/>
  <c r="A1572" i="22"/>
  <c r="A1571" i="22"/>
  <c r="A1570" i="22"/>
  <c r="A1569" i="22"/>
  <c r="A1568" i="22"/>
  <c r="A1567" i="22"/>
  <c r="A1566" i="22"/>
  <c r="A1565" i="22"/>
  <c r="A1564" i="22"/>
  <c r="A1563" i="22"/>
  <c r="A1562" i="22"/>
  <c r="A1561" i="22"/>
  <c r="A1560" i="22"/>
  <c r="A1559" i="22"/>
  <c r="A1558" i="22"/>
  <c r="A1557" i="22"/>
  <c r="A1556" i="22"/>
  <c r="A1555" i="22"/>
  <c r="A1554" i="22"/>
  <c r="A1553" i="22"/>
  <c r="A1552" i="22"/>
  <c r="A1551" i="22"/>
  <c r="A1550" i="22"/>
  <c r="A1549" i="22"/>
  <c r="A1548" i="22"/>
  <c r="A1547" i="22"/>
  <c r="A1546" i="22"/>
  <c r="A1545" i="22"/>
  <c r="A1544" i="22"/>
  <c r="A1543" i="22"/>
  <c r="A1542" i="22"/>
  <c r="A1541" i="22"/>
  <c r="A1540" i="22"/>
  <c r="A1539" i="22"/>
  <c r="A1538" i="22"/>
  <c r="A1537" i="22"/>
  <c r="A1536" i="22"/>
  <c r="A1535" i="22"/>
  <c r="A1534" i="22"/>
  <c r="A1533" i="22"/>
  <c r="A1532" i="22"/>
  <c r="A1531" i="22"/>
  <c r="A1530" i="22"/>
  <c r="A1529" i="22"/>
  <c r="A1528" i="22"/>
  <c r="A1527" i="22"/>
  <c r="A1526" i="22"/>
  <c r="A1525" i="22"/>
  <c r="A1524" i="22"/>
  <c r="A1523" i="22"/>
  <c r="A1522" i="22"/>
  <c r="A1521" i="22"/>
  <c r="A1520" i="22"/>
  <c r="A1519" i="22"/>
  <c r="A1518" i="22"/>
  <c r="A1517" i="22"/>
  <c r="A1516" i="22"/>
  <c r="A1515" i="22"/>
  <c r="A1514" i="22"/>
  <c r="A1513" i="22"/>
  <c r="A1512" i="22"/>
  <c r="A1511" i="22"/>
  <c r="A1510" i="22"/>
  <c r="A1509" i="22"/>
  <c r="A1508" i="22"/>
  <c r="A1507" i="22"/>
  <c r="A1506" i="22"/>
  <c r="A1505" i="22"/>
  <c r="A1504" i="22"/>
  <c r="A1503" i="22"/>
  <c r="A1502" i="22"/>
  <c r="A1501" i="22"/>
  <c r="A1500" i="22"/>
  <c r="A1499" i="22"/>
  <c r="A1498" i="22"/>
  <c r="A1497" i="22"/>
  <c r="A1496" i="22"/>
  <c r="A1495" i="22"/>
  <c r="A1494" i="22"/>
  <c r="A1493" i="22"/>
  <c r="A1492" i="22"/>
  <c r="A1491" i="22"/>
  <c r="A1490" i="22"/>
  <c r="A1489" i="22"/>
  <c r="A1488" i="22"/>
  <c r="A1487" i="22"/>
  <c r="A1486" i="22"/>
  <c r="A1485" i="22"/>
  <c r="A1484" i="22"/>
  <c r="A1483" i="22"/>
  <c r="A1482" i="22"/>
  <c r="A1481" i="22"/>
  <c r="A1480" i="22"/>
  <c r="A1479" i="22"/>
  <c r="A1478" i="22"/>
  <c r="A1477" i="22"/>
  <c r="A1476" i="22"/>
  <c r="A1475" i="22"/>
  <c r="A1474" i="22"/>
  <c r="A1473" i="22"/>
  <c r="A1472" i="22"/>
  <c r="A1471" i="22"/>
  <c r="A1470" i="22"/>
  <c r="A1469" i="22"/>
  <c r="A1468" i="22"/>
  <c r="A1467" i="22"/>
  <c r="A1466" i="22"/>
  <c r="A1465" i="22"/>
  <c r="A1464" i="22"/>
  <c r="A1463" i="22"/>
  <c r="A1462" i="22"/>
  <c r="A1461" i="22"/>
  <c r="A1460" i="22"/>
  <c r="A1459" i="22"/>
  <c r="A1458" i="22"/>
  <c r="A1457" i="22"/>
  <c r="A1456" i="22"/>
  <c r="A1455" i="22"/>
  <c r="A1454" i="22"/>
  <c r="A1453" i="22"/>
  <c r="A1452" i="22"/>
  <c r="A1451" i="22"/>
  <c r="A1450" i="22"/>
  <c r="A1449" i="22"/>
  <c r="A1448" i="22"/>
  <c r="A1447" i="22"/>
  <c r="A1446" i="22"/>
  <c r="A1445" i="22"/>
  <c r="A1444" i="22"/>
  <c r="A1443" i="22"/>
  <c r="A1442" i="22"/>
  <c r="A1441" i="22"/>
  <c r="A1440" i="22"/>
  <c r="A1439" i="22"/>
  <c r="A1438" i="22"/>
  <c r="A1437" i="22"/>
  <c r="A1436" i="22"/>
  <c r="A1435" i="22"/>
  <c r="A1434" i="22"/>
  <c r="A1433" i="22"/>
  <c r="A1432" i="22"/>
  <c r="A1431" i="22"/>
  <c r="A1430" i="22"/>
  <c r="A1429" i="22"/>
  <c r="A1428" i="22"/>
  <c r="A1427" i="22"/>
  <c r="A1426" i="22"/>
  <c r="A1425" i="22"/>
  <c r="A1424" i="22"/>
  <c r="A1423" i="22"/>
  <c r="A1422" i="22"/>
  <c r="A1421" i="22"/>
  <c r="A1420" i="22"/>
  <c r="A1419" i="22"/>
  <c r="A1418" i="22"/>
  <c r="A1417" i="22"/>
  <c r="A1416" i="22"/>
  <c r="A1415" i="22"/>
  <c r="A1414" i="22"/>
  <c r="A1413" i="22"/>
  <c r="A1412" i="22"/>
  <c r="A1411" i="22"/>
  <c r="A1410" i="22"/>
  <c r="A1409" i="22"/>
  <c r="A1408" i="22"/>
  <c r="A1407" i="22"/>
  <c r="A1406" i="22"/>
  <c r="A1405" i="22"/>
  <c r="A1404" i="22"/>
  <c r="A1403" i="22"/>
  <c r="A1402" i="22"/>
  <c r="A1401" i="22"/>
  <c r="A1400" i="22"/>
  <c r="A1399" i="22"/>
  <c r="A1398" i="22"/>
  <c r="A1397" i="22"/>
  <c r="A1396" i="22"/>
  <c r="A1395" i="22"/>
  <c r="A1394" i="22"/>
  <c r="A1393" i="22"/>
  <c r="A1392" i="22"/>
  <c r="A1391" i="22"/>
  <c r="A1390" i="22"/>
  <c r="A1389" i="22"/>
  <c r="A1388" i="22"/>
  <c r="A1387" i="22"/>
  <c r="A1386" i="22"/>
  <c r="A1385" i="22"/>
  <c r="A1384" i="22"/>
  <c r="A1383" i="22"/>
  <c r="A1382" i="22"/>
  <c r="A1381" i="22"/>
  <c r="A1380" i="22"/>
  <c r="A1379" i="22"/>
  <c r="A1378" i="22"/>
  <c r="A1377" i="22"/>
  <c r="A1376" i="22"/>
  <c r="A1375" i="22"/>
  <c r="A1374" i="22"/>
  <c r="A1373" i="22"/>
  <c r="A1372" i="22"/>
  <c r="A1371" i="22"/>
  <c r="A1370" i="22"/>
  <c r="A1369" i="22"/>
  <c r="A1368" i="22"/>
  <c r="A1367" i="22"/>
  <c r="A1366" i="22"/>
  <c r="A1365" i="22"/>
  <c r="A1364" i="22"/>
  <c r="A1363" i="22"/>
  <c r="A1362" i="22"/>
  <c r="A1361" i="22"/>
  <c r="A1360" i="22"/>
  <c r="A1359" i="22"/>
  <c r="A1358" i="22"/>
  <c r="A1357" i="22"/>
  <c r="A1356" i="22"/>
  <c r="A1355" i="22"/>
  <c r="A1354" i="22"/>
  <c r="A1353" i="22"/>
  <c r="A1352" i="22"/>
  <c r="A1351" i="22"/>
  <c r="A1350" i="22"/>
  <c r="A1349" i="22"/>
  <c r="A1348" i="22"/>
  <c r="A1347" i="22"/>
  <c r="A1346" i="22"/>
  <c r="A1345" i="22"/>
  <c r="A1344" i="22"/>
  <c r="A1343" i="22"/>
  <c r="A1342" i="22"/>
  <c r="A1341" i="22"/>
  <c r="A1340" i="22"/>
  <c r="A1339" i="22"/>
  <c r="A1338" i="22"/>
  <c r="A1337" i="22"/>
  <c r="A1336" i="22"/>
  <c r="A1335" i="22"/>
  <c r="A1334" i="22"/>
  <c r="A1333" i="22"/>
  <c r="A1332" i="22"/>
  <c r="A1331" i="22"/>
  <c r="A1330" i="22"/>
  <c r="A1329" i="22"/>
  <c r="A1328" i="22"/>
  <c r="A1327" i="22"/>
  <c r="A1326" i="22"/>
  <c r="A1325" i="22"/>
  <c r="A1324" i="22"/>
  <c r="A1323" i="22"/>
  <c r="A1322" i="22"/>
  <c r="A1321" i="22"/>
  <c r="A1320" i="22"/>
  <c r="A1319" i="22"/>
  <c r="A1318" i="22"/>
  <c r="A1317" i="22"/>
  <c r="A1316" i="22"/>
  <c r="A1315" i="22"/>
  <c r="A1314" i="22"/>
  <c r="A1313" i="22"/>
  <c r="A1312" i="22"/>
  <c r="A1311" i="22"/>
  <c r="A1310" i="22"/>
  <c r="A1309" i="22"/>
  <c r="A1308" i="22"/>
  <c r="A1307" i="22"/>
  <c r="A1306" i="22"/>
  <c r="A1305" i="22"/>
  <c r="A1304" i="22"/>
  <c r="A1303" i="22"/>
  <c r="A1302" i="22"/>
  <c r="A1301" i="22"/>
  <c r="A1300" i="22"/>
  <c r="A1299" i="22"/>
  <c r="A1298" i="22"/>
  <c r="A1297" i="22"/>
  <c r="A1296" i="22"/>
  <c r="A1295" i="22"/>
  <c r="A1294" i="22"/>
  <c r="A1293" i="22"/>
  <c r="A1292" i="22"/>
  <c r="A1291" i="22"/>
  <c r="A1290" i="22"/>
  <c r="A1289" i="22"/>
  <c r="A1288" i="22"/>
  <c r="A1287" i="22"/>
  <c r="A1286" i="22"/>
  <c r="A1285" i="22"/>
  <c r="A1284" i="22"/>
  <c r="A1283" i="22"/>
  <c r="A1282" i="22"/>
  <c r="A1281" i="22"/>
  <c r="A1280" i="22"/>
  <c r="A1279" i="22"/>
  <c r="A1278" i="22"/>
  <c r="A1277" i="22"/>
  <c r="A1276" i="22"/>
  <c r="A1275" i="22"/>
  <c r="A1274" i="22"/>
  <c r="A1273" i="22"/>
  <c r="A1272" i="22"/>
  <c r="A1271" i="22"/>
  <c r="A1270" i="22"/>
  <c r="A1269" i="22"/>
  <c r="A1268" i="22"/>
  <c r="A1267" i="22"/>
  <c r="A1266" i="22"/>
  <c r="A1265" i="22"/>
  <c r="A1264" i="22"/>
  <c r="A1263" i="22"/>
  <c r="A1262" i="22"/>
  <c r="A1261" i="22"/>
  <c r="A1260" i="22"/>
  <c r="A1259" i="22"/>
  <c r="A1258" i="22"/>
  <c r="A1257" i="22"/>
  <c r="A1256" i="22"/>
  <c r="A1255" i="22"/>
  <c r="A1254" i="22"/>
  <c r="A1253" i="22"/>
  <c r="A1252" i="22"/>
  <c r="A1251" i="22"/>
  <c r="A1250" i="22"/>
  <c r="A1249" i="22"/>
  <c r="A1248" i="22"/>
  <c r="A1247" i="22"/>
  <c r="A1246" i="22"/>
  <c r="A1245" i="22"/>
  <c r="A1244" i="22"/>
  <c r="A1243" i="22"/>
  <c r="A1242" i="22"/>
  <c r="A1241" i="22"/>
  <c r="A1240" i="22"/>
  <c r="A1239" i="22"/>
  <c r="A1238" i="22"/>
  <c r="A1237" i="22"/>
  <c r="A1236" i="22"/>
  <c r="A1235" i="22"/>
  <c r="A1234" i="22"/>
  <c r="A1233" i="22"/>
  <c r="A1232" i="22"/>
  <c r="A1231" i="22"/>
  <c r="A1230" i="22"/>
  <c r="A1229" i="22"/>
  <c r="A1228" i="22"/>
  <c r="A1227" i="22"/>
  <c r="A1226" i="22"/>
  <c r="A1225" i="22"/>
  <c r="A1224" i="22"/>
  <c r="A1223" i="22"/>
  <c r="A1222" i="22"/>
  <c r="A1221" i="22"/>
  <c r="A1220" i="22"/>
  <c r="A1219" i="22"/>
  <c r="A1218" i="22"/>
  <c r="A1217" i="22"/>
  <c r="A1216" i="22"/>
  <c r="A1215" i="22"/>
  <c r="A1214" i="22"/>
  <c r="A1213" i="22"/>
  <c r="A1212" i="22"/>
  <c r="A1211" i="22"/>
  <c r="A1210" i="22"/>
  <c r="A1209" i="22"/>
  <c r="A1208" i="22"/>
  <c r="A1207" i="22"/>
  <c r="A1206" i="22"/>
  <c r="A1205" i="22"/>
  <c r="A1204" i="22"/>
  <c r="A1203" i="22"/>
  <c r="A1202" i="22"/>
  <c r="A1201" i="22"/>
  <c r="A1200" i="22"/>
  <c r="A1199" i="22"/>
  <c r="A1198" i="22"/>
  <c r="A1197" i="22"/>
  <c r="A1196" i="22"/>
  <c r="A1195" i="22"/>
  <c r="A1194" i="22"/>
  <c r="A1193" i="22"/>
  <c r="A1192" i="22"/>
  <c r="A1191" i="22"/>
  <c r="A1190" i="22"/>
  <c r="A1189" i="22"/>
  <c r="A1188" i="22"/>
  <c r="A1187" i="22"/>
  <c r="A1186" i="22"/>
  <c r="A1185" i="22"/>
  <c r="A1184" i="22"/>
  <c r="A1183" i="22"/>
  <c r="A1182" i="22"/>
  <c r="A1181" i="22"/>
  <c r="A1180" i="22"/>
  <c r="A1179" i="22"/>
  <c r="A1178" i="22"/>
  <c r="A1177" i="22"/>
  <c r="A1176" i="22"/>
  <c r="A1175" i="22"/>
  <c r="A1174" i="22"/>
  <c r="A1173" i="22"/>
  <c r="A1172" i="22"/>
  <c r="A1171" i="22"/>
  <c r="A1170" i="22"/>
  <c r="A1169" i="22"/>
  <c r="A1168" i="22"/>
  <c r="A1167" i="22"/>
  <c r="A1166" i="22"/>
  <c r="A1165" i="22"/>
  <c r="A1164" i="22"/>
  <c r="A1163" i="22"/>
  <c r="A1162" i="22"/>
  <c r="A1161" i="22"/>
  <c r="A1160" i="22"/>
  <c r="A1159" i="22"/>
  <c r="A1158" i="22"/>
  <c r="A1157" i="22"/>
  <c r="A1156" i="22"/>
  <c r="A1155" i="22"/>
  <c r="A1154" i="22"/>
  <c r="A1153" i="22"/>
  <c r="A1152" i="22"/>
  <c r="A1151" i="22"/>
  <c r="A1150" i="22"/>
  <c r="A1149" i="22"/>
  <c r="A1148" i="22"/>
  <c r="A1147" i="22"/>
  <c r="A1146" i="22"/>
  <c r="A1145" i="22"/>
  <c r="A1144" i="22"/>
  <c r="A1143" i="22"/>
  <c r="A1142" i="22"/>
  <c r="A1141" i="22"/>
  <c r="A1140" i="22"/>
  <c r="A1139" i="22"/>
  <c r="A1138" i="22"/>
  <c r="A1137" i="22"/>
  <c r="A1136" i="22"/>
  <c r="A1135" i="22"/>
  <c r="A1134" i="22"/>
  <c r="A1133" i="22"/>
  <c r="A1132" i="22"/>
  <c r="A1131" i="22"/>
  <c r="A1130" i="22"/>
  <c r="A1129" i="22"/>
  <c r="A1128" i="22"/>
  <c r="A1127" i="22"/>
  <c r="A1126" i="22"/>
  <c r="A1125" i="22"/>
  <c r="A1124" i="22"/>
  <c r="A1123" i="22"/>
  <c r="A1122" i="22"/>
  <c r="A1121" i="22"/>
  <c r="A1120" i="22"/>
  <c r="A1119" i="22"/>
  <c r="A1118" i="22"/>
  <c r="A1117" i="22"/>
  <c r="A1116" i="22"/>
  <c r="A1115" i="22"/>
  <c r="A1114" i="22"/>
  <c r="A1113" i="22"/>
  <c r="A1112" i="22"/>
  <c r="A1111" i="22"/>
  <c r="A1110" i="22"/>
  <c r="A1109" i="22"/>
  <c r="A1108" i="22"/>
  <c r="A1107" i="22"/>
  <c r="A1106" i="22"/>
  <c r="A1105" i="22"/>
  <c r="A1104" i="22"/>
  <c r="A1103" i="22"/>
  <c r="A1102" i="22"/>
  <c r="A1101" i="22"/>
  <c r="A1100" i="22"/>
  <c r="A1099" i="22"/>
  <c r="A1098" i="22"/>
  <c r="A1097" i="22"/>
  <c r="A1096" i="22"/>
  <c r="A1095" i="22"/>
  <c r="A1094" i="22"/>
  <c r="A1093" i="22"/>
  <c r="A1092" i="22"/>
  <c r="A1091" i="22"/>
  <c r="A1090" i="22"/>
  <c r="A1089" i="22"/>
  <c r="A1088" i="22"/>
  <c r="A1087" i="22"/>
  <c r="A1086" i="22"/>
  <c r="A1085" i="22"/>
  <c r="A1084" i="22"/>
  <c r="A1083" i="22"/>
  <c r="A1082" i="22"/>
  <c r="A1081" i="22"/>
  <c r="A1080" i="22"/>
  <c r="A1079" i="22"/>
  <c r="A1078" i="22"/>
  <c r="A1077" i="22"/>
  <c r="A1076" i="22"/>
  <c r="A1075" i="22"/>
  <c r="A1074" i="22"/>
  <c r="A1073" i="22"/>
  <c r="A1072" i="22"/>
  <c r="A1071" i="22"/>
  <c r="A1070" i="22"/>
  <c r="A1069" i="22"/>
  <c r="A1068" i="22"/>
  <c r="A1067" i="22"/>
  <c r="A1066" i="22"/>
  <c r="A1065" i="22"/>
  <c r="A1064" i="22"/>
  <c r="A1063" i="22"/>
  <c r="A1062" i="22"/>
  <c r="A1061" i="22"/>
  <c r="A1060" i="22"/>
  <c r="A1059" i="22"/>
  <c r="A1058" i="22"/>
  <c r="A1057" i="22"/>
  <c r="A1056" i="22"/>
  <c r="A1055" i="22"/>
  <c r="A1054" i="22"/>
  <c r="A1053" i="22"/>
  <c r="A1052" i="22"/>
  <c r="A1051" i="22"/>
  <c r="A1050" i="22"/>
  <c r="A1049" i="22"/>
  <c r="A1048" i="22"/>
  <c r="A1047" i="22"/>
  <c r="A1046" i="22"/>
  <c r="A1045" i="22"/>
  <c r="A1044" i="22"/>
  <c r="A1043" i="22"/>
  <c r="A1042" i="22"/>
  <c r="A1041" i="22"/>
  <c r="A1040" i="22"/>
  <c r="A1039" i="22"/>
  <c r="A1038" i="22"/>
  <c r="A1037" i="22"/>
  <c r="A1036" i="22"/>
  <c r="A1035" i="22"/>
  <c r="A1034" i="22"/>
  <c r="A1033" i="22"/>
  <c r="A1032" i="22"/>
  <c r="A1031" i="22"/>
  <c r="A1030" i="22"/>
  <c r="A1029" i="22"/>
  <c r="A1028" i="22"/>
  <c r="A1027" i="22"/>
  <c r="A1026" i="22"/>
  <c r="A1025" i="22"/>
  <c r="A1024" i="22"/>
  <c r="A1023" i="22"/>
  <c r="A1022" i="22"/>
  <c r="A1021" i="22"/>
  <c r="A1020" i="22"/>
  <c r="A1019" i="22"/>
  <c r="A1018" i="22"/>
  <c r="A1017" i="22"/>
  <c r="A1016" i="22"/>
  <c r="A1015" i="22"/>
  <c r="A1014" i="22"/>
  <c r="A1013" i="22"/>
  <c r="A1012" i="22"/>
  <c r="A1011" i="22"/>
  <c r="A1010" i="22"/>
  <c r="A1009" i="22"/>
  <c r="A1008" i="22"/>
  <c r="A1007" i="22"/>
  <c r="A1006" i="22"/>
  <c r="A1005" i="22"/>
  <c r="A1004" i="22"/>
  <c r="A1003" i="22"/>
  <c r="A1002" i="22"/>
  <c r="A1001" i="22"/>
  <c r="A1000" i="22"/>
  <c r="A999" i="22"/>
  <c r="A998" i="22"/>
  <c r="A997" i="22"/>
  <c r="A996" i="22"/>
  <c r="A995" i="22"/>
  <c r="A994" i="22"/>
  <c r="A993" i="22"/>
  <c r="A992" i="22"/>
  <c r="A991" i="22"/>
  <c r="A990" i="22"/>
  <c r="A989" i="22"/>
  <c r="A988" i="22"/>
  <c r="A987" i="22"/>
  <c r="A986" i="22"/>
  <c r="A985" i="22"/>
  <c r="A984" i="22"/>
  <c r="A983" i="22"/>
  <c r="A982" i="22"/>
  <c r="A981" i="22"/>
  <c r="A980" i="22"/>
  <c r="A979" i="22"/>
  <c r="A978" i="22"/>
  <c r="A977" i="22"/>
  <c r="A976" i="22"/>
  <c r="A975" i="22"/>
  <c r="A974" i="22"/>
  <c r="A973" i="22"/>
  <c r="A972" i="22"/>
  <c r="A971" i="22"/>
  <c r="A970" i="22"/>
  <c r="A969" i="22"/>
  <c r="A968" i="22"/>
  <c r="A967" i="22"/>
  <c r="A966" i="22"/>
  <c r="A965" i="22"/>
  <c r="A964" i="22"/>
  <c r="A963" i="22"/>
  <c r="A962" i="22"/>
  <c r="A961" i="22"/>
  <c r="A960" i="22"/>
  <c r="A959" i="22"/>
  <c r="A958" i="22"/>
  <c r="A957" i="22"/>
  <c r="A956" i="22"/>
  <c r="A955" i="22"/>
  <c r="A954" i="22"/>
  <c r="A953" i="22"/>
  <c r="A952" i="22"/>
  <c r="A951" i="22"/>
  <c r="A950" i="22"/>
  <c r="A949" i="22"/>
  <c r="A948" i="22"/>
  <c r="A947" i="22"/>
  <c r="A946" i="22"/>
  <c r="A945" i="22"/>
  <c r="A944" i="22"/>
  <c r="A943" i="22"/>
  <c r="A942" i="22"/>
  <c r="A941" i="22"/>
  <c r="A940" i="22"/>
  <c r="A939" i="22"/>
  <c r="A938" i="22"/>
  <c r="A937" i="22"/>
  <c r="A936" i="22"/>
  <c r="A935" i="22"/>
  <c r="A934" i="22"/>
  <c r="A933" i="22"/>
  <c r="A932" i="22"/>
  <c r="A931" i="22"/>
  <c r="A930" i="22"/>
  <c r="A929" i="22"/>
  <c r="A928" i="22"/>
  <c r="A927" i="22"/>
  <c r="A926" i="22"/>
  <c r="A925" i="22"/>
  <c r="A924" i="22"/>
  <c r="A923" i="22"/>
  <c r="A922" i="22"/>
  <c r="A921" i="22"/>
  <c r="A920" i="22"/>
  <c r="A919" i="22"/>
  <c r="A918" i="22"/>
  <c r="A917" i="22"/>
  <c r="A916" i="22"/>
  <c r="A915" i="22"/>
  <c r="A914" i="22"/>
  <c r="A913" i="22"/>
  <c r="A912" i="22"/>
  <c r="A911" i="22"/>
  <c r="A910" i="22"/>
  <c r="A909" i="22"/>
  <c r="A908" i="22"/>
  <c r="A907" i="22"/>
  <c r="A906" i="22"/>
  <c r="A905" i="22"/>
  <c r="A904" i="22"/>
  <c r="A903" i="22"/>
  <c r="A902" i="22"/>
  <c r="A901" i="22"/>
  <c r="A900" i="22"/>
  <c r="A899" i="22"/>
  <c r="A898" i="22"/>
  <c r="A897" i="22"/>
  <c r="A896" i="22"/>
  <c r="A895" i="22"/>
  <c r="A894" i="22"/>
  <c r="A893" i="22"/>
  <c r="A892" i="22"/>
  <c r="A891" i="22"/>
  <c r="A890" i="22"/>
  <c r="A889" i="22"/>
  <c r="A888" i="22"/>
  <c r="A887" i="22"/>
  <c r="A886" i="22"/>
  <c r="A885" i="22"/>
  <c r="A884" i="22"/>
  <c r="A883" i="22"/>
  <c r="A882" i="22"/>
  <c r="A881" i="22"/>
  <c r="A880" i="22"/>
  <c r="A879" i="22"/>
  <c r="A878" i="22"/>
  <c r="A877" i="22"/>
  <c r="A876" i="22"/>
  <c r="A875" i="22"/>
  <c r="A874" i="22"/>
  <c r="A873" i="22"/>
  <c r="A872" i="22"/>
  <c r="A871" i="22"/>
  <c r="A870" i="22"/>
  <c r="A869" i="22"/>
  <c r="A868" i="22"/>
  <c r="A867" i="22"/>
  <c r="A866" i="22"/>
  <c r="A865" i="22"/>
  <c r="A864" i="22"/>
  <c r="A863" i="22"/>
  <c r="A862" i="22"/>
  <c r="A861" i="22"/>
  <c r="A860" i="22"/>
  <c r="A859" i="22"/>
  <c r="A858" i="22"/>
  <c r="A857" i="22"/>
  <c r="A856" i="22"/>
  <c r="A855" i="22"/>
  <c r="A854" i="22"/>
  <c r="A853" i="22"/>
  <c r="A852" i="22"/>
  <c r="A851" i="22"/>
  <c r="A850" i="22"/>
  <c r="A849" i="22"/>
  <c r="A848" i="22"/>
  <c r="A847" i="22"/>
  <c r="A846" i="22"/>
  <c r="A845" i="22"/>
  <c r="A844" i="22"/>
  <c r="A843" i="22"/>
  <c r="A842" i="22"/>
  <c r="A841" i="22"/>
  <c r="A840" i="22"/>
  <c r="A839" i="22"/>
  <c r="A838" i="22"/>
  <c r="A837" i="22"/>
  <c r="A836" i="22"/>
  <c r="A835" i="22"/>
  <c r="A834" i="22"/>
  <c r="A833" i="22"/>
  <c r="A832" i="22"/>
  <c r="A831" i="22"/>
  <c r="A830" i="22"/>
  <c r="A829" i="22"/>
  <c r="A828" i="22"/>
  <c r="A827" i="22"/>
  <c r="A826" i="22"/>
  <c r="A825" i="22"/>
  <c r="A824" i="22"/>
  <c r="A823" i="22"/>
  <c r="A822" i="22"/>
  <c r="A821" i="22"/>
  <c r="A820" i="22"/>
  <c r="A819" i="22"/>
  <c r="A818" i="22"/>
  <c r="A817" i="22"/>
  <c r="A816" i="22"/>
  <c r="A815" i="22"/>
  <c r="A814" i="22"/>
  <c r="A813" i="22"/>
  <c r="A812" i="22"/>
  <c r="A811" i="22"/>
  <c r="A810" i="22"/>
  <c r="A809" i="22"/>
  <c r="A808" i="22"/>
  <c r="A807" i="22"/>
  <c r="A806" i="22"/>
  <c r="A805" i="22"/>
  <c r="A804" i="22"/>
  <c r="A803" i="22"/>
  <c r="A802" i="22"/>
  <c r="A801" i="22"/>
  <c r="A800" i="22"/>
  <c r="A799" i="22"/>
  <c r="A798" i="22"/>
  <c r="A797" i="22"/>
  <c r="A796" i="22"/>
  <c r="A795" i="22"/>
  <c r="A794" i="22"/>
  <c r="A793" i="22"/>
  <c r="A792" i="22"/>
  <c r="A791" i="22"/>
  <c r="A790" i="22"/>
  <c r="A789" i="22"/>
  <c r="A788" i="22"/>
  <c r="A787" i="22"/>
  <c r="A786" i="22"/>
  <c r="A785" i="22"/>
  <c r="A784" i="22"/>
  <c r="A783" i="22"/>
  <c r="A782" i="22"/>
  <c r="A781" i="22"/>
  <c r="A780" i="22"/>
  <c r="A779" i="22"/>
  <c r="A778" i="22"/>
  <c r="A777" i="22"/>
  <c r="A776" i="22"/>
  <c r="A775" i="22"/>
  <c r="A774" i="22"/>
  <c r="A773" i="22"/>
  <c r="A772" i="22"/>
  <c r="A771" i="22"/>
  <c r="A770" i="22"/>
  <c r="A769" i="22"/>
  <c r="A768" i="22"/>
  <c r="A767" i="22"/>
  <c r="A766" i="22"/>
  <c r="A765" i="22"/>
  <c r="A764" i="22"/>
  <c r="A763" i="22"/>
  <c r="A762" i="22"/>
  <c r="A761" i="22"/>
  <c r="A760" i="22"/>
  <c r="A759" i="22"/>
  <c r="A758" i="22"/>
  <c r="A757" i="22"/>
  <c r="A756" i="22"/>
  <c r="A755" i="22"/>
  <c r="A754" i="22"/>
  <c r="A753" i="22"/>
  <c r="A752" i="22"/>
  <c r="A751" i="22"/>
  <c r="A750" i="22"/>
  <c r="A749" i="22"/>
  <c r="A748" i="22"/>
  <c r="A747" i="22"/>
  <c r="A746" i="22"/>
  <c r="A745" i="22"/>
  <c r="A744" i="22"/>
  <c r="A743" i="22"/>
  <c r="A742" i="22"/>
  <c r="A741" i="22"/>
  <c r="A740" i="22"/>
  <c r="A739" i="22"/>
  <c r="A738" i="22"/>
  <c r="A737" i="22"/>
  <c r="A736" i="22"/>
  <c r="A735" i="22"/>
  <c r="A734" i="22"/>
  <c r="A733" i="22"/>
  <c r="A732" i="22"/>
  <c r="A731" i="22"/>
  <c r="A730" i="22"/>
  <c r="A729" i="22"/>
  <c r="A728" i="22"/>
  <c r="A727" i="22"/>
  <c r="A726" i="22"/>
  <c r="A725" i="22"/>
  <c r="A724" i="22"/>
  <c r="A723" i="22"/>
  <c r="A722" i="22"/>
  <c r="A721" i="22"/>
  <c r="A720" i="22"/>
  <c r="A719" i="22"/>
  <c r="A718" i="22"/>
  <c r="A717" i="22"/>
  <c r="A716" i="22"/>
  <c r="A715" i="22"/>
  <c r="A714" i="22"/>
  <c r="A713" i="22"/>
  <c r="A712" i="22"/>
  <c r="A711" i="22"/>
  <c r="A710" i="22"/>
  <c r="A709" i="22"/>
  <c r="A708" i="22"/>
  <c r="A707" i="22"/>
  <c r="A706" i="22"/>
  <c r="A705" i="22"/>
  <c r="A704" i="22"/>
  <c r="A703" i="22"/>
  <c r="A702" i="22"/>
  <c r="A701" i="22"/>
  <c r="A700" i="22"/>
  <c r="A699" i="22"/>
  <c r="A698" i="22"/>
  <c r="A697" i="22"/>
  <c r="A696" i="22"/>
  <c r="A695" i="22"/>
  <c r="A694" i="22"/>
  <c r="A693" i="22"/>
  <c r="A692" i="22"/>
  <c r="A691" i="22"/>
  <c r="A690" i="22"/>
  <c r="A689" i="22"/>
  <c r="A688" i="22"/>
  <c r="A687" i="22"/>
  <c r="A686" i="22"/>
  <c r="A685" i="22"/>
  <c r="A684" i="22"/>
  <c r="A683" i="22"/>
  <c r="A682" i="22"/>
  <c r="A681" i="22"/>
  <c r="A680" i="22"/>
  <c r="A679" i="22"/>
  <c r="A678" i="22"/>
  <c r="A677" i="22"/>
  <c r="A676" i="22"/>
  <c r="A675" i="22"/>
  <c r="A674" i="22"/>
  <c r="A673" i="22"/>
  <c r="A672" i="22"/>
  <c r="A671" i="22"/>
  <c r="A670" i="22"/>
  <c r="A669" i="22"/>
  <c r="A668" i="22"/>
  <c r="A667" i="22"/>
  <c r="A666" i="22"/>
  <c r="A665" i="22"/>
  <c r="A664" i="22"/>
  <c r="A663" i="22"/>
  <c r="A662" i="22"/>
  <c r="A661" i="22"/>
  <c r="A660" i="22"/>
  <c r="A659" i="22"/>
  <c r="A658" i="22"/>
  <c r="A657" i="22"/>
  <c r="A656" i="22"/>
  <c r="A655" i="22"/>
  <c r="A654" i="22"/>
  <c r="A653" i="22"/>
  <c r="A652" i="22"/>
  <c r="A651" i="22"/>
  <c r="A650" i="22"/>
  <c r="A649" i="22"/>
  <c r="A648" i="22"/>
  <c r="A647" i="22"/>
  <c r="A646" i="22"/>
  <c r="A645" i="22"/>
  <c r="A644" i="22"/>
  <c r="A643" i="22"/>
  <c r="A642" i="22"/>
  <c r="A641" i="22"/>
  <c r="A640" i="22"/>
  <c r="A639" i="22"/>
  <c r="A638" i="22"/>
  <c r="A637" i="22"/>
  <c r="A636" i="22"/>
  <c r="A635" i="22"/>
  <c r="A634" i="22"/>
  <c r="A633" i="22"/>
  <c r="A632" i="22"/>
  <c r="A631" i="22"/>
  <c r="A630" i="22"/>
  <c r="A629" i="22"/>
  <c r="A628" i="22"/>
  <c r="A627" i="22"/>
  <c r="A626" i="22"/>
  <c r="A625" i="22"/>
  <c r="A624" i="22"/>
  <c r="A623" i="22"/>
  <c r="A622" i="22"/>
  <c r="A621" i="22"/>
  <c r="A620" i="22"/>
  <c r="A619" i="22"/>
  <c r="A618" i="22"/>
  <c r="A617" i="22"/>
  <c r="A616" i="22"/>
  <c r="A615" i="22"/>
  <c r="A614" i="22"/>
  <c r="A613" i="22"/>
  <c r="A612" i="22"/>
  <c r="A611" i="22"/>
  <c r="A610" i="22"/>
  <c r="A609" i="22"/>
  <c r="A608" i="22"/>
  <c r="A607" i="22"/>
  <c r="A606" i="22"/>
  <c r="A605" i="22"/>
  <c r="A604" i="22"/>
  <c r="A603" i="22"/>
  <c r="A602" i="22"/>
  <c r="A601" i="22"/>
  <c r="A600" i="22"/>
  <c r="A599" i="22"/>
  <c r="A598" i="22"/>
  <c r="A597" i="22"/>
  <c r="A596" i="22"/>
  <c r="A595" i="22"/>
  <c r="A594" i="22"/>
  <c r="A593" i="22"/>
  <c r="A592" i="22"/>
  <c r="A591" i="22"/>
  <c r="A590" i="22"/>
  <c r="A589" i="22"/>
  <c r="A588" i="22"/>
  <c r="A587" i="22"/>
  <c r="A586" i="22"/>
  <c r="A585" i="22"/>
  <c r="A584" i="22"/>
  <c r="A583" i="22"/>
  <c r="A582" i="22"/>
  <c r="A581" i="22"/>
  <c r="A580" i="22"/>
  <c r="A579" i="22"/>
  <c r="A578" i="22"/>
  <c r="A577" i="22"/>
  <c r="A576" i="22"/>
  <c r="A575" i="22"/>
  <c r="A574" i="22"/>
  <c r="A573" i="22"/>
  <c r="A572" i="22"/>
  <c r="A571" i="22"/>
  <c r="A570" i="22"/>
  <c r="A569" i="22"/>
  <c r="A568" i="22"/>
  <c r="A567" i="22"/>
  <c r="A566" i="22"/>
  <c r="A565" i="22"/>
  <c r="A564" i="22"/>
  <c r="A563" i="22"/>
  <c r="A562" i="22"/>
  <c r="A561" i="22"/>
  <c r="A560" i="22"/>
  <c r="A559" i="22"/>
  <c r="A558" i="22"/>
  <c r="A557" i="22"/>
  <c r="A556" i="22"/>
  <c r="A555" i="22"/>
  <c r="A554" i="22"/>
  <c r="A553" i="22"/>
  <c r="A552" i="22"/>
  <c r="A551" i="22"/>
  <c r="A550" i="22"/>
  <c r="A549" i="22"/>
  <c r="A548" i="22"/>
  <c r="A547" i="22"/>
  <c r="A546" i="22"/>
  <c r="A545" i="22"/>
  <c r="A544" i="22"/>
  <c r="A543" i="22"/>
  <c r="A542" i="22"/>
  <c r="A541" i="22"/>
  <c r="A540" i="22"/>
  <c r="A539" i="22"/>
  <c r="A538" i="22"/>
  <c r="A537" i="22"/>
  <c r="A536" i="22"/>
  <c r="A535" i="22"/>
  <c r="A534" i="22"/>
  <c r="A533" i="22"/>
  <c r="A532" i="22"/>
  <c r="A531" i="22"/>
  <c r="A530" i="22"/>
  <c r="A529" i="22"/>
  <c r="A528" i="22"/>
  <c r="A527" i="22"/>
  <c r="A526" i="22"/>
  <c r="A525" i="22"/>
  <c r="A524" i="22"/>
  <c r="A523" i="22"/>
  <c r="A522" i="22"/>
  <c r="A521" i="22"/>
  <c r="A520" i="22"/>
  <c r="A519" i="22"/>
  <c r="A518" i="22"/>
  <c r="A517" i="22"/>
  <c r="A516" i="22"/>
  <c r="A515" i="22"/>
  <c r="A514" i="22"/>
  <c r="A513" i="22"/>
  <c r="A512" i="22"/>
  <c r="A511" i="22"/>
  <c r="A510" i="22"/>
  <c r="A509" i="22"/>
  <c r="A508" i="22"/>
  <c r="A507" i="22"/>
  <c r="A506" i="22"/>
  <c r="A505" i="22"/>
  <c r="A504" i="22"/>
  <c r="A503" i="22"/>
  <c r="A502" i="22"/>
  <c r="A501" i="22"/>
  <c r="A500" i="22"/>
  <c r="A499" i="22"/>
  <c r="A498" i="22"/>
  <c r="A497" i="22"/>
  <c r="A496" i="22"/>
  <c r="A495" i="22"/>
  <c r="A494" i="22"/>
  <c r="A493" i="22"/>
  <c r="A492" i="22"/>
  <c r="A491" i="22"/>
  <c r="A490" i="22"/>
  <c r="A489" i="22"/>
  <c r="A488" i="22"/>
  <c r="A487" i="22"/>
  <c r="A486" i="22"/>
  <c r="A485" i="22"/>
  <c r="A484" i="22"/>
  <c r="A483" i="22"/>
  <c r="A482" i="22"/>
  <c r="A481" i="22"/>
  <c r="A480" i="22"/>
  <c r="A479" i="22"/>
  <c r="A478" i="22"/>
  <c r="A477" i="22"/>
  <c r="A476" i="22"/>
  <c r="A475" i="22"/>
  <c r="A474" i="22"/>
  <c r="A473" i="22"/>
  <c r="A472" i="22"/>
  <c r="A471" i="22"/>
  <c r="A470" i="22"/>
  <c r="A469" i="22"/>
  <c r="A468" i="22"/>
  <c r="A467" i="22"/>
  <c r="A466" i="22"/>
  <c r="A465" i="22"/>
  <c r="A464" i="22"/>
  <c r="A463" i="22"/>
  <c r="A462" i="22"/>
  <c r="A461" i="22"/>
  <c r="A460" i="22"/>
  <c r="A459" i="22"/>
  <c r="A458" i="22"/>
  <c r="A457" i="22"/>
  <c r="A456" i="22"/>
  <c r="A455" i="22"/>
  <c r="A454" i="22"/>
  <c r="A453" i="22"/>
  <c r="A452" i="22"/>
  <c r="A451" i="22"/>
  <c r="A450" i="22"/>
  <c r="A449" i="22"/>
  <c r="A448" i="22"/>
  <c r="A447" i="22"/>
  <c r="A446" i="22"/>
  <c r="A445" i="22"/>
  <c r="A444" i="22"/>
  <c r="A443" i="22"/>
  <c r="A442" i="22"/>
  <c r="A441" i="22"/>
  <c r="A440" i="22"/>
  <c r="A439" i="22"/>
  <c r="A438" i="22"/>
  <c r="A437" i="22"/>
  <c r="A436" i="22"/>
  <c r="A435" i="22"/>
  <c r="A434" i="22"/>
  <c r="A433" i="22"/>
  <c r="A432" i="22"/>
  <c r="A431" i="22"/>
  <c r="A430" i="22"/>
  <c r="A429" i="22"/>
  <c r="A428" i="22"/>
  <c r="A427" i="22"/>
  <c r="A426" i="22"/>
  <c r="A425" i="22"/>
  <c r="A424" i="22"/>
  <c r="A423" i="22"/>
  <c r="A422" i="22"/>
  <c r="A421" i="22"/>
  <c r="A420" i="22"/>
  <c r="A419" i="22"/>
  <c r="A418" i="22"/>
  <c r="A417" i="22"/>
  <c r="A416" i="22"/>
  <c r="A415" i="22"/>
  <c r="A414" i="22"/>
  <c r="A413" i="22"/>
  <c r="A412" i="22"/>
  <c r="A411" i="22"/>
  <c r="A410" i="22"/>
  <c r="A409" i="22"/>
  <c r="A408" i="22"/>
  <c r="A407" i="22"/>
  <c r="A406" i="22"/>
  <c r="A405" i="22"/>
  <c r="A404" i="22"/>
  <c r="A403" i="22"/>
  <c r="A402" i="22"/>
  <c r="A401" i="22"/>
  <c r="A400" i="22"/>
  <c r="A399" i="22"/>
  <c r="A398" i="22"/>
  <c r="A397" i="22"/>
  <c r="A396" i="22"/>
  <c r="A395" i="22"/>
  <c r="A394" i="22"/>
  <c r="A393" i="22"/>
  <c r="A392" i="22"/>
  <c r="A391" i="22"/>
  <c r="A390" i="22"/>
  <c r="A389" i="22"/>
  <c r="A388" i="22"/>
  <c r="A387" i="22"/>
  <c r="A386" i="22"/>
  <c r="A385" i="22"/>
  <c r="A384" i="22"/>
  <c r="A383" i="22"/>
  <c r="A382" i="22"/>
  <c r="A381" i="22"/>
  <c r="A380" i="22"/>
  <c r="A379" i="22"/>
  <c r="A378" i="22"/>
  <c r="A377" i="22"/>
  <c r="A376" i="22"/>
  <c r="A375" i="22"/>
  <c r="A374" i="22"/>
  <c r="A373" i="22"/>
  <c r="A372" i="22"/>
  <c r="A371" i="22"/>
  <c r="A370" i="22"/>
  <c r="A369" i="22"/>
  <c r="A368" i="22"/>
  <c r="A367" i="22"/>
  <c r="A366" i="22"/>
  <c r="A365" i="22"/>
  <c r="A364" i="22"/>
  <c r="A363" i="22"/>
  <c r="A362" i="22"/>
  <c r="A361" i="22"/>
  <c r="A360" i="22"/>
  <c r="A359" i="22"/>
  <c r="A358" i="22"/>
  <c r="A357" i="22"/>
  <c r="A356" i="22"/>
  <c r="A355" i="22"/>
  <c r="A354" i="22"/>
  <c r="A353" i="22"/>
  <c r="A352" i="22"/>
  <c r="A351" i="22"/>
  <c r="A350" i="22"/>
  <c r="A349" i="22"/>
  <c r="A348" i="22"/>
  <c r="A347" i="22"/>
  <c r="A346" i="22"/>
  <c r="A345" i="22"/>
  <c r="A344" i="22"/>
  <c r="A343" i="22"/>
  <c r="A342" i="22"/>
  <c r="A341" i="22"/>
  <c r="A340" i="22"/>
  <c r="A339" i="22"/>
  <c r="A338" i="22"/>
  <c r="A337" i="22"/>
  <c r="A336" i="22"/>
  <c r="A335" i="22"/>
  <c r="A334" i="22"/>
  <c r="A333" i="22"/>
  <c r="A332" i="22"/>
  <c r="A331" i="22"/>
  <c r="A330" i="22"/>
  <c r="A329" i="22"/>
  <c r="A328" i="22"/>
  <c r="A327" i="22"/>
  <c r="A326" i="22"/>
  <c r="A325" i="22"/>
  <c r="A324" i="22"/>
  <c r="A323" i="22"/>
  <c r="A322" i="22"/>
  <c r="A321" i="22"/>
  <c r="A320" i="22"/>
  <c r="A319" i="22"/>
  <c r="A318" i="22"/>
  <c r="A317" i="22"/>
  <c r="A316" i="22"/>
  <c r="A315" i="22"/>
  <c r="A314" i="22"/>
  <c r="A313" i="22"/>
  <c r="A312" i="22"/>
  <c r="A311" i="22"/>
  <c r="A310" i="22"/>
  <c r="A309" i="22"/>
  <c r="A308" i="22"/>
  <c r="A307" i="22"/>
  <c r="A306" i="22"/>
  <c r="A305" i="22"/>
  <c r="A304" i="22"/>
  <c r="A303" i="22"/>
  <c r="A302" i="22"/>
  <c r="A301" i="22"/>
  <c r="A300" i="22"/>
  <c r="A299" i="22"/>
  <c r="A298" i="22"/>
  <c r="A297" i="22"/>
  <c r="A296" i="22"/>
  <c r="A295" i="22"/>
  <c r="A294" i="22"/>
  <c r="A293" i="22"/>
  <c r="A292" i="22"/>
  <c r="A291" i="22"/>
  <c r="A290" i="22"/>
  <c r="A289" i="22"/>
  <c r="A288" i="22"/>
  <c r="A287" i="22"/>
  <c r="A286" i="22"/>
  <c r="A285" i="22"/>
  <c r="A284" i="22"/>
  <c r="A283" i="22"/>
  <c r="A282" i="22"/>
  <c r="A281" i="22"/>
  <c r="A280" i="22"/>
  <c r="A279" i="22"/>
  <c r="A278" i="22"/>
  <c r="A277" i="22"/>
  <c r="A276" i="22"/>
  <c r="A275" i="22"/>
  <c r="A274" i="22"/>
  <c r="A273" i="22"/>
  <c r="A272" i="22"/>
  <c r="A271" i="22"/>
  <c r="A270" i="22"/>
  <c r="A269" i="22"/>
  <c r="A268" i="22"/>
  <c r="A267" i="22"/>
  <c r="A266" i="22"/>
  <c r="A265" i="22"/>
  <c r="A264" i="22"/>
  <c r="A263" i="22"/>
  <c r="A262" i="22"/>
  <c r="A261" i="22"/>
  <c r="A260" i="22"/>
  <c r="A259" i="22"/>
  <c r="A258" i="22"/>
  <c r="A257" i="22"/>
  <c r="A256" i="22"/>
  <c r="A255" i="22"/>
  <c r="A254" i="22"/>
  <c r="A253" i="22"/>
  <c r="A252" i="22"/>
  <c r="A251" i="22"/>
  <c r="A250" i="22"/>
  <c r="A249" i="22"/>
  <c r="A248" i="22"/>
  <c r="A247" i="22"/>
  <c r="A246" i="22"/>
  <c r="A245" i="22"/>
  <c r="A244" i="22"/>
  <c r="A243" i="22"/>
  <c r="A242" i="22"/>
  <c r="A241" i="22"/>
  <c r="A240" i="22"/>
  <c r="A239" i="22"/>
  <c r="A238" i="22"/>
  <c r="A237" i="22"/>
  <c r="A236" i="22"/>
  <c r="A235" i="22"/>
  <c r="A234" i="22"/>
  <c r="A233" i="22"/>
  <c r="A232" i="22"/>
  <c r="A231" i="22"/>
  <c r="A230" i="22"/>
  <c r="A229" i="22"/>
  <c r="A228" i="22"/>
  <c r="A227" i="22"/>
  <c r="A226" i="22"/>
  <c r="A225" i="22"/>
  <c r="A224" i="22"/>
  <c r="A223" i="22"/>
  <c r="A222" i="22"/>
  <c r="A221" i="22"/>
  <c r="A220" i="22"/>
  <c r="A219" i="22"/>
  <c r="A218" i="22"/>
  <c r="A217" i="22"/>
  <c r="A216" i="22"/>
  <c r="A215" i="22"/>
  <c r="A214" i="22"/>
  <c r="A213" i="22"/>
  <c r="A212" i="22"/>
  <c r="A211" i="22"/>
  <c r="A210" i="22"/>
  <c r="A209" i="22"/>
  <c r="A208" i="22"/>
  <c r="A207" i="22"/>
  <c r="A206" i="22"/>
  <c r="A205" i="22"/>
  <c r="A204" i="22"/>
  <c r="A203" i="22"/>
  <c r="A202" i="22"/>
  <c r="A201" i="22"/>
  <c r="A200" i="22"/>
  <c r="A199" i="22"/>
  <c r="A198" i="22"/>
  <c r="A197" i="22"/>
  <c r="A196" i="22"/>
  <c r="A195" i="22"/>
  <c r="A194" i="22"/>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A55" i="22"/>
  <c r="A54" i="22"/>
  <c r="A53" i="22"/>
  <c r="A52" i="22"/>
  <c r="A51" i="22"/>
  <c r="A50" i="22"/>
  <c r="A49" i="22"/>
  <c r="A48" i="22"/>
  <c r="A47" i="22"/>
  <c r="A46" i="22"/>
  <c r="A45" i="22"/>
  <c r="A44" i="22"/>
  <c r="A43" i="22"/>
  <c r="A42" i="22"/>
  <c r="A41" i="22"/>
  <c r="A40" i="22"/>
  <c r="A39" i="22"/>
  <c r="A38" i="22"/>
  <c r="A37" i="22"/>
  <c r="A36" i="22"/>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A4" i="22"/>
  <c r="A3" i="22"/>
  <c r="A2" i="22"/>
  <c r="D25" i="20"/>
  <c r="M51" i="17" s="1"/>
  <c r="D24" i="20"/>
  <c r="M50" i="17" s="1"/>
  <c r="D23" i="20"/>
  <c r="M49" i="17" s="1"/>
  <c r="D41" i="20"/>
  <c r="M54" i="17" s="1"/>
  <c r="D30" i="20"/>
  <c r="D31" i="20"/>
  <c r="D32" i="20"/>
  <c r="D29" i="20"/>
  <c r="M3" i="20"/>
  <c r="B7" i="20"/>
  <c r="B8" i="20"/>
  <c r="N3" i="20"/>
  <c r="B5" i="20"/>
  <c r="B6" i="20"/>
  <c r="G52" i="17" l="1"/>
  <c r="D8" i="20"/>
  <c r="D52" i="17" s="1"/>
  <c r="K12" i="22"/>
  <c r="AE57" i="19"/>
  <c r="O57" i="19"/>
  <c r="AB41" i="17"/>
  <c r="AB19" i="17"/>
  <c r="B57" i="19"/>
  <c r="R13" i="19"/>
  <c r="B13" i="19"/>
  <c r="R57" i="19"/>
  <c r="K7" i="22"/>
  <c r="D50" i="17"/>
  <c r="K8" i="22"/>
  <c r="K10" i="22"/>
  <c r="K9" i="22"/>
  <c r="A151" i="20"/>
  <c r="H136" i="20"/>
  <c r="C141" i="9"/>
  <c r="C144" i="9" s="1"/>
  <c r="K13" i="22"/>
  <c r="M4" i="20"/>
  <c r="A8" i="14" l="1"/>
  <c r="D7" i="20"/>
  <c r="G100" i="20" s="1"/>
  <c r="D51" i="17"/>
  <c r="H138" i="20"/>
  <c r="N29" i="17" s="1"/>
  <c r="C142" i="9"/>
  <c r="B136" i="20" s="1"/>
  <c r="E136" i="20" s="1"/>
  <c r="C143" i="9"/>
  <c r="D120" i="20" l="1"/>
  <c r="D49" i="17"/>
  <c r="D100" i="20"/>
  <c r="G102" i="20"/>
  <c r="G101" i="20"/>
  <c r="E138" i="20"/>
  <c r="A53" i="20"/>
  <c r="L29" i="17" l="1"/>
  <c r="C93" i="14"/>
  <c r="A93" i="14" s="1"/>
  <c r="AA35" i="17"/>
  <c r="AA14" i="17"/>
  <c r="O13" i="19"/>
  <c r="AE13" i="19"/>
  <c r="F74" i="20"/>
  <c r="F81" i="20"/>
  <c r="F82" i="20"/>
  <c r="F83" i="20"/>
  <c r="F80" i="20"/>
  <c r="F75" i="20"/>
  <c r="F76" i="20"/>
  <c r="F77" i="20"/>
  <c r="F70" i="20"/>
  <c r="F69" i="20"/>
  <c r="Z102" i="9"/>
  <c r="AA102" i="9"/>
  <c r="AB102" i="9"/>
  <c r="AC102" i="9"/>
  <c r="Z103" i="9"/>
  <c r="AA103" i="9"/>
  <c r="AB103" i="9"/>
  <c r="AC103" i="9"/>
  <c r="Z104" i="9"/>
  <c r="AA104" i="9"/>
  <c r="AB104" i="9"/>
  <c r="AC104" i="9"/>
  <c r="Z105" i="9"/>
  <c r="AA105" i="9"/>
  <c r="AB105" i="9"/>
  <c r="AC105" i="9"/>
  <c r="Z106" i="9"/>
  <c r="AA106" i="9"/>
  <c r="AB106" i="9"/>
  <c r="AC106" i="9"/>
  <c r="Z107" i="9"/>
  <c r="AA107" i="9"/>
  <c r="AB107" i="9"/>
  <c r="AC107" i="9"/>
  <c r="Z108" i="9"/>
  <c r="AA108" i="9"/>
  <c r="AB108" i="9"/>
  <c r="AC108" i="9"/>
  <c r="Z109" i="9"/>
  <c r="AA109" i="9"/>
  <c r="AB109" i="9"/>
  <c r="AC109" i="9"/>
  <c r="Z110" i="9"/>
  <c r="AA110" i="9"/>
  <c r="AB110" i="9"/>
  <c r="AC110" i="9"/>
  <c r="Z111" i="9"/>
  <c r="AA111" i="9"/>
  <c r="AB111" i="9"/>
  <c r="AC111" i="9"/>
  <c r="AC101" i="9"/>
  <c r="AB101" i="9"/>
  <c r="AA101" i="9"/>
  <c r="Z101" i="9"/>
  <c r="Y102" i="9"/>
  <c r="Y103" i="9"/>
  <c r="Y104" i="9"/>
  <c r="Y105" i="9"/>
  <c r="Y106" i="9"/>
  <c r="Y107" i="9"/>
  <c r="Y108" i="9"/>
  <c r="Y109" i="9"/>
  <c r="Y110" i="9"/>
  <c r="Y111" i="9"/>
  <c r="Y101" i="9"/>
  <c r="X99" i="9"/>
  <c r="S102" i="9"/>
  <c r="T102" i="9"/>
  <c r="U102" i="9"/>
  <c r="V102" i="9"/>
  <c r="S103" i="9"/>
  <c r="T103" i="9"/>
  <c r="U103" i="9"/>
  <c r="V103" i="9"/>
  <c r="S104" i="9"/>
  <c r="T104" i="9"/>
  <c r="U104" i="9"/>
  <c r="V104" i="9"/>
  <c r="S105" i="9"/>
  <c r="T105" i="9"/>
  <c r="U105" i="9"/>
  <c r="V105" i="9"/>
  <c r="S106" i="9"/>
  <c r="T106" i="9"/>
  <c r="U106" i="9"/>
  <c r="V106" i="9"/>
  <c r="S107" i="9"/>
  <c r="T107" i="9"/>
  <c r="U107" i="9"/>
  <c r="V107" i="9"/>
  <c r="S108" i="9"/>
  <c r="T108" i="9"/>
  <c r="U108" i="9"/>
  <c r="V108" i="9"/>
  <c r="S109" i="9"/>
  <c r="T109" i="9"/>
  <c r="U109" i="9"/>
  <c r="V109" i="9"/>
  <c r="S110" i="9"/>
  <c r="T110" i="9"/>
  <c r="U110" i="9"/>
  <c r="V110" i="9"/>
  <c r="S111" i="9"/>
  <c r="T111" i="9"/>
  <c r="U111" i="9"/>
  <c r="V111" i="9"/>
  <c r="V101" i="9"/>
  <c r="U101" i="9"/>
  <c r="T101" i="9"/>
  <c r="S101" i="9"/>
  <c r="R102" i="9"/>
  <c r="R103" i="9"/>
  <c r="R104" i="9"/>
  <c r="R105" i="9"/>
  <c r="R106" i="9"/>
  <c r="R107" i="9"/>
  <c r="R108" i="9"/>
  <c r="R109" i="9"/>
  <c r="R110" i="9"/>
  <c r="R111" i="9"/>
  <c r="R101" i="9"/>
  <c r="F84" i="20" l="1"/>
  <c r="F78" i="20"/>
  <c r="G110" i="20"/>
  <c r="G121" i="20"/>
  <c r="G112" i="20"/>
  <c r="G111" i="20"/>
  <c r="AB38" i="17" l="1"/>
  <c r="H52" i="20"/>
  <c r="E52" i="20" s="1"/>
  <c r="L12" i="20"/>
  <c r="F4" i="20"/>
  <c r="J4" i="20"/>
  <c r="F5" i="20"/>
  <c r="G5" i="20"/>
  <c r="J5" i="20"/>
  <c r="F6" i="20"/>
  <c r="J6" i="20"/>
  <c r="F7" i="20"/>
  <c r="J7" i="20"/>
  <c r="F8" i="20"/>
  <c r="J8" i="20"/>
  <c r="D54" i="20"/>
  <c r="D52" i="20"/>
  <c r="D56" i="20" s="1"/>
  <c r="B48" i="20"/>
  <c r="B47" i="20"/>
  <c r="U53" i="17" l="1"/>
  <c r="H74" i="20"/>
  <c r="H75" i="20"/>
  <c r="H77" i="20"/>
  <c r="H69" i="20"/>
  <c r="H76" i="20"/>
  <c r="C56" i="20"/>
  <c r="B56" i="20"/>
  <c r="H56" i="20"/>
  <c r="U52" i="17" l="1"/>
  <c r="Z39" i="17"/>
  <c r="D130" i="20" a="1"/>
  <c r="D130" i="20" s="1"/>
  <c r="B17" i="13" s="1"/>
  <c r="C70" i="14" s="1"/>
  <c r="A70" i="14" s="1"/>
  <c r="E56" i="20"/>
  <c r="D40" i="20"/>
  <c r="M53" i="17" s="1"/>
  <c r="B36" i="20"/>
  <c r="B37" i="20" l="1"/>
  <c r="D37" i="20" s="1"/>
  <c r="D54" i="17" s="1"/>
  <c r="Z17" i="17"/>
  <c r="C66" i="14" s="1"/>
  <c r="A66" i="14" s="1"/>
  <c r="D121" i="20"/>
  <c r="D101" i="20"/>
  <c r="D111" i="20" s="1"/>
  <c r="D110" i="20"/>
  <c r="D102" i="20"/>
  <c r="D112" i="20" s="1"/>
  <c r="N65" i="20"/>
  <c r="N64" i="20"/>
  <c r="B33" i="13" l="1"/>
  <c r="AB16" i="17"/>
  <c r="O65" i="20"/>
  <c r="O64" i="20"/>
  <c r="L69" i="20"/>
  <c r="P69" i="20" s="1"/>
  <c r="L81" i="20"/>
  <c r="L82" i="20"/>
  <c r="L83" i="20"/>
  <c r="L80" i="20"/>
  <c r="L75" i="20"/>
  <c r="L76" i="20"/>
  <c r="L77" i="20"/>
  <c r="L74" i="20"/>
  <c r="K74" i="20"/>
  <c r="L70" i="20"/>
  <c r="P62" i="20"/>
  <c r="F62" i="20"/>
  <c r="L66" i="9"/>
  <c r="M66" i="9"/>
  <c r="N66" i="9"/>
  <c r="O66" i="9"/>
  <c r="P66" i="9"/>
  <c r="Q66" i="9"/>
  <c r="R66" i="9"/>
  <c r="K66" i="9"/>
  <c r="R69" i="20" l="1"/>
  <c r="Q81" i="20"/>
  <c r="P81" i="20"/>
  <c r="Q83" i="20"/>
  <c r="P83" i="20"/>
  <c r="Q82" i="20"/>
  <c r="P82" i="20"/>
  <c r="Q75" i="20"/>
  <c r="P75" i="20"/>
  <c r="R75" i="20" s="1"/>
  <c r="Q80" i="20"/>
  <c r="P80" i="20"/>
  <c r="Q76" i="20"/>
  <c r="P76" i="20"/>
  <c r="R76" i="20" s="1"/>
  <c r="Q74" i="20"/>
  <c r="P74" i="20"/>
  <c r="R74" i="20" s="1"/>
  <c r="Q77" i="20"/>
  <c r="P77" i="20"/>
  <c r="R77" i="20" s="1"/>
  <c r="Q70" i="20"/>
  <c r="P70" i="20"/>
  <c r="Q69" i="20"/>
  <c r="P84" i="20" l="1"/>
  <c r="P78" i="20"/>
  <c r="Q78" i="20"/>
  <c r="Q84" i="20"/>
  <c r="Q71" i="20"/>
  <c r="G80" i="20"/>
  <c r="G75" i="20"/>
  <c r="G76" i="20"/>
  <c r="G77" i="20"/>
  <c r="G81" i="20"/>
  <c r="G82" i="20"/>
  <c r="G83" i="20"/>
  <c r="G74" i="20"/>
  <c r="G70" i="20"/>
  <c r="I70" i="20" s="1"/>
  <c r="G69" i="20"/>
  <c r="O69" i="20"/>
  <c r="O70" i="20"/>
  <c r="I69" i="20" l="1"/>
  <c r="Q85" i="20"/>
  <c r="G84" i="20"/>
  <c r="G71" i="20"/>
  <c r="G78" i="20"/>
  <c r="G56" i="9"/>
  <c r="O83" i="20"/>
  <c r="O82" i="20"/>
  <c r="O81" i="20"/>
  <c r="O80" i="20"/>
  <c r="O75" i="20"/>
  <c r="O76" i="20"/>
  <c r="O77" i="20"/>
  <c r="O74" i="20"/>
  <c r="L91" i="9"/>
  <c r="L92" i="9" s="1"/>
  <c r="M91" i="9"/>
  <c r="M92" i="9" s="1"/>
  <c r="J91" i="9"/>
  <c r="J92" i="9" s="1"/>
  <c r="K91" i="9"/>
  <c r="K92" i="9" s="1"/>
  <c r="I91" i="9"/>
  <c r="I92" i="9" s="1"/>
  <c r="A91" i="9"/>
  <c r="A90" i="9"/>
  <c r="A89" i="9"/>
  <c r="A88" i="9"/>
  <c r="A85" i="9"/>
  <c r="A84" i="9"/>
  <c r="A83" i="9"/>
  <c r="A82" i="9"/>
  <c r="L65" i="9"/>
  <c r="M65" i="9"/>
  <c r="N65" i="9"/>
  <c r="O65" i="9"/>
  <c r="P65" i="9"/>
  <c r="Q65" i="9"/>
  <c r="I74" i="20" s="1"/>
  <c r="R65" i="9"/>
  <c r="K65" i="9"/>
  <c r="A83" i="20"/>
  <c r="A82" i="20"/>
  <c r="A81" i="20"/>
  <c r="A80" i="20"/>
  <c r="A77" i="20"/>
  <c r="A76" i="20"/>
  <c r="A75" i="20"/>
  <c r="B72" i="9"/>
  <c r="D72" i="9" s="1"/>
  <c r="B71" i="9"/>
  <c r="D71" i="9" s="1"/>
  <c r="B70" i="9"/>
  <c r="D70" i="9" s="1"/>
  <c r="D69" i="9"/>
  <c r="R6" i="17"/>
  <c r="R5" i="17"/>
  <c r="F5" i="9"/>
  <c r="F6" i="9"/>
  <c r="F8" i="9"/>
  <c r="F10" i="9"/>
  <c r="F9" i="9"/>
  <c r="F7" i="9"/>
  <c r="F4" i="9"/>
  <c r="J9" i="9" l="1"/>
  <c r="B61" i="20"/>
  <c r="S74" i="20"/>
  <c r="K76" i="20"/>
  <c r="S76" i="20" s="1"/>
  <c r="I76" i="20"/>
  <c r="K77" i="20"/>
  <c r="S77" i="20" s="1"/>
  <c r="I77" i="20"/>
  <c r="K83" i="20"/>
  <c r="S83" i="20" s="1"/>
  <c r="I83" i="20"/>
  <c r="K80" i="20"/>
  <c r="S80" i="20" s="1"/>
  <c r="I80" i="20"/>
  <c r="K82" i="20"/>
  <c r="S82" i="20" s="1"/>
  <c r="I82" i="20"/>
  <c r="K75" i="20"/>
  <c r="S75" i="20" s="1"/>
  <c r="I75" i="20"/>
  <c r="K81" i="20"/>
  <c r="S81" i="20" s="1"/>
  <c r="I81" i="20"/>
  <c r="P5" i="17"/>
  <c r="P30" i="17"/>
  <c r="R78" i="20"/>
  <c r="G85" i="20"/>
  <c r="I71" i="20"/>
  <c r="H78" i="20"/>
  <c r="F85" i="9"/>
  <c r="F88" i="9"/>
  <c r="F91" i="9"/>
  <c r="F83" i="9"/>
  <c r="F89" i="9"/>
  <c r="F82" i="9"/>
  <c r="F84" i="9"/>
  <c r="F90" i="9"/>
  <c r="S84" i="20" l="1"/>
  <c r="C65" i="20"/>
  <c r="D65" i="20" s="1"/>
  <c r="C64" i="20"/>
  <c r="D64" i="20" s="1"/>
  <c r="S69" i="20"/>
  <c r="S70" i="20"/>
  <c r="S78" i="20"/>
  <c r="I78" i="20"/>
  <c r="I84" i="20"/>
  <c r="F92" i="9"/>
  <c r="E7" i="10"/>
  <c r="H7" i="10"/>
  <c r="K7" i="10"/>
  <c r="N7" i="10"/>
  <c r="Q7" i="10"/>
  <c r="T7" i="10"/>
  <c r="S85" i="20" l="1"/>
  <c r="S71" i="20"/>
  <c r="I85" i="20"/>
  <c r="T22" i="10" l="1"/>
  <c r="T23" i="10"/>
  <c r="T24" i="10"/>
  <c r="T25" i="10"/>
  <c r="T26" i="10"/>
  <c r="T27" i="10"/>
  <c r="T28" i="10"/>
  <c r="Q22" i="10"/>
  <c r="Q23" i="10"/>
  <c r="Q24" i="10"/>
  <c r="Q25" i="10"/>
  <c r="Q26" i="10"/>
  <c r="Q27" i="10"/>
  <c r="Q28" i="10"/>
  <c r="N22" i="10"/>
  <c r="N23" i="10"/>
  <c r="N24" i="10"/>
  <c r="N25" i="10"/>
  <c r="N26" i="10"/>
  <c r="N27" i="10"/>
  <c r="N28" i="10"/>
  <c r="K22" i="10"/>
  <c r="K23" i="10"/>
  <c r="K24" i="10"/>
  <c r="K25" i="10"/>
  <c r="K26" i="10"/>
  <c r="K27" i="10"/>
  <c r="K28" i="10"/>
  <c r="H22" i="10"/>
  <c r="H23" i="10"/>
  <c r="H24" i="10"/>
  <c r="H25" i="10"/>
  <c r="H26" i="10"/>
  <c r="H27" i="10"/>
  <c r="H28" i="10"/>
  <c r="E22" i="10"/>
  <c r="E23" i="10"/>
  <c r="E24" i="10"/>
  <c r="E25" i="10"/>
  <c r="E26" i="10"/>
  <c r="E27" i="10"/>
  <c r="E28" i="10"/>
  <c r="S30" i="10"/>
  <c r="P30" i="10"/>
  <c r="M30" i="10"/>
  <c r="J30" i="10"/>
  <c r="G30" i="10"/>
  <c r="D30" i="10"/>
  <c r="T21" i="10"/>
  <c r="Q21" i="10"/>
  <c r="N21" i="10"/>
  <c r="K21" i="10"/>
  <c r="H21" i="10"/>
  <c r="E21" i="10"/>
  <c r="T20" i="10"/>
  <c r="Q20" i="10"/>
  <c r="N20" i="10"/>
  <c r="K20" i="10"/>
  <c r="H20" i="10"/>
  <c r="E20" i="10"/>
  <c r="T19" i="10"/>
  <c r="Q19" i="10"/>
  <c r="N19" i="10"/>
  <c r="K19" i="10"/>
  <c r="H19" i="10"/>
  <c r="E19" i="10"/>
  <c r="T18" i="10"/>
  <c r="Q18" i="10"/>
  <c r="N18" i="10"/>
  <c r="K18" i="10"/>
  <c r="H18" i="10"/>
  <c r="E18" i="10"/>
  <c r="T17" i="10"/>
  <c r="Q17" i="10"/>
  <c r="N17" i="10"/>
  <c r="K17" i="10"/>
  <c r="H17" i="10"/>
  <c r="E17" i="10"/>
  <c r="T16" i="10"/>
  <c r="Q16" i="10"/>
  <c r="N16" i="10"/>
  <c r="K16" i="10"/>
  <c r="H16" i="10"/>
  <c r="E16" i="10"/>
  <c r="T15" i="10"/>
  <c r="Q15" i="10"/>
  <c r="N15" i="10"/>
  <c r="K15" i="10"/>
  <c r="H15" i="10"/>
  <c r="E15" i="10"/>
  <c r="T10" i="10"/>
  <c r="Q10" i="10"/>
  <c r="N10" i="10"/>
  <c r="K10" i="10"/>
  <c r="H10" i="10"/>
  <c r="E10" i="10"/>
  <c r="T14" i="10"/>
  <c r="Q14" i="10"/>
  <c r="N14" i="10"/>
  <c r="K14" i="10"/>
  <c r="H14" i="10"/>
  <c r="E14" i="10"/>
  <c r="T9" i="10"/>
  <c r="Q9" i="10"/>
  <c r="N9" i="10"/>
  <c r="K9" i="10"/>
  <c r="H9" i="10"/>
  <c r="E9" i="10"/>
  <c r="T8" i="10"/>
  <c r="Q8" i="10"/>
  <c r="N8" i="10"/>
  <c r="K8" i="10"/>
  <c r="H8" i="10"/>
  <c r="E8" i="10"/>
  <c r="T6" i="10"/>
  <c r="Q6" i="10"/>
  <c r="N6" i="10"/>
  <c r="K6" i="10"/>
  <c r="H6" i="10"/>
  <c r="E6" i="10"/>
  <c r="T5" i="10"/>
  <c r="Q5" i="10"/>
  <c r="N5" i="10"/>
  <c r="K5" i="10"/>
  <c r="H5" i="10"/>
  <c r="E5" i="10"/>
  <c r="T4" i="10"/>
  <c r="Q4" i="10"/>
  <c r="N4" i="10"/>
  <c r="K4" i="10"/>
  <c r="H4" i="10"/>
  <c r="E4" i="10"/>
  <c r="T3" i="10"/>
  <c r="Q3" i="10"/>
  <c r="N3" i="10"/>
  <c r="K3" i="10"/>
  <c r="H3" i="10"/>
  <c r="E3" i="10"/>
  <c r="H30" i="10" l="1"/>
  <c r="N30" i="10"/>
  <c r="Q30" i="10"/>
  <c r="T30" i="10"/>
  <c r="K30" i="10"/>
  <c r="E30" i="10"/>
  <c r="D36" i="20" l="1"/>
  <c r="D53" i="17" s="1"/>
  <c r="B102" i="20"/>
  <c r="AC27" i="19" l="1"/>
  <c r="M71" i="19"/>
  <c r="AC71" i="19"/>
  <c r="M27" i="19"/>
  <c r="B120" i="20"/>
  <c r="C129" i="20" s="1"/>
  <c r="G23" i="17" s="1"/>
  <c r="B109" i="20"/>
  <c r="B46" i="20"/>
  <c r="G27" i="17" s="1"/>
  <c r="AC69" i="19" l="1"/>
  <c r="AD70" i="19" s="1"/>
  <c r="M69" i="19"/>
  <c r="N70" i="19" s="1"/>
  <c r="Y69" i="19"/>
  <c r="I69" i="19"/>
  <c r="U64" i="19"/>
  <c r="E64" i="19"/>
  <c r="U57" i="19"/>
  <c r="E57" i="19"/>
  <c r="G140" i="20"/>
  <c r="H140" i="20" s="1"/>
  <c r="H142" i="20" s="1"/>
  <c r="B140" i="20"/>
  <c r="AC25" i="19"/>
  <c r="I25" i="19"/>
  <c r="Y25" i="19"/>
  <c r="U20" i="19"/>
  <c r="U13" i="19"/>
  <c r="I52" i="20"/>
  <c r="F52" i="20"/>
  <c r="E20" i="19"/>
  <c r="E13" i="19"/>
  <c r="B64" i="20"/>
  <c r="F64" i="20" s="1"/>
  <c r="J88" i="20" s="1"/>
  <c r="I54" i="20"/>
  <c r="B65" i="20"/>
  <c r="F65" i="20" s="1"/>
  <c r="G122" i="20"/>
  <c r="F54" i="20"/>
  <c r="G128" i="20"/>
  <c r="E61" i="19" l="1"/>
  <c r="C83" i="19" s="1"/>
  <c r="E140" i="20"/>
  <c r="E142" i="20" s="1"/>
  <c r="C88" i="14" s="1"/>
  <c r="J75" i="19"/>
  <c r="N28" i="17"/>
  <c r="R7" i="17" s="1"/>
  <c r="Z75" i="19"/>
  <c r="S81" i="19"/>
  <c r="T81" i="19"/>
  <c r="C81" i="19"/>
  <c r="D81" i="19"/>
  <c r="J89" i="20"/>
  <c r="P29" i="17"/>
  <c r="P6" i="17"/>
  <c r="S42" i="19"/>
  <c r="T42" i="19"/>
  <c r="H64" i="20"/>
  <c r="H88" i="20" s="1"/>
  <c r="M25" i="19"/>
  <c r="N26" i="19" s="1"/>
  <c r="J31" i="19" s="1"/>
  <c r="I56" i="20"/>
  <c r="F56" i="20"/>
  <c r="C42" i="19"/>
  <c r="D42" i="19"/>
  <c r="G64" i="20"/>
  <c r="G88" i="20" s="1"/>
  <c r="L64" i="20"/>
  <c r="L65" i="20"/>
  <c r="G65" i="20"/>
  <c r="C47" i="13" l="1"/>
  <c r="L28" i="17"/>
  <c r="P7" i="17" s="1"/>
  <c r="A88" i="14"/>
  <c r="C44" i="13"/>
  <c r="N27" i="17"/>
  <c r="L27" i="17"/>
  <c r="B38" i="13"/>
  <c r="D83" i="19"/>
  <c r="E83" i="19" s="1"/>
  <c r="U81" i="19"/>
  <c r="E81" i="19"/>
  <c r="I22" i="19"/>
  <c r="I66" i="19"/>
  <c r="I65" i="20"/>
  <c r="I89" i="20" s="1"/>
  <c r="G89" i="20"/>
  <c r="A9" i="14" s="1"/>
  <c r="I64" i="20"/>
  <c r="I88" i="20" s="1"/>
  <c r="E17" i="19"/>
  <c r="R8" i="17"/>
  <c r="P8" i="17"/>
  <c r="U42" i="19"/>
  <c r="AD26" i="19"/>
  <c r="Z31" i="19" s="1"/>
  <c r="E42" i="19"/>
  <c r="E23" i="20" s="1"/>
  <c r="Q65" i="20"/>
  <c r="P65" i="20"/>
  <c r="Q64" i="20"/>
  <c r="S64" i="20" s="1"/>
  <c r="S88" i="20" s="1"/>
  <c r="P64" i="20"/>
  <c r="T88" i="20" s="1"/>
  <c r="U61" i="19" s="1"/>
  <c r="S83" i="19" s="1"/>
  <c r="G66" i="20"/>
  <c r="C41" i="13" l="1"/>
  <c r="C38" i="13" s="1"/>
  <c r="P28" i="17"/>
  <c r="G24" i="17"/>
  <c r="T83" i="19"/>
  <c r="L31" i="17"/>
  <c r="T89" i="20"/>
  <c r="R24" i="17" s="1"/>
  <c r="AB12" i="17"/>
  <c r="P27" i="17"/>
  <c r="D6" i="19" s="1"/>
  <c r="S65" i="20"/>
  <c r="S89" i="20" s="1"/>
  <c r="R64" i="20"/>
  <c r="R88" i="20" s="1"/>
  <c r="D44" i="19"/>
  <c r="C44" i="19"/>
  <c r="Q66" i="20"/>
  <c r="Q89" i="20"/>
  <c r="B101" i="20"/>
  <c r="G90" i="20"/>
  <c r="Q88" i="20"/>
  <c r="B100" i="20"/>
  <c r="I90" i="20"/>
  <c r="I66" i="20"/>
  <c r="C83" i="14" l="1"/>
  <c r="A83" i="14" s="1"/>
  <c r="C26" i="13"/>
  <c r="B25" i="13"/>
  <c r="G26" i="17"/>
  <c r="L25" i="17"/>
  <c r="N31" i="17"/>
  <c r="P31" i="17" s="1"/>
  <c r="U83" i="19"/>
  <c r="E59" i="19"/>
  <c r="C82" i="19" s="1"/>
  <c r="U59" i="19"/>
  <c r="S82" i="19" s="1"/>
  <c r="Y20" i="19"/>
  <c r="I64" i="19"/>
  <c r="Y64" i="19"/>
  <c r="Y22" i="19"/>
  <c r="Y66" i="19"/>
  <c r="U17" i="19"/>
  <c r="S44" i="19" s="1"/>
  <c r="AB33" i="17"/>
  <c r="S66" i="20"/>
  <c r="S90" i="20"/>
  <c r="Q90" i="20"/>
  <c r="E15" i="19"/>
  <c r="C43" i="19" s="1"/>
  <c r="U15" i="19"/>
  <c r="E44" i="19"/>
  <c r="B108" i="20"/>
  <c r="I20" i="19"/>
  <c r="J21" i="19" s="1"/>
  <c r="F18" i="19" s="1"/>
  <c r="F19" i="19" s="1"/>
  <c r="E100" i="20"/>
  <c r="H100" i="20"/>
  <c r="B107" i="20"/>
  <c r="C25" i="13" l="1"/>
  <c r="C74" i="14"/>
  <c r="A74" i="14" s="1"/>
  <c r="Z21" i="19"/>
  <c r="V18" i="19" s="1"/>
  <c r="V19" i="19" s="1"/>
  <c r="Z31" i="17" s="1"/>
  <c r="V59" i="19"/>
  <c r="T82" i="19"/>
  <c r="U82" i="19" s="1"/>
  <c r="Z65" i="19"/>
  <c r="D82" i="19"/>
  <c r="F59" i="19"/>
  <c r="J65" i="19"/>
  <c r="T44" i="19"/>
  <c r="U44" i="19" s="1"/>
  <c r="N25" i="17"/>
  <c r="P25" i="17" s="1"/>
  <c r="Z10" i="17"/>
  <c r="D43" i="19"/>
  <c r="E43" i="19" s="1"/>
  <c r="F15" i="19"/>
  <c r="T43" i="19"/>
  <c r="S43" i="19"/>
  <c r="V15" i="19"/>
  <c r="F35" i="19"/>
  <c r="H107" i="20"/>
  <c r="E107" i="20"/>
  <c r="V35" i="19" l="1"/>
  <c r="S45" i="19" s="1"/>
  <c r="V62" i="19"/>
  <c r="V63" i="19" s="1"/>
  <c r="V77" i="19"/>
  <c r="S84" i="19" s="1"/>
  <c r="E82" i="19"/>
  <c r="F77" i="19"/>
  <c r="C84" i="19" s="1"/>
  <c r="F62" i="19"/>
  <c r="F63" i="19" s="1"/>
  <c r="AB26" i="17"/>
  <c r="T48" i="19"/>
  <c r="S48" i="19" s="1"/>
  <c r="R84" i="20" s="1"/>
  <c r="R85" i="20" s="1"/>
  <c r="AA28" i="17"/>
  <c r="AB30" i="17"/>
  <c r="T47" i="19"/>
  <c r="S47" i="19" s="1"/>
  <c r="H108" i="20" s="1"/>
  <c r="Z23" i="19"/>
  <c r="J23" i="19"/>
  <c r="AB9" i="17"/>
  <c r="AB5" i="17"/>
  <c r="D47" i="19"/>
  <c r="C47" i="19" s="1"/>
  <c r="E108" i="20" s="1"/>
  <c r="D48" i="19"/>
  <c r="C48" i="19" s="1"/>
  <c r="U43" i="19"/>
  <c r="D45" i="19"/>
  <c r="C45" i="19"/>
  <c r="T45" i="19" l="1"/>
  <c r="U45" i="19" s="1"/>
  <c r="T50" i="19"/>
  <c r="S50" i="19" s="1"/>
  <c r="T49" i="19"/>
  <c r="S49" i="19" s="1"/>
  <c r="N23" i="17" s="1"/>
  <c r="D84" i="19"/>
  <c r="T84" i="19"/>
  <c r="J67" i="19"/>
  <c r="D87" i="19"/>
  <c r="C87" i="19" s="1"/>
  <c r="D86" i="19"/>
  <c r="C86" i="19" s="1"/>
  <c r="Z67" i="19"/>
  <c r="T86" i="19"/>
  <c r="S86" i="19" s="1"/>
  <c r="T87" i="19"/>
  <c r="S87" i="19" s="1"/>
  <c r="R70" i="20"/>
  <c r="R71" i="20" s="1"/>
  <c r="H101" i="20"/>
  <c r="R65" i="20"/>
  <c r="Z24" i="19"/>
  <c r="AA24" i="17" s="1"/>
  <c r="D50" i="19"/>
  <c r="C50" i="19" s="1"/>
  <c r="E102" i="20" s="1"/>
  <c r="H65" i="20"/>
  <c r="H66" i="20" s="1"/>
  <c r="H84" i="20"/>
  <c r="H85" i="20" s="1"/>
  <c r="H70" i="20"/>
  <c r="D49" i="19"/>
  <c r="C49" i="19" s="1"/>
  <c r="J24" i="19"/>
  <c r="E101" i="20"/>
  <c r="E45" i="19"/>
  <c r="R89" i="20" l="1"/>
  <c r="S52" i="19"/>
  <c r="Z68" i="19"/>
  <c r="T89" i="19"/>
  <c r="S89" i="19" s="1"/>
  <c r="T88" i="19"/>
  <c r="S88" i="19" s="1"/>
  <c r="J68" i="19"/>
  <c r="D89" i="19"/>
  <c r="C89" i="19" s="1"/>
  <c r="D88" i="19"/>
  <c r="C88" i="19" s="1"/>
  <c r="C52" i="19"/>
  <c r="E109" i="20"/>
  <c r="E110" i="20" s="1"/>
  <c r="U84" i="19"/>
  <c r="E84" i="19"/>
  <c r="R66" i="20"/>
  <c r="H71" i="20"/>
  <c r="H89" i="20"/>
  <c r="P11" i="17"/>
  <c r="L23" i="17"/>
  <c r="E120" i="20"/>
  <c r="E122" i="20" s="1"/>
  <c r="E126" i="20"/>
  <c r="E128" i="20" s="1"/>
  <c r="H102" i="20"/>
  <c r="H103" i="20" s="1"/>
  <c r="H109" i="20"/>
  <c r="H110" i="20" s="1"/>
  <c r="AA3" i="17"/>
  <c r="B122" i="20"/>
  <c r="H120" i="20"/>
  <c r="H122" i="20" s="1"/>
  <c r="H126" i="20"/>
  <c r="H128" i="20" s="1"/>
  <c r="R11" i="17"/>
  <c r="E103" i="20"/>
  <c r="C29" i="13" l="1"/>
  <c r="R90" i="20"/>
  <c r="R10" i="17" s="1"/>
  <c r="H90" i="20"/>
  <c r="P10" i="17" s="1"/>
  <c r="E25" i="13"/>
  <c r="H130" i="20" a="1"/>
  <c r="H130" i="20" s="1"/>
  <c r="E130" i="20" a="1"/>
  <c r="E130" i="20" s="1"/>
  <c r="H112" i="20" a="1"/>
  <c r="H112" i="20" s="1"/>
  <c r="R9" i="17" s="1"/>
  <c r="E112" i="20" a="1"/>
  <c r="E112" i="20" s="1"/>
  <c r="C34" i="13" s="1"/>
  <c r="S91" i="19"/>
  <c r="N43" i="17" s="1"/>
  <c r="C91" i="19"/>
  <c r="L43" i="17" s="1"/>
  <c r="C37" i="14" s="1"/>
  <c r="A37" i="14" s="1"/>
  <c r="P23" i="17"/>
  <c r="D3" i="19" s="1"/>
  <c r="C33" i="13" l="1"/>
  <c r="C79" i="14" s="1"/>
  <c r="A79" i="14" s="1"/>
  <c r="L26" i="17"/>
  <c r="N24" i="17"/>
  <c r="L24" i="17"/>
  <c r="C75" i="14"/>
  <c r="A75" i="14" s="1"/>
  <c r="V62" i="20"/>
  <c r="D25" i="13"/>
  <c r="P9" i="17"/>
  <c r="N26" i="17"/>
  <c r="AA7" i="17"/>
  <c r="L33" i="17" l="1"/>
  <c r="L39" i="17" s="1"/>
  <c r="N33" i="17"/>
  <c r="P24" i="17"/>
  <c r="D4" i="19" s="1"/>
  <c r="P26" i="17"/>
  <c r="D5" i="19" s="1"/>
  <c r="N38" i="17" l="1"/>
  <c r="N39" i="17"/>
  <c r="L38" i="17"/>
  <c r="C105" i="14" s="1"/>
  <c r="L40" i="17"/>
  <c r="L41" i="17" s="1"/>
  <c r="C108" i="14"/>
  <c r="A108" i="14" s="1"/>
  <c r="B13" i="13"/>
  <c r="C34" i="14" s="1"/>
  <c r="A34" i="14" s="1"/>
  <c r="B103" i="14"/>
  <c r="L6" i="17"/>
  <c r="L35" i="17"/>
  <c r="L36" i="17"/>
  <c r="L5" i="17"/>
  <c r="L37" i="17"/>
  <c r="N36" i="17"/>
  <c r="P33" i="17"/>
  <c r="N35" i="17"/>
  <c r="N40" i="17"/>
  <c r="C109" i="14" s="1"/>
  <c r="A109" i="14" s="1"/>
  <c r="N37" i="17"/>
  <c r="H3" i="19"/>
  <c r="H4" i="19" s="1"/>
  <c r="A105" i="14" l="1"/>
  <c r="C113" i="14"/>
  <c r="A113" i="14" s="1"/>
  <c r="C112" i="14"/>
  <c r="A112" i="14" s="1"/>
  <c r="C110" i="14"/>
  <c r="A110" i="14" s="1"/>
  <c r="N41" i="17"/>
  <c r="C106" i="14" s="1"/>
  <c r="A106" i="14" s="1"/>
  <c r="C104" i="14"/>
  <c r="A104" i="14" s="1"/>
  <c r="P36" i="17"/>
  <c r="P35" i="17"/>
  <c r="P37" i="17"/>
  <c r="C36" i="14"/>
  <c r="A36"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G1" authorId="0" shapeId="0" xr:uid="{75572017-CC60-4490-B63D-FFEABDF8409F}">
      <text>
        <r>
          <rPr>
            <sz val="9"/>
            <color indexed="81"/>
            <rFont val="Tahoma"/>
            <family val="2"/>
          </rPr>
          <t>bijv. Appelhof 6a
(case insensitive)</t>
        </r>
      </text>
    </comment>
    <comment ref="W1" authorId="0" shapeId="0" xr:uid="{865C9FDA-2A24-4497-9FAD-A9FC6171549F}">
      <text>
        <r>
          <rPr>
            <sz val="9"/>
            <color indexed="81"/>
            <rFont val="Tahoma"/>
            <family val="2"/>
          </rPr>
          <t>Op deze cell zit een Conditional Formatting. Als je het resultaat van deze formule op "=1" zet, zie je alle protected cells.</t>
        </r>
      </text>
    </comment>
    <comment ref="G4" authorId="0" shapeId="0" xr:uid="{B98CB45A-294C-4136-B0BD-CB6F3687C9C5}">
      <text>
        <r>
          <rPr>
            <sz val="9"/>
            <color indexed="81"/>
            <rFont val="Tahoma"/>
            <family val="2"/>
          </rPr>
          <t>Voor warmwaterverbruik. Als men buitengemiddeld omgaat met warm water, kun je dat met dit getal compenseren.</t>
        </r>
      </text>
    </comment>
    <comment ref="G5" authorId="0" shapeId="0" xr:uid="{B0E6DBC9-778A-4B25-AA0C-BA9943701CDB}">
      <text>
        <r>
          <rPr>
            <sz val="9"/>
            <color indexed="81"/>
            <rFont val="Tahoma"/>
            <family val="2"/>
          </rPr>
          <t>Een twee-onder-een-kapper is een hoekwoning.
Appartement ontbreekt nog.</t>
        </r>
      </text>
    </comment>
    <comment ref="G7" authorId="0" shapeId="0" xr:uid="{7C1932EE-B775-4047-93E4-7461E6926770}">
      <text>
        <r>
          <rPr>
            <sz val="9"/>
            <color indexed="81"/>
            <rFont val="Tahoma"/>
            <family val="2"/>
          </rPr>
          <t>werkt nog niet</t>
        </r>
      </text>
    </comment>
    <comment ref="G10" authorId="0" shapeId="0" xr:uid="{CE429FFA-663B-4CB3-999C-50E1B2A4145E}">
      <text>
        <r>
          <rPr>
            <sz val="9"/>
            <color indexed="81"/>
            <rFont val="Tahoma"/>
            <family val="2"/>
          </rPr>
          <t>half als een aantal kamers boven worden gestookt. In tabblad Details kun je ook nog de gemiddelde temperatuur op de bovenverdieping instellen.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StefM</author>
    <author xml:space="preserve"> </author>
  </authors>
  <commentList>
    <comment ref="K3" authorId="0" shapeId="0" xr:uid="{6A48CD90-203E-4DA1-83C0-E999A5A23434}">
      <text>
        <r>
          <rPr>
            <b/>
            <sz val="9"/>
            <color indexed="81"/>
            <rFont val="Tahoma"/>
            <family val="2"/>
          </rPr>
          <t>StefM:</t>
        </r>
        <r>
          <rPr>
            <sz val="9"/>
            <color indexed="81"/>
            <rFont val="Tahoma"/>
            <family val="2"/>
          </rPr>
          <t xml:space="preserve">
Op deze cell zit een Conditional Formatting. Als je het resultaat van deze rule op "=1" zet, zie je alle protected cells.</t>
        </r>
      </text>
    </comment>
    <comment ref="E52" authorId="0" shapeId="0" xr:uid="{27EB6430-9634-413A-B772-D33E94873AC2}">
      <text>
        <r>
          <rPr>
            <sz val="9"/>
            <color indexed="81"/>
            <rFont val="Tahoma"/>
            <family val="2"/>
          </rPr>
          <t>Op basis van bouwjaar (bouwbesluit) en verbeteringen</t>
        </r>
      </text>
    </comment>
    <comment ref="F52" authorId="0" shapeId="0" xr:uid="{3BE0CD2A-EDA6-4149-95C6-F0B659CCD887}">
      <text>
        <r>
          <rPr>
            <sz val="9"/>
            <color indexed="81"/>
            <rFont val="Tahoma"/>
            <family val="2"/>
          </rPr>
          <t>op basis van Graaddagen en Rc, gecorrigeerd voor kruipruimte en vloerverwarming (indien nodig)</t>
        </r>
      </text>
    </comment>
    <comment ref="H52" authorId="0" shapeId="0" xr:uid="{5BFC5800-4C2C-4CD4-B7B9-DDA6956BBE1E}">
      <text>
        <r>
          <rPr>
            <sz val="9"/>
            <color indexed="81"/>
            <rFont val="Tahoma"/>
            <family val="2"/>
          </rPr>
          <t>Bouwbesluit, maar bij vloerverwarming groter</t>
        </r>
      </text>
    </comment>
    <comment ref="F64" authorId="1" shapeId="0" xr:uid="{DABE57E6-0469-4D33-8FB6-95C2028895C5}">
      <text>
        <r>
          <rPr>
            <sz val="9"/>
            <color indexed="81"/>
            <rFont val="Tahoma"/>
            <family val="2"/>
          </rPr>
          <t>Utot = Opp * Ug</t>
        </r>
      </text>
    </comment>
    <comment ref="H64" authorId="1" shapeId="0" xr:uid="{ECCB7F99-8703-453E-8601-C0C0D0360CC8}">
      <text>
        <r>
          <rPr>
            <sz val="9"/>
            <color indexed="81"/>
            <rFont val="Tahoma"/>
            <family val="2"/>
          </rPr>
          <t>Op basis van Graaddagen, Opp en Ug.</t>
        </r>
      </text>
    </comment>
    <comment ref="H65" authorId="1" shapeId="0" xr:uid="{A6E17E0F-35E2-43F5-895B-66F518B0C693}">
      <text>
        <r>
          <rPr>
            <sz val="9"/>
            <color indexed="81"/>
            <rFont val="Tahoma"/>
            <family val="2"/>
          </rPr>
          <t>vanuit vermogen via balansberekening. Deze waarde varieert dus ook als de detaillering hieronder worden aangepast.</t>
        </r>
      </text>
    </comment>
    <comment ref="B69" authorId="1" shapeId="0" xr:uid="{89F9EA43-AE83-4A22-A6EE-66F466F59716}">
      <text>
        <r>
          <rPr>
            <sz val="9"/>
            <color indexed="81"/>
            <rFont val="Tahoma"/>
            <family val="2"/>
          </rPr>
          <t>Als dit veld leeg is, wordt detaillering 1/2 niet gebruikt</t>
        </r>
      </text>
    </comment>
    <comment ref="H70" authorId="1" shapeId="0" xr:uid="{E93BE94B-9109-4C2F-B9BD-29B05E71B2E0}">
      <text>
        <r>
          <rPr>
            <sz val="9"/>
            <color indexed="81"/>
            <rFont val="Tahoma"/>
            <family val="2"/>
          </rPr>
          <t>vanuit vermogen via balansberekening</t>
        </r>
      </text>
    </comment>
    <comment ref="B74" authorId="1" shapeId="0" xr:uid="{82246BD1-E2AC-49C9-98DF-4A310AB49D59}">
      <text>
        <r>
          <rPr>
            <sz val="9"/>
            <color indexed="81"/>
            <rFont val="Tahoma"/>
            <family val="2"/>
          </rPr>
          <t>Als dit veld leeg is, wordt detaillering 2/2 niet gebruikt</t>
        </r>
      </text>
    </comment>
    <comment ref="J87" authorId="1" shapeId="0" xr:uid="{ABCA9A63-7B68-43D0-B1FA-83CF21D8EC91}">
      <text>
        <r>
          <rPr>
            <sz val="9"/>
            <color indexed="81"/>
            <rFont val="Tahoma"/>
            <family val="2"/>
          </rPr>
          <t>Utot = Opp * Ug
Heb je nodig in balansberekeningen</t>
        </r>
      </text>
    </comment>
    <comment ref="E100" authorId="1" shapeId="0" xr:uid="{06609A8A-C0AF-4A9D-8344-8741C3CD4696}">
      <text>
        <r>
          <rPr>
            <sz val="9"/>
            <color indexed="81"/>
            <rFont val="Tahoma"/>
            <family val="2"/>
          </rPr>
          <t>Op basis van Graaddagen, Opp en Rc.</t>
        </r>
      </text>
    </comment>
    <comment ref="E101" authorId="1" shapeId="0" xr:uid="{A60F9CC7-6C6A-41CE-89A6-C73B9237EE80}">
      <text>
        <r>
          <rPr>
            <sz val="9"/>
            <color indexed="81"/>
            <rFont val="Tahoma"/>
            <family val="2"/>
          </rPr>
          <t xml:space="preserve">balansberekening. Deze waarde varieert dus ook als de detaillering hieronder worden aangepast.
</t>
        </r>
      </text>
    </comment>
    <comment ref="E102" authorId="1" shapeId="0" xr:uid="{4927858F-F0C3-453C-8506-F92C03403BE9}">
      <text>
        <r>
          <rPr>
            <sz val="9"/>
            <color indexed="81"/>
            <rFont val="Tahoma"/>
            <family val="2"/>
          </rPr>
          <t>Balansberekening</t>
        </r>
      </text>
    </comment>
    <comment ref="D107" authorId="1" shapeId="0" xr:uid="{95D258AC-3F98-47C4-B0EC-9CCDF63C7F16}">
      <text>
        <r>
          <rPr>
            <b/>
            <sz val="9"/>
            <color indexed="81"/>
            <rFont val="Tahoma"/>
            <family val="2"/>
          </rPr>
          <t>Als dit veld gevuld is, wordt deze detaillering gebruikt.</t>
        </r>
      </text>
    </comment>
    <comment ref="E108" authorId="1" shapeId="0" xr:uid="{CEF36B62-BB6A-4F65-B38D-47A2F27802E4}">
      <text>
        <r>
          <rPr>
            <sz val="9"/>
            <color indexed="81"/>
            <rFont val="Tahoma"/>
            <family val="2"/>
          </rPr>
          <t xml:space="preserve">balansberekening. Deze waarde varieert dus ook als de detaillering hieronder worden aangepast.
</t>
        </r>
      </text>
    </comment>
    <comment ref="E109" authorId="1" shapeId="0" xr:uid="{19356A5B-FEB5-4DEC-BA86-6A5C218B0EB5}">
      <text>
        <r>
          <rPr>
            <sz val="9"/>
            <color indexed="81"/>
            <rFont val="Tahoma"/>
            <family val="2"/>
          </rPr>
          <t>Balansberekening</t>
        </r>
      </text>
    </comment>
    <comment ref="E120" authorId="1" shapeId="0" xr:uid="{7D0DB415-0827-4F56-9B86-5645599D7F89}">
      <text>
        <r>
          <rPr>
            <sz val="9"/>
            <color indexed="81"/>
            <rFont val="Tahoma"/>
            <family val="2"/>
          </rPr>
          <t>Balansberekening</t>
        </r>
      </text>
    </comment>
    <comment ref="E126" authorId="1" shapeId="0" xr:uid="{D8A5D838-8E4C-4ADB-990A-413DC8D2FCAA}">
      <text>
        <r>
          <rPr>
            <sz val="9"/>
            <color indexed="81"/>
            <rFont val="Tahoma"/>
            <family val="2"/>
          </rPr>
          <t>Balansberekening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StefM</author>
  </authors>
  <commentList>
    <comment ref="C3" authorId="0" shapeId="0" xr:uid="{9D0C10DD-F261-4F25-AF79-83EE00219C1D}">
      <text>
        <r>
          <rPr>
            <b/>
            <sz val="9"/>
            <color indexed="81"/>
            <rFont val="Tahoma"/>
            <family val="2"/>
          </rPr>
          <t>StefM:</t>
        </r>
        <r>
          <rPr>
            <sz val="9"/>
            <color indexed="81"/>
            <rFont val="Tahoma"/>
            <family val="2"/>
          </rPr>
          <t xml:space="preserve">
Op deze cell zit een Conditional Formatting. Als je het resultaat van deze rule op "=1" zet, zie je alle protected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StefM</author>
  </authors>
  <commentList>
    <comment ref="A2" authorId="0" shapeId="0" xr:uid="{070F896D-3947-4EDC-9A6A-D043FE8768DF}">
      <text>
        <r>
          <rPr>
            <b/>
            <sz val="9"/>
            <color indexed="81"/>
            <rFont val="Tahoma"/>
            <family val="2"/>
          </rPr>
          <t>StefM:</t>
        </r>
        <r>
          <rPr>
            <sz val="9"/>
            <color indexed="81"/>
            <rFont val="Tahoma"/>
            <family val="2"/>
          </rPr>
          <t xml:space="preserve">
Op deze cell zit een Conditional Formatting. Als je het resultaat van deze rule op "=1" zet, zie je alle protected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StefM</author>
  </authors>
  <commentList>
    <comment ref="H3" authorId="0" shapeId="0" xr:uid="{F17973F2-8A86-4F7B-9F90-AC7F606F12E3}">
      <text>
        <r>
          <rPr>
            <b/>
            <sz val="9"/>
            <color indexed="81"/>
            <rFont val="Tahoma"/>
            <family val="2"/>
          </rPr>
          <t>StefM:</t>
        </r>
        <r>
          <rPr>
            <sz val="9"/>
            <color indexed="81"/>
            <rFont val="Tahoma"/>
            <family val="2"/>
          </rPr>
          <t xml:space="preserve">
Op deze cell zit een Conditional Formatting. Als je het resultaat van deze rule op "=1" zet, zie je alle protected cells.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<sst xmlns="http://schemas.openxmlformats.org/spreadsheetml/2006/main" count="14484" uniqueCount="1094">
  <si>
    <t>Straat + nummer + toevoeging</t>
  </si>
  <si>
    <t>&lt;&lt;&lt;  Adres niet gevonden</t>
  </si>
  <si>
    <t>Bouwjaar</t>
  </si>
  <si>
    <t>Email adres</t>
  </si>
  <si>
    <t>WoonOpp</t>
  </si>
  <si>
    <t>Aantal Bewoners</t>
  </si>
  <si>
    <t>Woningtype</t>
  </si>
  <si>
    <t>Vrijstaand</t>
  </si>
  <si>
    <t>Tapwater</t>
  </si>
  <si>
    <t>Hoeveelheid Glas</t>
  </si>
  <si>
    <t>Veel</t>
  </si>
  <si>
    <t>Ventilatie</t>
  </si>
  <si>
    <t>Heeft het huis een puntdak</t>
  </si>
  <si>
    <t>Ja</t>
  </si>
  <si>
    <t>Kieren</t>
  </si>
  <si>
    <t>Vloerverwarming op begane grond</t>
  </si>
  <si>
    <t>Nee</t>
  </si>
  <si>
    <t>Vloer</t>
  </si>
  <si>
    <t>Ventilatie Systeem</t>
  </si>
  <si>
    <t>geen</t>
  </si>
  <si>
    <t>D</t>
  </si>
  <si>
    <t>Muren</t>
  </si>
  <si>
    <t>Staat verwarming op etage aan</t>
  </si>
  <si>
    <t>Glas</t>
  </si>
  <si>
    <t>Dak</t>
  </si>
  <si>
    <t>Is de vloer na-geïsoleerd</t>
  </si>
  <si>
    <t>Is de muur na-geïsoleerd</t>
  </si>
  <si>
    <t>Is het dak na-geïsoleerd</t>
  </si>
  <si>
    <t>Is extra kierdichting toegepast</t>
  </si>
  <si>
    <t>Aantal Zonnepanelen</t>
  </si>
  <si>
    <t>Huidig Gasverbruik [m3/jaar]</t>
  </si>
  <si>
    <t>Huidig ElektraVerbruik [kWh/jaar]</t>
  </si>
  <si>
    <t>Bij buiten</t>
  </si>
  <si>
    <t>Opp, Rt=oud&gt;&gt;nieuw</t>
  </si>
  <si>
    <t>Gasverbruik m3/jaar</t>
  </si>
  <si>
    <t>Besparing</t>
  </si>
  <si>
    <t>Commentaar</t>
  </si>
  <si>
    <t>Nu</t>
  </si>
  <si>
    <t>Nieuw</t>
  </si>
  <si>
    <t>m3/jaar</t>
  </si>
  <si>
    <t>Zoninstraling</t>
  </si>
  <si>
    <t>Kieren en Tocht</t>
  </si>
  <si>
    <t>Warm Tapwater (Bad + Douche)</t>
  </si>
  <si>
    <t>Interne WarmteProductie (personen + apparatuur)</t>
  </si>
  <si>
    <t>Totaal Verwarming + Bad + Douche</t>
  </si>
  <si>
    <t>kg CO2 per jaar bespaard</t>
  </si>
  <si>
    <t>Bomen per jaar bespaard</t>
  </si>
  <si>
    <t>Euro per jaar  bespaard</t>
  </si>
  <si>
    <t>Thermische Energie per m2 [kWh/m2]</t>
  </si>
  <si>
    <t>&lt;50 kWh/m2 dan geschikt voor warmtepomp</t>
  </si>
  <si>
    <t>Vermogen full electric Warmtepomp [kW]</t>
  </si>
  <si>
    <t>Extra zonnepanelen voor Warmtepomp</t>
  </si>
  <si>
    <t>Disclaimer: dit rekenblad is slechts indicatief en er kunnen geen rechten aan worden ontleend</t>
  </si>
  <si>
    <t>Totaal besparing bij een graadje lager [m3 gas/jaar]</t>
  </si>
  <si>
    <t>Woning</t>
  </si>
  <si>
    <t>Standaardwaarden</t>
  </si>
  <si>
    <t>Constanten</t>
  </si>
  <si>
    <t>Warmteprod_pp</t>
  </si>
  <si>
    <t>Graaddagen</t>
  </si>
  <si>
    <t>Woonplaats</t>
  </si>
  <si>
    <t>Aanwezigheid</t>
  </si>
  <si>
    <t>Ketelrendement</t>
  </si>
  <si>
    <t>Postcode</t>
  </si>
  <si>
    <t>Apparatuur [W]</t>
  </si>
  <si>
    <t>kWh / m3 gas</t>
  </si>
  <si>
    <t>Oppervlakte [m2]</t>
  </si>
  <si>
    <t>Kruipruim Corr.</t>
  </si>
  <si>
    <t>Breedte [m]</t>
  </si>
  <si>
    <t>Rt plafond</t>
  </si>
  <si>
    <t>Vloerverw. Corr.</t>
  </si>
  <si>
    <t>Diepte [m]</t>
  </si>
  <si>
    <t>Rt zoldervloer</t>
  </si>
  <si>
    <t>Invoer en algemene gegevens</t>
  </si>
  <si>
    <t>protected</t>
  </si>
  <si>
    <t>Straat + Nr + abc</t>
  </si>
  <si>
    <t>Bewoners</t>
  </si>
  <si>
    <t>Muur</t>
  </si>
  <si>
    <t>Puntdak</t>
  </si>
  <si>
    <t>Vloerverw</t>
  </si>
  <si>
    <t>Oppervlakte</t>
  </si>
  <si>
    <t>Boven Warm</t>
  </si>
  <si>
    <t>Kier</t>
  </si>
  <si>
    <t>CO2 gas [kg/m3]</t>
  </si>
  <si>
    <t>https://www.klimaatplein.com/gratis-co2-calculator</t>
  </si>
  <si>
    <t>V_m2_Rc</t>
  </si>
  <si>
    <t>Gas_Verbruik [m3/jaar] = Opp * V_m2_Rc / Rc</t>
  </si>
  <si>
    <t>CO2 grijs elektriciteit [kg/kWh]</t>
  </si>
  <si>
    <t>Vermogen [ Watt] = Gas_Verbruik * (Tbuiten - Tbinnen) / V_m2_Rc</t>
  </si>
  <si>
    <t>kWh_m3</t>
  </si>
  <si>
    <t>Bomen grijs elektr /kWh</t>
  </si>
  <si>
    <t>Gas_Verbruik = Vermogen * V_m2_Rc / ( Tbuiten - Tbinnen )</t>
  </si>
  <si>
    <t>Bomen gas /m3</t>
  </si>
  <si>
    <t>V_m2_Rc_lager</t>
  </si>
  <si>
    <t>Graaddagen 238 lager</t>
  </si>
  <si>
    <t>Ug Beste Glas</t>
  </si>
  <si>
    <t>Gasprijs [Euro/m3]</t>
  </si>
  <si>
    <t>Warmtepomp m3gas</t>
  </si>
  <si>
    <t>Elektraprijs [Euro/kWh]</t>
  </si>
  <si>
    <t>WP beta full electric</t>
  </si>
  <si>
    <t>Zonnepaneel kWh/jaar</t>
  </si>
  <si>
    <t>WP beta hybride</t>
  </si>
  <si>
    <t>WP SCOP</t>
  </si>
  <si>
    <t>Auto</t>
  </si>
  <si>
    <t>Detail</t>
  </si>
  <si>
    <t>Warmteproductie pp [W]</t>
  </si>
  <si>
    <t>Aanwezigheid persoon [%]</t>
  </si>
  <si>
    <t>Tbinnen</t>
  </si>
  <si>
    <t>Tboven</t>
  </si>
  <si>
    <t>Tzolder</t>
  </si>
  <si>
    <t>Tbuiten</t>
  </si>
  <si>
    <t>Breedte</t>
  </si>
  <si>
    <t>Diepte</t>
  </si>
  <si>
    <t>Plafond-Rc</t>
  </si>
  <si>
    <t>Zoldervloer-Rc</t>
  </si>
  <si>
    <t>Vloerverwarming</t>
  </si>
  <si>
    <t>Verbeterd</t>
  </si>
  <si>
    <t>Correcties</t>
  </si>
  <si>
    <t>Vloer Nu</t>
  </si>
  <si>
    <t>Vloer Optimaal</t>
  </si>
  <si>
    <t>Kruip</t>
  </si>
  <si>
    <t>Verwarm</t>
  </si>
  <si>
    <t>Rt</t>
  </si>
  <si>
    <t>Verbruik</t>
  </si>
  <si>
    <t>Vloer Auto</t>
  </si>
  <si>
    <t>&lt;&lt;&lt;</t>
  </si>
  <si>
    <t>&lt;&lt;&lt; Wordt gebruikt als Rt detailering leeg is</t>
  </si>
  <si>
    <t>Vloer Detail 1/1</t>
  </si>
  <si>
    <t>Nu in gebruik</t>
  </si>
  <si>
    <t>&lt;&lt;&lt; Nu in gebruik</t>
  </si>
  <si>
    <t>Glas Nu</t>
  </si>
  <si>
    <t>Glas Optimaal</t>
  </si>
  <si>
    <t>Glas Nu Ug</t>
  </si>
  <si>
    <t>Glas_Maat</t>
  </si>
  <si>
    <t>Glas Auto</t>
  </si>
  <si>
    <t>m3 gas per jaar</t>
  </si>
  <si>
    <t>m2</t>
  </si>
  <si>
    <t>Ug</t>
  </si>
  <si>
    <t>Zta</t>
  </si>
  <si>
    <t>Schaduw</t>
  </si>
  <si>
    <t>Zon_In</t>
  </si>
  <si>
    <t>Beneden</t>
  </si>
  <si>
    <t>Boven</t>
  </si>
  <si>
    <t>&lt;&lt;&lt;  Wordt gebruikt als Glas_Maat is ingevuld</t>
  </si>
  <si>
    <t>Glas  Detail-1/2</t>
  </si>
  <si>
    <t>&lt;&lt;&lt; Wordt gebruikt als Glas_Maat niet ingevuld en B11 en B12 wel</t>
  </si>
  <si>
    <t>Glas  Detail-2/2</t>
  </si>
  <si>
    <t>Oost</t>
  </si>
  <si>
    <t>Verbruik =</t>
  </si>
  <si>
    <t>Opp * Ug * GasVerbruik(Graaddagen,KetelRendement)/m2</t>
  </si>
  <si>
    <t>Zon-In =</t>
  </si>
  <si>
    <t>Opp * Zta * (1-Schaduw) * Glas_Instraal / kWh_per_m3</t>
  </si>
  <si>
    <t>Algemeen:
De zoninstraling in de maanden Mei,Juni,Juli,Augustus is niet meegerekend. (NoRgeret tool telt ook Mei nog mee)</t>
  </si>
  <si>
    <t>&lt;&lt;&lt; Wordt gebruikt als Glas_Maat, B11 en B12 niet ingevuld zijn</t>
  </si>
  <si>
    <t>Utot</t>
  </si>
  <si>
    <t>Glas Einde</t>
  </si>
  <si>
    <t>Totaal</t>
  </si>
  <si>
    <t>Optimaal</t>
  </si>
  <si>
    <t>Muur Auto</t>
  </si>
  <si>
    <t>Zolder</t>
  </si>
  <si>
    <t>&lt;&lt;&lt; Wordt gebruikt als Muur Rc detaillering niet ingevuld</t>
  </si>
  <si>
    <t>Muur Detail</t>
  </si>
  <si>
    <t>Muur Einde</t>
  </si>
  <si>
    <t>Dak Auto</t>
  </si>
  <si>
    <t>Dakkapel</t>
  </si>
  <si>
    <t>ToDo</t>
  </si>
  <si>
    <t>Temperatuur [°C]</t>
  </si>
  <si>
    <t>&lt;&lt;&lt; Wordt gebruikt als Dak Rc detaillering niet ingevuld</t>
  </si>
  <si>
    <t>Dak Detail</t>
  </si>
  <si>
    <t>Dak Einde</t>
  </si>
  <si>
    <t>Ventilatie &amp; Kieren</t>
  </si>
  <si>
    <t>Maatwerk</t>
  </si>
  <si>
    <t>Ventilatie &amp; Kieren Einde</t>
  </si>
  <si>
    <t>NU   U-waarde over het gehele oppervlakte [kWh/K] = Opp / Rc
eventueel voorzien van correcties</t>
  </si>
  <si>
    <t>OPTIMAAL  U-waarde over het gehele oppervlakte [kWh/K] = Opp / Rc
eventueel voorzien van correcties</t>
  </si>
  <si>
    <t>Kruipruimte * VloerVerwarming * Opp / Rc</t>
  </si>
  <si>
    <t>Plafond</t>
  </si>
  <si>
    <t>T_Boven</t>
  </si>
  <si>
    <t>T_Boven_b</t>
  </si>
  <si>
    <t>ZolderVloer</t>
  </si>
  <si>
    <t>ZolderMuur</t>
  </si>
  <si>
    <t>Controle Berekening</t>
  </si>
  <si>
    <t>Verbruik
[m3/jaar]</t>
  </si>
  <si>
    <t>Vermogen
[W]</t>
  </si>
  <si>
    <t>Vermogen/
/Verbruik</t>
  </si>
  <si>
    <t xml:space="preserve">Op de begane grond wordt het gasverbruik berekend op basis van Graaddagen bij een bepaalde Tbinnen. Het vermogen (bij een bepaalde temperatuur) wordt berekend op basis van Rc-waarde en temperatuurverschil Tbuiten en Tbinnen. Bij iedere combinatie van Tbuiten en Tbinnen is er echter een vaste verhouding tussen Vermogen en Verbruik. </t>
  </si>
  <si>
    <t>Muur Onder</t>
  </si>
  <si>
    <t>Glas Onder</t>
  </si>
  <si>
    <t>Muur Boven</t>
  </si>
  <si>
    <t>Omdat Tboven kan afwijken van Tonder, kan hier niet gemakkelijk met graaddagen worden gerekend (en als de bovenverdieping niet wordt verwarmd al helemaal niet. Daarom wordt hier het vermogen berekend met de Rc-waarde en het echte temperatuurverschil en wordt met de factor van de begane grond het energieverbruik berekend.</t>
  </si>
  <si>
    <t>Glas Boven</t>
  </si>
  <si>
    <t>Zoldermuur</t>
  </si>
  <si>
    <t>Graadje lager Berekening</t>
  </si>
  <si>
    <t>Rc-waarden Bouwbesluit</t>
  </si>
  <si>
    <t>Voor een lege spouw wordt vaak 0.34 aangenomen.
Als we het zelf uitrekenen komen we op 0.65, hetgeen realistischer lijkt.</t>
  </si>
  <si>
    <t>Rc</t>
  </si>
  <si>
    <t>m3</t>
  </si>
  <si>
    <t>T</t>
  </si>
  <si>
    <t>vanaf</t>
  </si>
  <si>
    <t>Muur+</t>
  </si>
  <si>
    <t>WoningType</t>
  </si>
  <si>
    <t>WT</t>
  </si>
  <si>
    <t>JaNee</t>
  </si>
  <si>
    <t>JaNee2</t>
  </si>
  <si>
    <t>HoekWoning</t>
  </si>
  <si>
    <t>Tussenwoning</t>
  </si>
  <si>
    <t>Half</t>
  </si>
  <si>
    <t>Rsie</t>
  </si>
  <si>
    <t>Rsi</t>
  </si>
  <si>
    <t>Rse</t>
  </si>
  <si>
    <t>Rsi+Rse</t>
  </si>
  <si>
    <t>VLOOKUP($H$21,Rsie_T,2)</t>
  </si>
  <si>
    <t>kWh/m2</t>
  </si>
  <si>
    <t>EnergieLabel</t>
  </si>
  <si>
    <t>A++++</t>
  </si>
  <si>
    <t>A+++</t>
  </si>
  <si>
    <t>A++</t>
  </si>
  <si>
    <t>A+</t>
  </si>
  <si>
    <t>A</t>
  </si>
  <si>
    <t>B</t>
  </si>
  <si>
    <t>C</t>
  </si>
  <si>
    <t>VLOOKUP($E$21,EnergieLabel_T,2)</t>
  </si>
  <si>
    <t>E</t>
  </si>
  <si>
    <t>F</t>
  </si>
  <si>
    <t>G</t>
  </si>
  <si>
    <t>Glas Zta</t>
  </si>
  <si>
    <t>Bron: https://support.vabi.nl/support/elements/online-help/hulpmiddelen/constructies-transparant/#glasgegevens</t>
  </si>
  <si>
    <t>Enkel</t>
  </si>
  <si>
    <t>Dubbel</t>
  </si>
  <si>
    <t xml:space="preserve">HR </t>
  </si>
  <si>
    <t>HR+</t>
  </si>
  <si>
    <t>HR++</t>
  </si>
  <si>
    <t>Triple</t>
  </si>
  <si>
    <t>Kompas</t>
  </si>
  <si>
    <t>Zoninstraling [kWh/m2]</t>
  </si>
  <si>
    <t>Zuid</t>
  </si>
  <si>
    <t>Noord</t>
  </si>
  <si>
    <t>Weinig</t>
  </si>
  <si>
    <t>Maand</t>
  </si>
  <si>
    <t>Zuid-West</t>
  </si>
  <si>
    <t>West</t>
  </si>
  <si>
    <t>Noord-West</t>
  </si>
  <si>
    <t>Noord-Oost</t>
  </si>
  <si>
    <t>Zuid-Oost</t>
  </si>
  <si>
    <t>Normaal</t>
  </si>
  <si>
    <t>Noord_West</t>
  </si>
  <si>
    <t>Glas_Instraal</t>
  </si>
  <si>
    <t>Tot-5678</t>
  </si>
  <si>
    <t>Stookseizoen is niet mei-juni-juli-aug-sept volgens HUnatuurkunde</t>
  </si>
  <si>
    <t>NoRegret Tools: Berekening van zontoetreding volgt de NEN5128, 2004, tabel 10. Het betreft alleen zontoetreding in het stookseizoen. Bij volledige beschaduwing in zontoetreding 50% (zuid), 70% (oost/west), 100% (noord)</t>
  </si>
  <si>
    <t>Eerste kompasrichting wordt (via data validation) opgezocht in de lijst "Kompas"</t>
  </si>
  <si>
    <t>Tweede kompasrichting is twee plaatsen verder in de twee keer zo lange lijst "Kompas2"</t>
  </si>
  <si>
    <t>Derde is 4 plaatsen verder</t>
  </si>
  <si>
    <t>Vierde is 6 plaatsen verder</t>
  </si>
  <si>
    <t>"Kompas2" is twee keer zo lang als "Kompas" om die cellen 6 verderop te vinden</t>
  </si>
  <si>
    <t>Glas  detailering-1/2</t>
  </si>
  <si>
    <t>Zoninstraling is weinig afhankelijk van de orientatie van de woning.</t>
  </si>
  <si>
    <t>Glas  detailering-2/2</t>
  </si>
  <si>
    <t>kWh/jaar</t>
  </si>
  <si>
    <t>1-1-1-1</t>
  </si>
  <si>
    <t>0-1-1-1</t>
  </si>
  <si>
    <t>0-1-0-1</t>
  </si>
  <si>
    <t>1-3-1-3</t>
  </si>
  <si>
    <t>0-3-1-3</t>
  </si>
  <si>
    <t>Mean</t>
  </si>
  <si>
    <t>kWh/m2.jaar</t>
  </si>
  <si>
    <t>B61*D61*INDEX(Zon_in,0,VLOOKUP(A61,Kompas_t,2)+1)</t>
  </si>
  <si>
    <t>Volkel, 2022, Graaddagen (Tstook =Tbinnen)</t>
  </si>
  <si>
    <t>Muur 200 m2, Rc = 2.5</t>
  </si>
  <si>
    <t>GraadDagen</t>
  </si>
  <si>
    <t>T-10</t>
  </si>
  <si>
    <t>T-5</t>
  </si>
  <si>
    <t>T0</t>
  </si>
  <si>
    <t>T5</t>
  </si>
  <si>
    <t>T10</t>
  </si>
  <si>
    <t>QV10 correctie</t>
  </si>
  <si>
    <t>centrale afzuiging</t>
  </si>
  <si>
    <t>kWh</t>
  </si>
  <si>
    <t>https://www.huisenergieneutraalmaken.nl/warmteterugwinsysteem-wtw/</t>
  </si>
  <si>
    <t>Om het eenvoudig te houden nemen we een gemiddeld temperatuurverschil met buiten van 12 graden (18 °C – 6 °C) gedurende een periode van 180 dagen. Nu kunnen we bij benadering uitrekenen hoeveel warmte we verliezen in die periode.
100 m3/ h x 1,29 kg/ m3 x 1 kJ/ kg.K x 12 K x 180 d x 24 h/ d = 6687360 kJ = 1858 kWh</t>
  </si>
  <si>
    <t>gestuurd met WTW</t>
  </si>
  <si>
    <t>gestuurde ventilatie</t>
  </si>
  <si>
    <t>https://www.energiedeskundig.nl/energielabel-aanvragen/vloerisolatie-herkennen/?doing_wp_cron=1635371152.9522819519042968750000</t>
  </si>
  <si>
    <t>NEN 1068, Bouwbesluit 2012</t>
  </si>
  <si>
    <t>NTA8800, Bouwbesluit 2021, vanaf 1 jan 2021</t>
  </si>
  <si>
    <t>https://stef-aap.github.io/Duurzaam/Inzicht_Warmtelek.pdf</t>
  </si>
  <si>
    <t>https://www.mindergas.nl/degree_days_calculation</t>
  </si>
  <si>
    <t>m</t>
  </si>
  <si>
    <t>Àdres</t>
  </si>
  <si>
    <t>postcode</t>
  </si>
  <si>
    <t>woonplaats_naam</t>
  </si>
  <si>
    <t>bouwjaar</t>
  </si>
  <si>
    <t>oppervlakte</t>
  </si>
  <si>
    <t>Straat</t>
  </si>
  <si>
    <t>huisnummer</t>
  </si>
  <si>
    <t>huisletter</t>
  </si>
  <si>
    <t>6584BL</t>
  </si>
  <si>
    <t>Molenhoek</t>
  </si>
  <si>
    <t>Appelhof</t>
  </si>
  <si>
    <t>b</t>
  </si>
  <si>
    <t>c</t>
  </si>
  <si>
    <t>d</t>
  </si>
  <si>
    <t>6587BD</t>
  </si>
  <si>
    <t>Middelaar</t>
  </si>
  <si>
    <t>Arnold van Heumenstraat</t>
  </si>
  <si>
    <t>a</t>
  </si>
  <si>
    <t>6585KK</t>
  </si>
  <si>
    <t>Mook</t>
  </si>
  <si>
    <t>Avilaweg</t>
  </si>
  <si>
    <t>k</t>
  </si>
  <si>
    <t>6584EM</t>
  </si>
  <si>
    <t>Bachstraat</t>
  </si>
  <si>
    <t>6584EP</t>
  </si>
  <si>
    <t>Beethovenstraat</t>
  </si>
  <si>
    <t>6584ER</t>
  </si>
  <si>
    <t>6584CW</t>
  </si>
  <si>
    <t>Begijnenhof</t>
  </si>
  <si>
    <t>6584CZ</t>
  </si>
  <si>
    <t>6584BM</t>
  </si>
  <si>
    <t>Berkenhof</t>
  </si>
  <si>
    <t>e</t>
  </si>
  <si>
    <t>6584CR</t>
  </si>
  <si>
    <t>Beukenlaan</t>
  </si>
  <si>
    <t>6584CS</t>
  </si>
  <si>
    <t>6585KS</t>
  </si>
  <si>
    <t>Bisseltsebaan</t>
  </si>
  <si>
    <t>6585KT</t>
  </si>
  <si>
    <t>Bossebrugweg</t>
  </si>
  <si>
    <t>6587AW</t>
  </si>
  <si>
    <t>Bouwsteeg</t>
  </si>
  <si>
    <t>f</t>
  </si>
  <si>
    <t>g</t>
  </si>
  <si>
    <t>6585KA</t>
  </si>
  <si>
    <t>Bovensteweg</t>
  </si>
  <si>
    <t>6585KC</t>
  </si>
  <si>
    <t>6585KD</t>
  </si>
  <si>
    <t>6585KB</t>
  </si>
  <si>
    <t>6585KP</t>
  </si>
  <si>
    <t>Bracamonteweg</t>
  </si>
  <si>
    <t>6584EK</t>
  </si>
  <si>
    <t>Brandenburgstraat</t>
  </si>
  <si>
    <t>6584BX</t>
  </si>
  <si>
    <t>Brempad</t>
  </si>
  <si>
    <t>6586AT</t>
  </si>
  <si>
    <t>Plasmolen</t>
  </si>
  <si>
    <t>Broekweg</t>
  </si>
  <si>
    <t>6587BB</t>
  </si>
  <si>
    <t>Burchtstraat</t>
  </si>
  <si>
    <t>6587BE</t>
  </si>
  <si>
    <t>6587BC</t>
  </si>
  <si>
    <t>6584EJ</t>
  </si>
  <si>
    <t>Chopinstraat</t>
  </si>
  <si>
    <t>6585KN</t>
  </si>
  <si>
    <t>Christoffelweg</t>
  </si>
  <si>
    <t>6587AB</t>
  </si>
  <si>
    <t>Cuijksesteeg</t>
  </si>
  <si>
    <t>6585BZ</t>
  </si>
  <si>
    <t>6584DH</t>
  </si>
  <si>
    <t>De Bongerd</t>
  </si>
  <si>
    <t>6584DG</t>
  </si>
  <si>
    <t>6584DJ</t>
  </si>
  <si>
    <t>6584DE</t>
  </si>
  <si>
    <t>6584CV</t>
  </si>
  <si>
    <t>De Hazelaar</t>
  </si>
  <si>
    <t>6585AN</t>
  </si>
  <si>
    <t>De Hove</t>
  </si>
  <si>
    <t>6584HC</t>
  </si>
  <si>
    <t>De Sterreschans</t>
  </si>
  <si>
    <t>6584HD</t>
  </si>
  <si>
    <t>6584EA</t>
  </si>
  <si>
    <t>De Toverdans</t>
  </si>
  <si>
    <t>6584EC</t>
  </si>
  <si>
    <t>6584EB</t>
  </si>
  <si>
    <t>6584ED</t>
  </si>
  <si>
    <t>6584EE</t>
  </si>
  <si>
    <t>6584AX</t>
  </si>
  <si>
    <t>De Zonneschijn</t>
  </si>
  <si>
    <t>6586AH</t>
  </si>
  <si>
    <t>Dirk Ockerpad</t>
  </si>
  <si>
    <t>6584GL</t>
  </si>
  <si>
    <t>Dominicanessenstraat</t>
  </si>
  <si>
    <t>6584GM</t>
  </si>
  <si>
    <t>6587AV</t>
  </si>
  <si>
    <t>Dorpsstraat</t>
  </si>
  <si>
    <t>6587AX</t>
  </si>
  <si>
    <t>6587AZ</t>
  </si>
  <si>
    <t>6587BJ</t>
  </si>
  <si>
    <t>Drostambtstraat</t>
  </si>
  <si>
    <t>6584BT</t>
  </si>
  <si>
    <t>Eikenlaan</t>
  </si>
  <si>
    <t>6584BW</t>
  </si>
  <si>
    <t>6584BV</t>
  </si>
  <si>
    <t>6587AC</t>
  </si>
  <si>
    <t>Eindweg</t>
  </si>
  <si>
    <t>6587AE</t>
  </si>
  <si>
    <t>Elzenstraat</t>
  </si>
  <si>
    <t>6584BD</t>
  </si>
  <si>
    <t>Esdoornlaan</t>
  </si>
  <si>
    <t>h</t>
  </si>
  <si>
    <t>6584BN</t>
  </si>
  <si>
    <t>Essenhof</t>
  </si>
  <si>
    <t>6584GN</t>
  </si>
  <si>
    <t>Franciscanessenstraat</t>
  </si>
  <si>
    <t>6584GP</t>
  </si>
  <si>
    <t>6585VD</t>
  </si>
  <si>
    <t>Frankenstraat</t>
  </si>
  <si>
    <t>6585XW</t>
  </si>
  <si>
    <t>Gelrestraat</t>
  </si>
  <si>
    <t>6585XX</t>
  </si>
  <si>
    <t>6585WL</t>
  </si>
  <si>
    <t>Generaal Gavinstraat</t>
  </si>
  <si>
    <t>6585WN</t>
  </si>
  <si>
    <t>6585WP</t>
  </si>
  <si>
    <t>6585XE</t>
  </si>
  <si>
    <t>Gouwenstraat</t>
  </si>
  <si>
    <t>6585XD</t>
  </si>
  <si>
    <t>6585XS</t>
  </si>
  <si>
    <t>Graaf Gerardstraat</t>
  </si>
  <si>
    <t>6584AP</t>
  </si>
  <si>
    <t>Gravenstraat</t>
  </si>
  <si>
    <t>6585KG</t>
  </si>
  <si>
    <t>Groesbeekseweg</t>
  </si>
  <si>
    <t>6585KE</t>
  </si>
  <si>
    <t>l</t>
  </si>
  <si>
    <t>n</t>
  </si>
  <si>
    <t>p</t>
  </si>
  <si>
    <t>r</t>
  </si>
  <si>
    <t>s</t>
  </si>
  <si>
    <t>t</t>
  </si>
  <si>
    <t>u</t>
  </si>
  <si>
    <t>v</t>
  </si>
  <si>
    <t>6585KH</t>
  </si>
  <si>
    <t>6585XB</t>
  </si>
  <si>
    <t>Gulikstraat</t>
  </si>
  <si>
    <t>6584AC</t>
  </si>
  <si>
    <t>Halderweg</t>
  </si>
  <si>
    <t>6584CX</t>
  </si>
  <si>
    <t>Heidepad</t>
  </si>
  <si>
    <t>6587AM</t>
  </si>
  <si>
    <t>Heikantseweg</t>
  </si>
  <si>
    <t>6587AN</t>
  </si>
  <si>
    <t>6585KL</t>
  </si>
  <si>
    <t>Hendrik van Nassaulaan</t>
  </si>
  <si>
    <t>6584AN</t>
  </si>
  <si>
    <t>Hertogstraat</t>
  </si>
  <si>
    <t>6584CL</t>
  </si>
  <si>
    <t>Heumensebaan</t>
  </si>
  <si>
    <t>x</t>
  </si>
  <si>
    <t>6584CM</t>
  </si>
  <si>
    <t>6585XT</t>
  </si>
  <si>
    <t>Hijlekamp</t>
  </si>
  <si>
    <t>6584GG</t>
  </si>
  <si>
    <t>Hoeveveld</t>
  </si>
  <si>
    <t>6584GH</t>
  </si>
  <si>
    <t>6587AT</t>
  </si>
  <si>
    <t>Huissestraat</t>
  </si>
  <si>
    <t>6584BP</t>
  </si>
  <si>
    <t>Iepenhof</t>
  </si>
  <si>
    <t>6586AK</t>
  </si>
  <si>
    <t>Jacques van Mourikpad</t>
  </si>
  <si>
    <t>6584AM</t>
  </si>
  <si>
    <t>Johan van Kleefstraat</t>
  </si>
  <si>
    <t>6584CA</t>
  </si>
  <si>
    <t>Jonkerlaan</t>
  </si>
  <si>
    <t>6587AG</t>
  </si>
  <si>
    <t>Kampweg</t>
  </si>
  <si>
    <t>6585AX</t>
  </si>
  <si>
    <t>Kanaalweg</t>
  </si>
  <si>
    <t>6584HA</t>
  </si>
  <si>
    <t>Kapittelweg</t>
  </si>
  <si>
    <t>6584HB</t>
  </si>
  <si>
    <t>6585VG</t>
  </si>
  <si>
    <t>Karolingenstraat</t>
  </si>
  <si>
    <t>6585VH</t>
  </si>
  <si>
    <t>6584CN</t>
  </si>
  <si>
    <t>Kastanjelaan</t>
  </si>
  <si>
    <t>6584CP</t>
  </si>
  <si>
    <t>6584CE</t>
  </si>
  <si>
    <t>Keizershof</t>
  </si>
  <si>
    <t>6584CG</t>
  </si>
  <si>
    <t>6584CH</t>
  </si>
  <si>
    <t>6587AS</t>
  </si>
  <si>
    <t>Kerkpad</t>
  </si>
  <si>
    <t>6585AV</t>
  </si>
  <si>
    <t>Kerkstraat</t>
  </si>
  <si>
    <t>6585AT</t>
  </si>
  <si>
    <t>6585AW</t>
  </si>
  <si>
    <t>6584EG</t>
  </si>
  <si>
    <t>Keurvorststraat</t>
  </si>
  <si>
    <t>6584EH</t>
  </si>
  <si>
    <t>6586AN</t>
  </si>
  <si>
    <t>Kiekbergsebaan</t>
  </si>
  <si>
    <t>6585WR</t>
  </si>
  <si>
    <t>Kleineblokstraat</t>
  </si>
  <si>
    <t>6585BB</t>
  </si>
  <si>
    <t>Kleppermanstraatje</t>
  </si>
  <si>
    <t>6584GD</t>
  </si>
  <si>
    <t>Kloostertuin</t>
  </si>
  <si>
    <t>6584GE</t>
  </si>
  <si>
    <t>6585WJ</t>
  </si>
  <si>
    <t>Knollenberg</t>
  </si>
  <si>
    <t>6585WK</t>
  </si>
  <si>
    <t>6585XP</t>
  </si>
  <si>
    <t>Koningin Julianastraat</t>
  </si>
  <si>
    <t>6585XR</t>
  </si>
  <si>
    <t>6587AD</t>
  </si>
  <si>
    <t>Koningsbeemdweg</t>
  </si>
  <si>
    <t>6584BZ</t>
  </si>
  <si>
    <t>Koningslaan</t>
  </si>
  <si>
    <t>6587AR</t>
  </si>
  <si>
    <t>Kopseweg</t>
  </si>
  <si>
    <t>6584DB</t>
  </si>
  <si>
    <t>Kuilseweg</t>
  </si>
  <si>
    <t>Lambertusweg</t>
  </si>
  <si>
    <t>6585VA</t>
  </si>
  <si>
    <t>Leenherenstraat</t>
  </si>
  <si>
    <t>6585VB</t>
  </si>
  <si>
    <t>6584DA</t>
  </si>
  <si>
    <t>Lierdwarsweg</t>
  </si>
  <si>
    <t>6584DC</t>
  </si>
  <si>
    <t>Lierweg</t>
  </si>
  <si>
    <t>6584BR</t>
  </si>
  <si>
    <t>Lijsterbeshof</t>
  </si>
  <si>
    <t>6585BC</t>
  </si>
  <si>
    <t>Lindeboom</t>
  </si>
  <si>
    <t>6585BP</t>
  </si>
  <si>
    <t>6585BR</t>
  </si>
  <si>
    <t>6585BD</t>
  </si>
  <si>
    <t>i</t>
  </si>
  <si>
    <t>j</t>
  </si>
  <si>
    <t>6585BE</t>
  </si>
  <si>
    <t>6585BV</t>
  </si>
  <si>
    <t>6585BG</t>
  </si>
  <si>
    <t>6585BH</t>
  </si>
  <si>
    <t>6585BJ</t>
  </si>
  <si>
    <t>6585BK</t>
  </si>
  <si>
    <t>6585BL</t>
  </si>
  <si>
    <t>6585BM</t>
  </si>
  <si>
    <t>6585BN</t>
  </si>
  <si>
    <t>Lindenlaan</t>
  </si>
  <si>
    <t>6584AD</t>
  </si>
  <si>
    <t>6585KM</t>
  </si>
  <si>
    <t>Lodewijkstraat</t>
  </si>
  <si>
    <t>6585AK</t>
  </si>
  <si>
    <t>Maasdijk</t>
  </si>
  <si>
    <t>6585CA</t>
  </si>
  <si>
    <t>Maasstaete</t>
  </si>
  <si>
    <t>6585CB</t>
  </si>
  <si>
    <t>6585CC</t>
  </si>
  <si>
    <t>6585CD</t>
  </si>
  <si>
    <t>6585CE</t>
  </si>
  <si>
    <t>6584BS</t>
  </si>
  <si>
    <t>Meidoornhof</t>
  </si>
  <si>
    <t>Mendozaweg</t>
  </si>
  <si>
    <t>6585KX</t>
  </si>
  <si>
    <t>6585VJ</t>
  </si>
  <si>
    <t>Merovingenstraat</t>
  </si>
  <si>
    <t>6584ET</t>
  </si>
  <si>
    <t>Meulenveld</t>
  </si>
  <si>
    <t>6584AE</t>
  </si>
  <si>
    <t>Middelweg</t>
  </si>
  <si>
    <t>6584AH</t>
  </si>
  <si>
    <t>6584AJ</t>
  </si>
  <si>
    <t>6584AG</t>
  </si>
  <si>
    <t>6586AP</t>
  </si>
  <si>
    <t>Molenweg</t>
  </si>
  <si>
    <t>6585XG</t>
  </si>
  <si>
    <t>Mortel</t>
  </si>
  <si>
    <t>6584BA</t>
  </si>
  <si>
    <t>Mozartstraat</t>
  </si>
  <si>
    <t>6586AG</t>
  </si>
  <si>
    <t>Muldershofweg</t>
  </si>
  <si>
    <t>6584CJ</t>
  </si>
  <si>
    <t>Oude Bovensteweg</t>
  </si>
  <si>
    <t>6584CK</t>
  </si>
  <si>
    <t>6585XV</t>
  </si>
  <si>
    <t>Overkwartierstraat</t>
  </si>
  <si>
    <t>6585KW</t>
  </si>
  <si>
    <t>Papenbergseweg</t>
  </si>
  <si>
    <t>6585KV</t>
  </si>
  <si>
    <t>6584GJ</t>
  </si>
  <si>
    <t>Passionistenstraat</t>
  </si>
  <si>
    <t>6584GK</t>
  </si>
  <si>
    <t>6587BA</t>
  </si>
  <si>
    <t>Pastoor Driessenstraat</t>
  </si>
  <si>
    <t>6585XH</t>
  </si>
  <si>
    <t>Pastoor Fabritiusstraat</t>
  </si>
  <si>
    <t>6585XK</t>
  </si>
  <si>
    <t>6585XL</t>
  </si>
  <si>
    <t>6585XJ</t>
  </si>
  <si>
    <t>6587AP</t>
  </si>
  <si>
    <t>Pastoorsdijk</t>
  </si>
  <si>
    <t>6586AZ</t>
  </si>
  <si>
    <t>6584GA</t>
  </si>
  <si>
    <t>Paterserf</t>
  </si>
  <si>
    <t>6584GB</t>
  </si>
  <si>
    <t>6584GC</t>
  </si>
  <si>
    <t>Paterspaadje</t>
  </si>
  <si>
    <t>6585XM</t>
  </si>
  <si>
    <t>Prins Bernhardstraat</t>
  </si>
  <si>
    <t>6584AZ</t>
  </si>
  <si>
    <t>Prinsenweg</t>
  </si>
  <si>
    <t>z</t>
  </si>
  <si>
    <t>6585KZ</t>
  </si>
  <si>
    <t>Prinses Amaliahof</t>
  </si>
  <si>
    <t>6585XN</t>
  </si>
  <si>
    <t>Prinses Beatrixstraat</t>
  </si>
  <si>
    <t>6585AP</t>
  </si>
  <si>
    <t>Raadhuisplein</t>
  </si>
  <si>
    <t>6584CB</t>
  </si>
  <si>
    <t>Ridderlaan</t>
  </si>
  <si>
    <t>6586AC</t>
  </si>
  <si>
    <t>Riethorsterweg</t>
  </si>
  <si>
    <t>6584AA</t>
  </si>
  <si>
    <t>Rijksweg</t>
  </si>
  <si>
    <t>6584AB</t>
  </si>
  <si>
    <t>6585AG</t>
  </si>
  <si>
    <t>6585AA</t>
  </si>
  <si>
    <t>6585AB</t>
  </si>
  <si>
    <t>6585AH</t>
  </si>
  <si>
    <t>6585AC</t>
  </si>
  <si>
    <t>6585AJ</t>
  </si>
  <si>
    <t>6585AD</t>
  </si>
  <si>
    <t>6586AB</t>
  </si>
  <si>
    <t>6585AE</t>
  </si>
  <si>
    <t>6586AA</t>
  </si>
  <si>
    <t>6584BB</t>
  </si>
  <si>
    <t>Ringbaan</t>
  </si>
  <si>
    <t>6584BC</t>
  </si>
  <si>
    <t>6585XC</t>
  </si>
  <si>
    <t>Romeinenstraat</t>
  </si>
  <si>
    <t>6585XZ</t>
  </si>
  <si>
    <t>Schansweg</t>
  </si>
  <si>
    <t>Scheidingsweg</t>
  </si>
  <si>
    <t>6587AH</t>
  </si>
  <si>
    <t>Schenck van Nijdeggenstraat</t>
  </si>
  <si>
    <t>6586AL</t>
  </si>
  <si>
    <t>Schildersweg</t>
  </si>
  <si>
    <t>Schoutenpad</t>
  </si>
  <si>
    <t>6585KR</t>
  </si>
  <si>
    <t>Schuttersweg</t>
  </si>
  <si>
    <t>6584BE</t>
  </si>
  <si>
    <t>Singel</t>
  </si>
  <si>
    <t>6584BG</t>
  </si>
  <si>
    <t>6584BH</t>
  </si>
  <si>
    <t>6584BJ</t>
  </si>
  <si>
    <t>6584BK</t>
  </si>
  <si>
    <t>6585XA</t>
  </si>
  <si>
    <t>Slakkehuis</t>
  </si>
  <si>
    <t>Spijkerweg</t>
  </si>
  <si>
    <t>St. Adelbertstraat</t>
  </si>
  <si>
    <t>6585WT</t>
  </si>
  <si>
    <t>St. Antoniusstraat</t>
  </si>
  <si>
    <t>6585WX</t>
  </si>
  <si>
    <t>6585WV</t>
  </si>
  <si>
    <t>6585WZ</t>
  </si>
  <si>
    <t>6585WS</t>
  </si>
  <si>
    <t>St. Janstraat</t>
  </si>
  <si>
    <t>6586AM</t>
  </si>
  <si>
    <t>St. Maartensweg</t>
  </si>
  <si>
    <t>6584CC</t>
  </si>
  <si>
    <t>Stadhouderslaan</t>
  </si>
  <si>
    <t>6584CD</t>
  </si>
  <si>
    <t>6585BS</t>
  </si>
  <si>
    <t>Startsedalweg</t>
  </si>
  <si>
    <t>6585BT</t>
  </si>
  <si>
    <t>Startsedijk</t>
  </si>
  <si>
    <t>6584AR</t>
  </si>
  <si>
    <t>Stationsstraat</t>
  </si>
  <si>
    <t>6584AV</t>
  </si>
  <si>
    <t>6584AW</t>
  </si>
  <si>
    <t>6584AS</t>
  </si>
  <si>
    <t>6584AT</t>
  </si>
  <si>
    <t>6584AK</t>
  </si>
  <si>
    <t>Stiftstraat</t>
  </si>
  <si>
    <t>6584AL</t>
  </si>
  <si>
    <t>6585AZ</t>
  </si>
  <si>
    <t>'t Kempke</t>
  </si>
  <si>
    <t>6585AL</t>
  </si>
  <si>
    <t>van Dedemstraat</t>
  </si>
  <si>
    <t>6585AR</t>
  </si>
  <si>
    <t>van Neukirchenstraat</t>
  </si>
  <si>
    <t>6585AM</t>
  </si>
  <si>
    <t>van Nijvenheimstraat</t>
  </si>
  <si>
    <t>6587AA</t>
  </si>
  <si>
    <t>Veerstraat</t>
  </si>
  <si>
    <t>Veldsingel 83</t>
  </si>
  <si>
    <t>6581TD</t>
  </si>
  <si>
    <t>Malden</t>
  </si>
  <si>
    <t>Veldsingel</t>
  </si>
  <si>
    <t>6585VE</t>
  </si>
  <si>
    <t>Veldweg</t>
  </si>
  <si>
    <t>6585AS</t>
  </si>
  <si>
    <t>Verbindingsweg</t>
  </si>
  <si>
    <t>6585BA</t>
  </si>
  <si>
    <t>Violenstraatje</t>
  </si>
  <si>
    <t>6587AL</t>
  </si>
  <si>
    <t>Voordijk</t>
  </si>
  <si>
    <t>6587BK</t>
  </si>
  <si>
    <t>Wellensstraatje</t>
  </si>
  <si>
    <t>6586AD</t>
  </si>
  <si>
    <t>Witteweg</t>
  </si>
  <si>
    <t>6586AE</t>
  </si>
  <si>
    <t>w</t>
  </si>
  <si>
    <t>y</t>
  </si>
  <si>
    <t>6587AK</t>
  </si>
  <si>
    <t>6587AJ</t>
  </si>
  <si>
    <t>Wolfkuilseweg</t>
  </si>
  <si>
    <t>6585JA</t>
  </si>
  <si>
    <t>6585KJ</t>
  </si>
  <si>
    <t>Zandsteeg</t>
  </si>
  <si>
    <t>6586AJ</t>
  </si>
  <si>
    <t>Zevenbergseweg</t>
  </si>
  <si>
    <t>6586AS</t>
  </si>
  <si>
    <t>Zevendalseweg</t>
  </si>
  <si>
    <t>6586AR</t>
  </si>
  <si>
    <t>6585LA</t>
  </si>
  <si>
    <t>6585LB</t>
  </si>
  <si>
    <t>Keuzelijst</t>
  </si>
  <si>
    <t>Hulp</t>
  </si>
  <si>
    <t>Text</t>
  </si>
  <si>
    <t>Samenvatting</t>
  </si>
  <si>
    <t>1 Muren zijn voldoende geïsoleerd.</t>
  </si>
  <si>
    <t>Muren zijn voldoende geïsoleerd.</t>
  </si>
  <si>
    <t>Muren zijn slecht geïsoleerd, naïsoleren wordt aanbevolen.</t>
  </si>
  <si>
    <t>1 De Vloer is voldoende geïsoleerd</t>
  </si>
  <si>
    <t>De Vloer is voldoende geïsoleerd</t>
  </si>
  <si>
    <t>De vloer is matig geïsoleerd, na-isoleren wordt aanbevolen</t>
  </si>
  <si>
    <t>De vloer is slecht geïsoleerd, na-isoleren wordt sterk aanbevolen</t>
  </si>
  <si>
    <t>1 Ventilatie is goed en zorgt voor weinig warmteverlies</t>
  </si>
  <si>
    <t>Ventilatie is goed en zorgt voor weinig warmteverlies</t>
  </si>
  <si>
    <t>2 Ventilatie is goed, maar zorgt voor veel warmteverlies.</t>
  </si>
  <si>
    <t>Ventilatie is goed, maar zorgt voor veel warmteverlies.</t>
  </si>
  <si>
    <t>3 Ventilatie is matig</t>
  </si>
  <si>
    <t>Ventilatie is matig</t>
  </si>
  <si>
    <t>4 Ventilatie is slecht</t>
  </si>
  <si>
    <t>In onderstaande grafiek is de CO2 concentratie tijdens ons gesprek gemeten. 
Het is duidelijk dat de CO2 binnen een half uur boven de 1200 ppm stijgt en dus zeer slecht is.
Wij raden u sterk aan om de ventialtie in huis sterk te verbeteren en liefst zonder dat er extra warmte energie verloren gaat.
In een bestaande woning is het meestal erg moeilijk om een cebntrale ventilatie met WTW aan te leggen. 
Decentrale ventilatie met WTW is wel eenvoudig aan te leggen. Een overzicht van verkijgaber systemen is hier te vinden ....  Een van onze lokale klussers kan een derghelijk systeem bij u monteren.</t>
  </si>
  <si>
    <t>Ventilatie is slecht</t>
  </si>
  <si>
    <t>5 Ventilatie is onbekend</t>
  </si>
  <si>
    <t>Ventilatie is onbekend</t>
  </si>
  <si>
    <t>Warmtepomp</t>
  </si>
  <si>
    <t>1 Doe de 50 graden test</t>
  </si>
  <si>
    <t>Doe de 50 graden test om te zien hoe goed uw huis en verwarmingsinstallatie klaar is voor een (hybride) warmtepomp. 
Een warmtepomp is in het algemeen pas zinvol als u alle redelijk uit te voeren isolatiemaatregelen heeft genomen. Als u eerder een warmtepomp aanschaft, moet u een te grote warmtepomp aanschaffen. Een te grote warmtepomp heeft een aantal nadelen: de prijs loopt gelijk op met het noodzakelijk vermogen (dus twee keer zo groot is twee keer zo duur), een te grote warmtepomp slijt sneller en de efficiency is lager.
Uw huis in de huidige staat heeft een vermogen nodig van %a% kW, dat betekent dat een warmtepomp zou moeten nemen met een vermogen van %b% kW (bij een hybride %c% kW).
Als u eerst alle voorgestelde extra maatregelen zou nemen, heeft u slechts een vermogen nodig van %d% kW en dus een warmtepomp met een vermogen van %e% kW ( een hybride warmtepomp van %f% kW.</t>
  </si>
  <si>
    <t xml:space="preserve">Doe de 50 graden test om te zien hoe goed uw huis en verwarmingsinstallatie klaar is voor een (hybride) warmtepomp. </t>
  </si>
  <si>
    <t>2 Uw huis is geschikt voor een hybride warmtepomp</t>
  </si>
  <si>
    <t>3 Uw huis is geschikt voor een full electric warmtepomp</t>
  </si>
  <si>
    <t>Algemeen</t>
  </si>
  <si>
    <t xml:space="preserve">Uw huis is goed geïsoleerd er zijn nog kleine verbeteringen mogelijk. </t>
  </si>
  <si>
    <t>Moeten eindigen met een spatie</t>
  </si>
  <si>
    <t xml:space="preserve">Uw huis is matig geïsoleerd er zijn een aantal structurele verbeteringen mogelijk. </t>
  </si>
  <si>
    <t xml:space="preserve">Uw huis is klaar voor een warmtepomp. </t>
  </si>
  <si>
    <t xml:space="preserve">Uw huis is klaar voor een warmtepomp, maar enkele radiatoren moeten vervangen worden door Lage Temperatuur Verwarmings-Radiatoren (LTV-Radiatoren). </t>
  </si>
  <si>
    <t xml:space="preserve">Houd ramen en deuren zoveel mogelijk dicht, want tussenvloeren zijn zo lek als een mandje. </t>
  </si>
  <si>
    <t>Links</t>
  </si>
  <si>
    <t>https://maasburen.nl/pagina/energiecafe/menu/inkoopacties</t>
  </si>
  <si>
    <t>Materiaal</t>
  </si>
  <si>
    <t>lambda</t>
  </si>
  <si>
    <t>Dikte[cm]</t>
  </si>
  <si>
    <t>Rm</t>
  </si>
  <si>
    <t>baksteen</t>
  </si>
  <si>
    <t>beton licht</t>
  </si>
  <si>
    <t>beton zwaar</t>
  </si>
  <si>
    <t>beton kanaalplaten</t>
  </si>
  <si>
    <t>Schuimbeton</t>
  </si>
  <si>
    <t>gipsplaat</t>
  </si>
  <si>
    <t>glaswol</t>
  </si>
  <si>
    <t>Enverifoam</t>
  </si>
  <si>
    <t>hout (vuren/grenen)</t>
  </si>
  <si>
    <t>hout (hardhout)</t>
  </si>
  <si>
    <t>kalkzandsteen</t>
  </si>
  <si>
    <t>luchtspouw (&gt;10 mm)</t>
  </si>
  <si>
    <t>Piepschuim (EPS)</t>
  </si>
  <si>
    <t>PIR</t>
  </si>
  <si>
    <t>PUR</t>
  </si>
  <si>
    <t>steenwol</t>
  </si>
  <si>
    <t>Aerogel (Bluedec)</t>
  </si>
  <si>
    <t>Rsi  + Rse</t>
  </si>
  <si>
    <t>Totaal Rt = sum(Rm)+Rsi+Rse</t>
  </si>
  <si>
    <t>Naam</t>
  </si>
  <si>
    <t>Huidige Muur</t>
  </si>
  <si>
    <t>Muur + Isolatie</t>
  </si>
  <si>
    <t>Dak 8 cm</t>
  </si>
  <si>
    <t>Vrije Tekst</t>
  </si>
  <si>
    <t>Mijn Naam</t>
  </si>
  <si>
    <t>Wat je Iwlt</t>
  </si>
  <si>
    <t>https://www.joostdevree.nl/shtmls/warmtegeleidingscoefficient.shtml</t>
  </si>
  <si>
    <t>Kies algemene punten in de gewenste volgorde</t>
  </si>
  <si>
    <t>&lt;&lt;&lt;&lt;</t>
  </si>
  <si>
    <t>Waterklaar</t>
  </si>
  <si>
    <t>Niet direct van invloed op uw energierekening, maar wel heel goed voor het milieu, het afkoppelen van daken en terassen van het riool. Dank zij de hoge subsidie die hiervoor wordt gegeven is het ook interesaant voor uw portemonee. 
Waterschap Limburg en 15 gemeenten in Noord- en Midden-Limburg zijn gestart met de Waterklaarcampagne: ‘Het regent pijpestelen; koppel je regenpijp af en ontvang subsidie’. De regeling is bedoeld als extra stimulans voor onze inwoners, bedrijven en woningbouwverenigingen om zo bij te dragen aan het voorkomen van wateroverlast en duurzaam waterbeheer te bevorderen. Klimaatverandering zorgt voor steeds meer uitersten. Hevige regenval en droge periodes komen steeds vaker voor.</t>
  </si>
  <si>
    <t>Subsidie afkoppelen riolering</t>
  </si>
  <si>
    <t>Mogelijkheden zonnepanelen op uw dak</t>
  </si>
  <si>
    <t>Alle subsidies op uw locatie</t>
  </si>
  <si>
    <t>Renteloze lening warmtefonds</t>
  </si>
  <si>
    <t>Goedkope lening provincie Limburg</t>
  </si>
  <si>
    <t>Startpagina EnergieCafé</t>
  </si>
  <si>
    <t>Rolf van der Kemp, klimaatburgemeester 2022</t>
  </si>
  <si>
    <t>Aanvragen EnergieCoach</t>
  </si>
  <si>
    <t>Blowerdoortest aanvragen</t>
  </si>
  <si>
    <t>Presentatie 20% Besparen zonder een cent uit te geven 2022</t>
  </si>
  <si>
    <t>Presentatie Isolatie 2022</t>
  </si>
  <si>
    <t>Presentatie Kierdichting en Ventilatie 2022</t>
  </si>
  <si>
    <t>Presentatie Zonnepanelen 2022</t>
  </si>
  <si>
    <t>Presentatie Warmtepompen 2022</t>
  </si>
  <si>
    <t>Doe de 50 graden test</t>
  </si>
  <si>
    <t>Presentatie Leningen en Subsidies 2022</t>
  </si>
  <si>
    <t>Presentatie Transistie Visie Warmte 2022</t>
  </si>
  <si>
    <t>Tested</t>
  </si>
  <si>
    <t>Works</t>
  </si>
  <si>
    <t>- Excel-2019     Excel-365
- Libre Office Calc   6.4.3.2     7.4.6
- Google (adrescheck conditional formatting werkt niet)</t>
  </si>
  <si>
    <t>Doesn’t Work</t>
  </si>
  <si>
    <t>- Open Office Calc   4.1.5   4.1.14</t>
  </si>
  <si>
    <t>protect</t>
  </si>
  <si>
    <t>Versie</t>
  </si>
  <si>
    <t>Startdatum</t>
  </si>
  <si>
    <t>- Zoninstraling toegevoegd en orde van grootte gecontroleerd
- Versie tabblad toegevoegd</t>
  </si>
  <si>
    <t>- vloer detailering toegevoegd</t>
  </si>
  <si>
    <t>- Muur detaillering
- Diepte/Breedte detaillering</t>
  </si>
  <si>
    <t>_ Dak detaillering</t>
  </si>
  <si>
    <t>_ventilatie en zoninstraling toegevoegd
Nu nog met name temperaturen toevoegen</t>
  </si>
  <si>
    <t xml:space="preserve">- Kieren detaillering toegevoegd
- Oppervlakte Temperaturen op basis bals toegevoegd
- detaillering hoef je nu enekl de veranderingen in te vullen
- Interne Warmtelast toegevoegd
</t>
  </si>
  <si>
    <t>- Plasmolen was vergeten uit het BAG register te laden.</t>
  </si>
  <si>
    <t>- Kieren optimaal naar 1[l/s] per m2</t>
  </si>
  <si>
    <t xml:space="preserve">- Vloertemperatuur toegevoegd
- Vragen over Email. Gasverbruik, aantal zonnepanelen toegevoegd
</t>
  </si>
  <si>
    <t>- dsiclaimer toegevoegd
- graadje lager toegevoegd
- kWh/m2 toegevoegd
- vermogen warmtepomp toiegeveoged
- bestandsnaam gewijzigd (simpel verwijderd)
- CO2 / Bomen /. Euro's toegevoegd
- default waarde voor constanten toegevoegd
- Warmtepomp en benodigde toegevoegd
- Muurisolatie versimpeld, ja/nee en simpel spouw bijvullen</t>
  </si>
  <si>
    <t xml:space="preserve">- default beta warmtepomp van 0.8 naar 1.0 ivm Koevlaas formule
- Markering op basis tabblad als er ergens een detaillering
- Handmatig BAG gegevens als adres niet gevonden
- Rc veranderd naar Rt
</t>
  </si>
  <si>
    <t>Correctie Bouwjaar</t>
  </si>
  <si>
    <t>Verbruik Warm Water</t>
  </si>
  <si>
    <t>WarmWater</t>
  </si>
  <si>
    <t>Is het glas verbeterd</t>
  </si>
  <si>
    <r>
      <t xml:space="preserve">Temperaturen </t>
    </r>
    <r>
      <rPr>
        <b/>
        <sz val="12"/>
        <rFont val="Arial"/>
        <family val="2"/>
      </rPr>
      <t>Nu</t>
    </r>
  </si>
  <si>
    <r>
      <t xml:space="preserve">Temperaturen </t>
    </r>
    <r>
      <rPr>
        <b/>
        <sz val="12"/>
        <rFont val="Arial"/>
        <family val="2"/>
      </rPr>
      <t>Nieuw</t>
    </r>
  </si>
  <si>
    <t>Bezoek EnergieCoach Gewenst</t>
  </si>
  <si>
    <t>De Belangrijkste Achtergrond Kleuren</t>
  </si>
  <si>
    <t>MOET worden ingevuld</t>
  </si>
  <si>
    <t>MAG worden ingevuld</t>
  </si>
  <si>
    <t>Omschrijving</t>
  </si>
  <si>
    <t>Gasverbruik</t>
  </si>
  <si>
    <t>Is berekend of opgezocht in een tabel</t>
  </si>
  <si>
    <t>- Vloertemperatuur gecontroleerd
- E-Coach bezoek vinkje toegevoegd
- lgenda ook in huisjes
- background arcering gewijzigd in een afwijkende kleur (kan 365 niet aan)
- tijdelijk vragen en GroepsSom toegevoegd</t>
  </si>
  <si>
    <t>- Aanpakken Kieren leverde geen resultaat op tabblad Basis
- Correctie_Bouwjaar (default=1) toegevoegd (tekeningen die moeten voldoen aan het bouwbesluit zijn vaak ouder)
- Muurnaisolatie keuze ingeperkt tot ja/nee. Verder als spouwmuur leeg, dan maximaal 5 cm isolatie toevoegen, als reeds iets aanwexzig, slechts 2.5 cm toevoegen.
- Verbruik warm water als vraag toegevoegd (weinig/normaal/veel), moet nog in de documentatie worden aangepast</t>
  </si>
  <si>
    <t>Ventilatie behoefte</t>
  </si>
  <si>
    <t>CO2 begin [ppm]</t>
  </si>
  <si>
    <t>CO2 eind [ppm]</t>
  </si>
  <si>
    <t>Berekend</t>
  </si>
  <si>
    <t>Tijdsduur [min]</t>
  </si>
  <si>
    <t>Aantal aanwezigen</t>
  </si>
  <si>
    <t>Bij aanwezigen</t>
  </si>
  <si>
    <t>Luchten om X uur</t>
  </si>
  <si>
    <t>Qv10 [dm3/m2]</t>
  </si>
  <si>
    <t>Gasverlies [m3/jaar]</t>
  </si>
  <si>
    <t>Bluedec</t>
  </si>
  <si>
    <t>Spouw+</t>
  </si>
  <si>
    <t>Dikte
[cm]</t>
  </si>
  <si>
    <t>R-waarde [W/m2.K]</t>
  </si>
  <si>
    <t>1 m3 hout =  m3 gas</t>
  </si>
  <si>
    <t>- Huizen voor 1900 gaven problemen, ondergens verschoven naar 1800
- Legenda bevat nu de totale hoeveelheid gas</t>
  </si>
  <si>
    <t>Wijzigen Gemeente</t>
  </si>
  <si>
    <t>Iets minder bij beter glas</t>
  </si>
  <si>
    <r>
      <t xml:space="preserve">Glaswol
Piepschuim
</t>
    </r>
    <r>
      <rPr>
        <b/>
        <sz val="10"/>
        <color rgb="FFFF0000"/>
        <rFont val="Arial"/>
        <family val="2"/>
      </rPr>
      <t xml:space="preserve">Gutex
Vlas
Hennep
</t>
    </r>
    <r>
      <rPr>
        <b/>
        <sz val="10"/>
        <rFont val="Arial"/>
        <family val="2"/>
      </rPr>
      <t>etc</t>
    </r>
  </si>
  <si>
    <t>Gutex</t>
  </si>
  <si>
    <t>Vlas</t>
  </si>
  <si>
    <t>Hennep</t>
  </si>
  <si>
    <t>https://www.biobasedbouwen.nl/producten/</t>
  </si>
  <si>
    <t>€ 19,00</t>
  </si>
  <si>
    <t>3,5</t>
  </si>
  <si>
    <t>€ 4,00</t>
  </si>
  <si>
    <t>1,1</t>
  </si>
  <si>
    <t>€ 15,00</t>
  </si>
  <si>
    <t> € 4,00</t>
  </si>
  <si>
    <t> € 5,50</t>
  </si>
  <si>
    <t>€ 5,50</t>
  </si>
  <si>
    <t>€ 3,00</t>
  </si>
  <si>
    <t>€ 26,50</t>
  </si>
  <si>
    <t>€ 23,00</t>
  </si>
  <si>
    <r>
      <t>8 *</t>
    </r>
    <r>
      <rPr>
        <vertAlign val="superscript"/>
        <sz val="10"/>
        <rFont val="Arial"/>
        <family val="2"/>
      </rPr>
      <t>4</t>
    </r>
  </si>
  <si>
    <r>
      <t>45 *</t>
    </r>
    <r>
      <rPr>
        <vertAlign val="superscript"/>
        <sz val="10"/>
        <rFont val="Arial"/>
        <family val="2"/>
      </rPr>
      <t>4</t>
    </r>
  </si>
  <si>
    <t>≤ 1,2</t>
  </si>
  <si>
    <t>€ 75,00</t>
  </si>
  <si>
    <t>€ 65,50</t>
  </si>
  <si>
    <t>≤ 0,7</t>
  </si>
  <si>
    <t>€ 11,50</t>
  </si>
  <si>
    <t>€ 10,00</t>
  </si>
  <si>
    <r>
      <t>8 *</t>
    </r>
    <r>
      <rPr>
        <vertAlign val="superscript"/>
        <sz val="10"/>
        <rFont val="Arial"/>
        <family val="2"/>
      </rPr>
      <t>5</t>
    </r>
  </si>
  <si>
    <r>
      <t>45 *</t>
    </r>
    <r>
      <rPr>
        <vertAlign val="superscript"/>
        <sz val="10"/>
        <rFont val="Arial"/>
        <family val="2"/>
      </rPr>
      <t>5</t>
    </r>
  </si>
  <si>
    <t>€ 57,50</t>
  </si>
  <si>
    <t>€ 45,00</t>
  </si>
  <si>
    <r>
      <t>8 *</t>
    </r>
    <r>
      <rPr>
        <vertAlign val="superscript"/>
        <sz val="10"/>
        <rFont val="Arial"/>
        <family val="2"/>
      </rPr>
      <t>6</t>
    </r>
  </si>
  <si>
    <r>
      <t>45 *</t>
    </r>
    <r>
      <rPr>
        <vertAlign val="superscript"/>
        <sz val="10"/>
        <rFont val="Arial"/>
        <family val="2"/>
      </rPr>
      <t>6</t>
    </r>
  </si>
  <si>
    <t>≤ 1,0</t>
  </si>
  <si>
    <r>
      <t xml:space="preserve">*1 </t>
    </r>
    <r>
      <rPr>
        <sz val="10"/>
        <rFont val="Arial"/>
        <family val="2"/>
      </rPr>
      <t>Kies in uw subsidieaanvraag tussen dakisolatie of zolder/vlieringisolatie: u krijgt maar voor één van deze beide maatregelen subsidie.</t>
    </r>
  </si>
  <si>
    <r>
      <t>*2</t>
    </r>
    <r>
      <rPr>
        <sz val="10"/>
        <rFont val="Arial"/>
        <family val="2"/>
      </rPr>
      <t> Kies in uw subsidieaanvraag tussen vloerisolatie of bodemisolatie: u krijgt maar voor één van deze maatregelen subsidie.</t>
    </r>
  </si>
  <si>
    <r>
      <t>*3</t>
    </r>
    <r>
      <rPr>
        <sz val="10"/>
        <rFont val="Arial"/>
        <family val="2"/>
      </rPr>
      <t xml:space="preserve"> Alleen mogelijk samen met HR++ glas of Triple glas.</t>
    </r>
  </si>
  <si>
    <r>
      <t>*4</t>
    </r>
    <r>
      <rPr>
        <sz val="10"/>
        <rFont val="Arial"/>
        <family val="2"/>
      </rPr>
      <t xml:space="preserve"> In combi met isolerende panelen in kozijnen en/of isolerende deuren.</t>
    </r>
  </si>
  <si>
    <r>
      <t>*5</t>
    </r>
    <r>
      <rPr>
        <sz val="10"/>
        <rFont val="Arial"/>
        <family val="2"/>
      </rPr>
      <t xml:space="preserve"> In combi met glas of isolerende deuren.</t>
    </r>
  </si>
  <si>
    <r>
      <t>*6</t>
    </r>
    <r>
      <rPr>
        <sz val="10"/>
        <rFont val="Arial"/>
        <family val="2"/>
      </rPr>
      <t xml:space="preserve"> In combi met glas of isolerende panelen in kozijnen.</t>
    </r>
  </si>
  <si>
    <t>tot 1-1-2023</t>
  </si>
  <si>
    <t>max m2</t>
  </si>
  <si>
    <t>min Rd</t>
  </si>
  <si>
    <t>max Ug</t>
  </si>
  <si>
    <t>min m2</t>
  </si>
  <si>
    <t>Gevel</t>
  </si>
  <si>
    <t>Spouw
muur</t>
  </si>
  <si>
    <r>
      <t>Dak</t>
    </r>
    <r>
      <rPr>
        <b/>
        <vertAlign val="superscript"/>
        <sz val="10"/>
        <rFont val="Arial"/>
        <family val="2"/>
      </rPr>
      <t> *1</t>
    </r>
  </si>
  <si>
    <r>
      <t>Zolder *</t>
    </r>
    <r>
      <rPr>
        <b/>
        <vertAlign val="superscript"/>
        <sz val="10"/>
        <rFont val="Arial"/>
        <family val="2"/>
      </rPr>
      <t>1</t>
    </r>
  </si>
  <si>
    <r>
      <t>Vloer *</t>
    </r>
    <r>
      <rPr>
        <b/>
        <vertAlign val="superscript"/>
        <sz val="10"/>
        <rFont val="Arial"/>
        <family val="2"/>
      </rPr>
      <t>2</t>
    </r>
  </si>
  <si>
    <r>
      <t>Bodem *</t>
    </r>
    <r>
      <rPr>
        <b/>
        <vertAlign val="superscript"/>
        <sz val="10"/>
        <rFont val="Arial"/>
        <family val="2"/>
      </rPr>
      <t>2</t>
    </r>
  </si>
  <si>
    <t>1,0&lt;U≤ 1,5</t>
  </si>
  <si>
    <t>0,7&lt;U≤1,2</t>
  </si>
  <si>
    <t>Bron:</t>
  </si>
  <si>
    <t>https://www.rvo.nl/subsidies-financiering/isde/woningeigenaren/isolatiemaatregelen#subsidiebedragen-per-m2</t>
  </si>
  <si>
    <r>
      <t>iso </t>
    </r>
    <r>
      <rPr>
        <b/>
        <vertAlign val="superscript"/>
        <sz val="10"/>
        <rFont val="Arial"/>
        <family val="2"/>
      </rPr>
      <t>*3</t>
    </r>
    <r>
      <rPr>
        <b/>
        <sz val="10"/>
        <rFont val="Arial"/>
        <family val="2"/>
      </rPr>
      <t xml:space="preserve">
panelen</t>
    </r>
  </si>
  <si>
    <r>
      <t>iso</t>
    </r>
    <r>
      <rPr>
        <b/>
        <vertAlign val="superscript"/>
        <sz val="10"/>
        <rFont val="Arial"/>
        <family val="2"/>
      </rPr>
      <t> *3</t>
    </r>
    <r>
      <rPr>
        <b/>
        <sz val="10"/>
        <rFont val="Arial"/>
        <family val="2"/>
      </rPr>
      <t xml:space="preserve">
Deuren</t>
    </r>
  </si>
  <si>
    <r>
      <t>iso </t>
    </r>
    <r>
      <rPr>
        <b/>
        <vertAlign val="superscript"/>
        <sz val="10"/>
        <rFont val="Arial"/>
        <family val="2"/>
      </rPr>
      <t>*3</t>
    </r>
    <r>
      <rPr>
        <b/>
        <sz val="10"/>
        <rFont val="Arial"/>
        <family val="2"/>
      </rPr>
      <t xml:space="preserve">
Deuren</t>
    </r>
  </si>
  <si>
    <t>Subsidie 1 maatregel (dubbel bij 2 maatregelen)
Tweede maatregel mag ook een (hybride) warmtepomp oid zijn</t>
  </si>
  <si>
    <t>https://bagviewer.kadaster.nl/lvbag/bag-viewer/index.html</t>
  </si>
  <si>
    <t>https://energieverbruikberekenen.com/gemiddeld-energieverbruik/</t>
  </si>
  <si>
    <t>https://www.zonatlas.nl/start/</t>
  </si>
  <si>
    <t>https://www.google.nl/maps</t>
  </si>
  <si>
    <t>Documentatie</t>
  </si>
  <si>
    <t>Graaddagen berekenen</t>
  </si>
  <si>
    <t>BAG Viewer</t>
  </si>
  <si>
    <t>Zonpaneel potentieel</t>
  </si>
  <si>
    <t>Google Maps</t>
  </si>
  <si>
    <t>Mean Energieverbruik</t>
  </si>
  <si>
    <t>BAG</t>
  </si>
  <si>
    <t>RowNr</t>
  </si>
  <si>
    <t>RowNumber</t>
  </si>
  <si>
    <t>PostCode</t>
  </si>
  <si>
    <t>gasverbruik niet opgegeven</t>
  </si>
  <si>
    <t>gasverbruik komt redelijk overeen</t>
  </si>
  <si>
    <t>gasverbruik wijkt behoorlijk af</t>
  </si>
  <si>
    <t>omschrijving</t>
  </si>
  <si>
    <t>teksten</t>
  </si>
  <si>
    <t>%%</t>
  </si>
  <si>
    <t>Uw werkelijk gasverbruik komt redelijk overeen met de modelberekening (de afwijking bedraagt %a%%), daarmee zijn de conclusies die aan dit model verbonden zijn naar alle waarschijnlijkheid ook correct. Als u twijfels heeft, of andere vragen over energie en duurzaamheid, dan komt een energiecoach van ons graag een keer bij u langs om te bekijken of we het model nog wat nauwkeuriger kunnen invullen.</t>
  </si>
  <si>
    <t>Uw werkelijk gasverbruik wijkt behoorlijk af van het model (de afwijking bedraagt %a%%). Wij komen graag als energiecoach een keer bij u langs, om samen te bekijken of we door het aanbrengen van een aantal detailleringen alsnog een beter overeenkomst kunnen krijgen.
De conclusies dit nu op basis van dit model zijn getrokken zijn dus niet keihard. Wij adviseren u sterk om deze en andere zaken omtrent energie en duurzaamheid met een van onze energiecoaches te bespreken.</t>
  </si>
  <si>
    <t>&lt;&lt;&lt;  Plak teksten simpel weg aan elkaar</t>
  </si>
  <si>
    <t>&lt;&lt;&lt;  Plak teksten aan elkaar met nieuwe regel</t>
  </si>
  <si>
    <t>aap</t>
  </si>
  <si>
    <t>coala</t>
  </si>
  <si>
    <t>Hieronder ziet u in een staafdiagram het gasverbruik door de verschillende elementen van uw woning. Onderaan staat het gasverbruik in m3 gas per jaar, aan de linkerkant staan de verschillende elementen van uw woning.
De grijze staven "Nu" geven het gas dat volgens het model in de huidige situatie door de verschillende elementen in uw huis wordt verbruikt (dat is dus op basis van het bouwjaar en de reeds aangebrachte verbeteringen).
De groene staven "Nieuw" geven het gasverbruik als u alle voorgestelde verbeteringen heeft uitgevoerd.
Het verschil tussen grijze en groene staaf geeft dus de besparingskans voor dat specifieke element van het huis.
Helemaal linksboven staat nog de legenda, met daarin het totale gasverbruik nu en nadat alle verbeteringen zijn aangebracht.</t>
  </si>
  <si>
    <t>Find row with string "Test" in column</t>
  </si>
  <si>
    <t>Test</t>
  </si>
  <si>
    <t>Eerste</t>
  </si>
  <si>
    <t>AAA</t>
  </si>
  <si>
    <t>Find first row (case insensitive exact match)</t>
  </si>
  <si>
    <t>MATCH("Test",D1:D10,0)</t>
  </si>
  <si>
    <t>Tweede</t>
  </si>
  <si>
    <t>BBB</t>
  </si>
  <si>
    <t>beer</t>
  </si>
  <si>
    <t>Derde</t>
  </si>
  <si>
    <t>CCC</t>
  </si>
  <si>
    <t>Use found row number</t>
  </si>
  <si>
    <t>INDIRECT("E"&amp;B3)</t>
  </si>
  <si>
    <t>Vierde</t>
  </si>
  <si>
    <t>DDD</t>
  </si>
  <si>
    <t>aap beer</t>
  </si>
  <si>
    <t>Vijfde</t>
  </si>
  <si>
    <t>EEE</t>
  </si>
  <si>
    <t>Find next row relative</t>
  </si>
  <si>
    <t>MATCH("Test",     INDIRECT("D"&amp;(B3+1))    :D10,0)</t>
  </si>
  <si>
    <t>Zesde</t>
  </si>
  <si>
    <t>FFF</t>
  </si>
  <si>
    <t>Zevende</t>
  </si>
  <si>
    <t>GGG</t>
  </si>
  <si>
    <t>Find next row absolute</t>
  </si>
  <si>
    <t>B3 + MATCH("Test",     INDIRECT("D"&amp;(B3+1))    :D10,0)</t>
  </si>
  <si>
    <t>Achtste</t>
  </si>
  <si>
    <t>HHH</t>
  </si>
  <si>
    <t>Negende</t>
  </si>
  <si>
    <t>III</t>
  </si>
  <si>
    <t>Find iterative and use it (use = column C)</t>
  </si>
  <si>
    <t>eerste</t>
  </si>
  <si>
    <t>tweede</t>
  </si>
  <si>
    <t>derde</t>
  </si>
  <si>
    <t>vierde</t>
  </si>
  <si>
    <t>vijfde (bestaat niet)</t>
  </si>
  <si>
    <t xml:space="preserve">     laatste formule</t>
  </si>
  <si>
    <t>B14 + MATCH("Test",     INDIRECT("D"&amp;(B14+1))    :D10,0)</t>
  </si>
  <si>
    <t>Zoek in eerste kolom van een tabel</t>
  </si>
  <si>
    <t>Resultaat uit tweede kolom</t>
  </si>
  <si>
    <t>VLOOKUP("aap",D1:G9,2)</t>
  </si>
  <si>
    <t>Resultaat uit derde kolom</t>
  </si>
  <si>
    <t>Split String by delimiter</t>
  </si>
  <si>
    <t>0 64.000000 -64.097686 32.223286 4013.482422 0.602495 44.915873 END</t>
  </si>
  <si>
    <t>LEFT(C24, FIND(" ",C24)-1)</t>
  </si>
  <si>
    <t>LEFT(C25 FIND(" ",C25)-1)</t>
  </si>
  <si>
    <t>RIGHT(C24, LEN(C24)-FIND(" ",C24))</t>
  </si>
  <si>
    <t>Pak meteen de derde</t>
  </si>
  <si>
    <t>positie tweede delimiter</t>
  </si>
  <si>
    <t>right(tweede delimiter)</t>
  </si>
  <si>
    <t xml:space="preserve">    het derde item</t>
  </si>
  <si>
    <t>positie tweede = vierde delimiter</t>
  </si>
  <si>
    <t>right (vierde delimiter)</t>
  </si>
  <si>
    <t xml:space="preserve">    het vijfde item</t>
  </si>
  <si>
    <t>Merge strings</t>
  </si>
  <si>
    <t>donky</t>
  </si>
  <si>
    <t>CONCAT(Truc_Range) #spatie aan eind nodig</t>
  </si>
  <si>
    <t>TextJoin( " ", TRUE, Truc_Range )</t>
  </si>
  <si>
    <t>TextJoin( " "&amp;char(10), TRUE, Truc_Range )</t>
  </si>
  <si>
    <t>Uw werkelijk gasverbuik is niet bekend, dus we kunnen geen uitspraak doen over hoe goed het model de energieverliezen in uw woning voorspelt. Een energiecoach van ons komt graag een keer langs om samen met U het werkelijke gasverbruik te bepalen en eventueel het model nog wat te verfijnen. Daarnaast kan onze energiecoach ook al uw andere vragen over energie en duurzaamheid beantwoorden.</t>
  </si>
  <si>
    <t>Comfort en temperaturen</t>
  </si>
  <si>
    <t>Temperatuur beneden</t>
  </si>
  <si>
    <t>Vloertemperatuur</t>
  </si>
  <si>
    <t xml:space="preserve">        Temperatuur glas</t>
  </si>
  <si>
    <t xml:space="preserve">        Temperatuur Muren Boven</t>
  </si>
  <si>
    <t xml:space="preserve">         Temperatuur Muren Beneden</t>
  </si>
  <si>
    <t>Temperatuur Vloer Boven</t>
  </si>
  <si>
    <t xml:space="preserve">    Ruimte Temperatuur Boven</t>
  </si>
  <si>
    <t xml:space="preserve">        Temperatuur Glas Boven</t>
  </si>
  <si>
    <t>Ruimte Temperatuur Zolder</t>
  </si>
  <si>
    <t>Buiten Temperatuur</t>
  </si>
  <si>
    <t>&lt;&lt;&lt;  Je moet hier zelfs de juiste plaatjes in plakken</t>
  </si>
  <si>
    <t>&lt;&lt;&lt;  Deze teksten worden automatisch gegenereeerd</t>
  </si>
  <si>
    <t xml:space="preserve">         wil je dit niet, verwijder dan de gehele paragraaf.</t>
  </si>
  <si>
    <t>1 Stookt boven, Dak is goed geïsoleerd</t>
  </si>
  <si>
    <t>2 Stookt boven, Dak is matig geïsoleerd</t>
  </si>
  <si>
    <t>3 Stookt boven, Dak is slecht geïsoleerd</t>
  </si>
  <si>
    <t>4 Stookt niet boven, Dak is goed geïsoleerd</t>
  </si>
  <si>
    <t>5 Stookt niet boven, Dak is redelijk geïsoleerd</t>
  </si>
  <si>
    <t>Het dak is goed geïsoleeerd, bovendien stookt u boven niet. Hier kunt u dus niets meer aan verbeteren.</t>
  </si>
  <si>
    <t>Het dak is voldoende geïsoleerd.</t>
  </si>
  <si>
    <t>Het dak is redelijk geïsoleerd.</t>
  </si>
  <si>
    <t>Het dak is slecht geïsoleerd, wij adviseren om de dakisolatie te verbeteren.</t>
  </si>
  <si>
    <t>Het dak is redelijk goed geïsoleerd, zeker gezien het feit dat u niet stookt op de bovenverdieping. Als u het dak isoleert tot de huidige norm (Rc &gt; 6.3) dan kunt u nog ongeveer %b% m3 gas per jaar besparen.
Het aanbrengen van dakisolatie kan zowel aan de binnenkant als aan de buitenkant worden uitgevoerd. Laat u zich wel informeren in verband met mogelijke condensophoping.</t>
  </si>
  <si>
    <t>Het dak is slecht geïsoleerd. Ondanks dat u niet bewust stookt op de bovenverdieping gaat er behoorlijk wat energie verloren door het dak. Per jaar verdwijnt er %a% m3 gas per jaar door het dak.
Het aanbrengen van dakisolatie kan zowel aan de binnenkant als aan de buitenkant worden uitgevoerd. Laat u zich wel informeren in verband met mogelijke condensophoping.</t>
  </si>
  <si>
    <t>6 Stookt niet boven, Dak is slecht geïsoleerd</t>
  </si>
  <si>
    <t>ToWrite-1</t>
  </si>
  <si>
    <t>ToWrite-2</t>
  </si>
  <si>
    <t>ToWrite-3</t>
  </si>
  <si>
    <t>&gt;&gt;&gt;</t>
  </si>
  <si>
    <t>Bag_MM</t>
  </si>
  <si>
    <t>Power Query</t>
  </si>
  <si>
    <t>Filepath</t>
  </si>
  <si>
    <t>Grootste</t>
  </si>
  <si>
    <t>In dit rapport maken we met behulp van een computermodel een analyse van het energieverbruik van uw woning. Er worden suggesties gedaan ter verbetering, niet alleen van het energieverbruik maar ook van het comfort, de kosten en niet te vergeten de CO2 besparing.</t>
  </si>
  <si>
    <t>Glas Onder is goed</t>
  </si>
  <si>
    <t>Glas Onder kan verbeterd worden</t>
  </si>
  <si>
    <t>Glas Onder moet verbeterd worden</t>
  </si>
  <si>
    <t>Glas Boven is goed</t>
  </si>
  <si>
    <t>Glas Boven kan verbeterd worden</t>
  </si>
  <si>
    <t>Glas Boven moet verbeterd worden</t>
  </si>
  <si>
    <t>GlasWrite-2</t>
  </si>
  <si>
    <t>GlasWrite-3</t>
  </si>
  <si>
    <t>GlasBWrite-2</t>
  </si>
  <si>
    <t>GlasBWrite-3</t>
  </si>
  <si>
    <t>='E:\NextCloud_Stef\Data\_Energie_Cafe\Warmtepomp\[Bag_MM.xlsx]BAG'!$A$2</t>
  </si>
  <si>
    <t>2 Muren zijn matig geïsoleerd, naïsioleren is niet zinvol.</t>
  </si>
  <si>
    <t>4 Muren zijn slecht geïsoleerd, naïsoleren wordt aanbevolen.</t>
  </si>
  <si>
    <t>Muren zijn matig geïsoleerd, naïsioleren is niet zinvol.</t>
  </si>
  <si>
    <t>2 De vloer is matig geïsoleerd, na-isoleren wordt aanbevolen</t>
  </si>
  <si>
    <t>3 De vloer is slecht geïsoleerd, na-isoleren wordt sterk aanbevolen</t>
  </si>
  <si>
    <t>Als u geen vloerverwarming overweegt kunt u volstaan met een minimale Rc van 3.7, overweegt u vloerverwarming dan adviseren wij om minstens Rc&gt;6 te nemen.</t>
  </si>
  <si>
    <t>Er zijn een aantal manieren om uw vloer te isoleren, isolatie materiaal tegen de onderkant aan spuiten, glaswol of steenwol dekens tegen de onderkant monteren, biobased matten tegen de onderkant monteren of Tonzon thermofolie plaatsen. Eén misverstand willen we hierbij uit de weg ruimen en dat is dat Tonzon, vanwege het aluminium, slecht zou zijn voor het milieu. Echter Tonzon gebruikt zo weinig aluminium dat het de laagtste milieu-impact heeft en zelfs alle biobased naterialen verslaat (zie de MPG database).</t>
  </si>
  <si>
    <t>U heeft vloerverwarming en daarom adviseren wij sterk om beter te isoleren dan het minimum (Rc=3.7), namelijk minstens een Rc&gt;6 te laten realiseren.</t>
  </si>
  <si>
    <t>Opbouw teksten</t>
  </si>
  <si>
    <t>Warm tapwater</t>
  </si>
  <si>
    <t>U kunt eenvoudig bepalen hoeveel gas u verbruikt voor warm tapwater. Omdat koken relatief zeer weinig gas verbruikt, kunt u het gasverbruik over de maanden mei, juni, juli, en augustus (minus de vakantieperiode) te middelen en vervolgens met 12 te vermenigvuldigen om het jaarverbruik te krijgen.</t>
  </si>
  <si>
    <t xml:space="preserve">ToDo:  Lijst met lokale leveranciers </t>
  </si>
  <si>
    <t>Zelfs als u geen zonnepanelen (over) hebt, is een warmtepomp financieel en mileutechnisch voordelig.</t>
  </si>
  <si>
    <t>We kunnen deze besparing natuurlijk ook uitdrukken in besparing CO2 en hoeveelheid bomen om die bespaarde CO2 op te nemen:</t>
  </si>
  <si>
    <r>
      <rPr>
        <b/>
        <sz val="18"/>
        <color theme="6" tint="-0.499984740745262"/>
        <rFont val="Calibri"/>
        <family val="2"/>
        <scheme val="minor"/>
      </rPr>
      <t>Woning Analyse</t>
    </r>
    <r>
      <rPr>
        <b/>
        <sz val="12"/>
        <rFont val="Calibri"/>
        <family val="2"/>
        <scheme val="minor"/>
      </rPr>
      <t xml:space="preserve">
Naar een duurzamer, comfortabeler en goedkoper woongenot</t>
    </r>
  </si>
  <si>
    <t>De muren zijn matig geïsoleerd, de  isolatiewaarde bedraagt Rc = %a%, daardoor wordt ongeveer %c% m3 gas per jaar verbruikt. Als u de spouw gaat bij-isoleren, dan wordt de isolatiewaarde Rc = %b%, waardoor het gasverbruik door de muur daalt naar %d% m3 gas per jaar. De besparing bedraagt dus %e% m3 gas per jaar.
Gezien de geringe besparing en het geringe gasverbruik door de muur, adviseren wij om nu niet de spouw te laten na-isoleren. U moet zich ook realiseren dat u pas subsidie krijgt als de toename van de Rc waarde groter is dan 1.1. Deze anaylse is gemaakt op de gemiddlde spouwbreedte, het kan zijn dat de spouw van uw muren groter is, in dat geval kan het wel zinvol zijn. Een energiecoach kan bepalen hoe breed uw spouw is.</t>
  </si>
  <si>
    <t>Uw huis heeft als bijzonderheid dat er luchtverwarming aanwezig is, waarbij de kruipruimte gebruikt wordt als retourleiding van de lucht. Ons model houdt nog geen rekening met deze bijzondere situatie. Dus waar in dit rapport staat dat de vloer geïsoleerd moet worden, moet u lezen dat u de kruipruimte geïsoleerd moet worden.</t>
  </si>
  <si>
    <t>Inleiding</t>
  </si>
  <si>
    <t>ChatGPT</t>
  </si>
  <si>
    <t xml:space="preserve">Hoe gelijkmatiger de temperatuur in de woonruimte is verdeeld, hoe comfortabeler u het zult vinden. Dat betekent ook dat als de temperatuur heel gelijkmatig verdeeld is, dat u met een lager gemiddelde temperatuur tevreden zult zijn en alleen al daar om een graadje lager kunt stoken, zonder aan comfort te moeten inleveren.
Waarschijnlijk kent u het fenomeen, dat bij slecht geïsoleerd glas, je de kou er van af voelt stralen. En dat is niet alleen een gevoel, het is echt zo en je kunt dat dan ook met een warmtebeeld camera objectief vaststellen. </t>
  </si>
  <si>
    <t>Het verbeteren van het glas kan op een aantal manieren gebeuren. Het prijsverschil tussen de verschillende methoden kan erg groot zijn.
De eerste vraag die je jezelf moet stellen is, zijn de kozijnen nog goed (of goed te herstellen).
Als de kozijnen nog goed zijn, kun je ruwweg het volgende vervangingsplan opstellen:
- ramen met enkel of dubbelglas vervangen door HR++ dubbelglas, ga daarbij voor een zo laag mogelijke U-waarde, 0.8 is haalbaar
- grote ramen zijn onzetend duur omdat daarbij een tilwerktuig moeten worden gebruikt.
- Ramen die tot op de grond reiken, zijn ook duur, omdat deze tegenwoordig verplicht in gelaagd glas moeten worden uitgevoerd
Vervang je de kozijnen dat wordt altijd geadviseerd om triple glas te nemen (de meerprijs is slechts een fractie van de totale kosten). Over de keuze van hardhouten houten of kunststof kozijnen is veel discussie. Qua milieuimpact en circulariteit scoren beide ongeveer gelijk.De belangrijkste verschillen zijn dus uiterlijk/uitstraling en onderhoud. Europese zachthouten kozijnen scoren milieutechnisch wel beter (bijvoorbeeld Finti en Accoya, beide met een levensduur gelijk aan hardhout).
Verder zijn er nog een aantal belangrijke keuzen bij glas:
- Beter glas laat ook iets minder zon door en zal daardoor iets anders van kleur zijn (dus plaats nooit 2 verschillende glassoorten naast elkaar)
- Als het glas erg op de zon is geörienteert, kunt u overwegen om zonwerend glas te nemen (bevat een extra coating op de buitenruit)
- Bij dubbelglas, neem 2 verschillende dikten, want dat geeft een betere geluidsdemping
- Vindt u geluidsdemping belangrijk, ga dan voor triple glas
Onze energiecoaches kunnen u adviseren over het optimaal vervangen van glas.</t>
  </si>
  <si>
    <t>Kieren dichten wil niet zeggen dat er niet geventileerd moet worden. Daarom is het belangrijk om na het dichten van de kieren een CO2 meting te laten uitvoeren of op een andere manier vast te stellen dat de ventilatie in de woning voldoende is.</t>
  </si>
  <si>
    <t>Om te bepalen hoeveel uw douchekop verbruikt: pak een keukenweegschaal, zet de douche zover open als u normaal ook doet en meet hoeveel water er in 10 seconden uit de douchekop komt. Stel er komt 1200 gram water uit, dan levert de douchekop dus 6 * 1200 = 7.2 liter/minuut. Een spaardouchekop gebruikt minder dan 5 liter/minuut.</t>
  </si>
  <si>
    <t>IF(Energie_m2&lt;50, "Uw energieverbruik is laag genoeg om over te kunnen schakelen op een volledig elektrische warmtepomp","U wordt geadviseerd eerst nog extra isolatie maatregelen te nemen, alvorens over te gaan tot de aanschaf van een warmtepomp. Verder adviseren wij u sterk omn de aankomende winter de 50-graden test uit te voeren, zodat u informatie krijgt over de geschiktheid van uw afgifte systeem, hier moet een link komen.")</t>
  </si>
  <si>
    <r>
      <rPr>
        <b/>
        <sz val="12"/>
        <rFont val="Calibri"/>
        <family val="2"/>
        <scheme val="minor"/>
      </rPr>
      <t xml:space="preserve">User:  </t>
    </r>
    <r>
      <rPr>
        <sz val="12"/>
        <rFont val="Calibri"/>
        <family val="2"/>
        <scheme val="minor"/>
      </rPr>
      <t xml:space="preserve">Hoe moet je een kruipruimte die dient als retour voor luchtverwarming thermisch isoleren ?
</t>
    </r>
    <r>
      <rPr>
        <b/>
        <sz val="12"/>
        <rFont val="Calibri"/>
        <family val="2"/>
        <scheme val="minor"/>
      </rPr>
      <t>ChatGPT:</t>
    </r>
    <r>
      <rPr>
        <sz val="12"/>
        <rFont val="Calibri"/>
        <family val="2"/>
        <scheme val="minor"/>
      </rPr>
      <t xml:space="preserve">
Het thermisch isoleren van een kruipruimte die dient als retour voor luchtverwarming kan helpen om warmteverlies te verminderen en de efficiëntie van het systeem te verbeteren. 
Hier zijn enkele stappen die je kunt volgen om de kruipruimte thermisch te isoleren:
    Reiniging en voorbereiding: Verwijder eventueel bestaand vuil, puin of vocht uit de kruipruimte voordat je begint met isoleren. Zorg ervoor dat de ruimte schoon en droog is voordat je de isolatiematerialen aanbrengt.
    Vochtbeheersing: Controleer of er vochtproblemen zijn in de kruipruimte en los deze indien nodig op. Vocht kan de isolatie aantasten en de effectiviteit ervan verminderen. Overweeg het installeren van een vochtscherm of het verbeteren van de drainage om vochtproblemen te voorkomen.
    Isolatiemateriaal: Kies geschikte isolatiematerialen voor de kruipruimte. Enkele veelgebruikte isolatiematerialen zijn:
        Isolatieplaten: Gebruik geëxtrudeerd polystyreen (XPS) of geëxpandeerd polystyreen (EPS) isolatieplaten die bestand zijn tegen vocht. Plaats deze platen op de kruipruimtevloer of bevestig ze aan de wanden om een thermische barrière te creëren.
        Isolatiedekens: Glaswol- of steenwoldekens kunnen worden gebruikt om de wanden en vloeren van de kruipruimte te isoleren. Zorg ervoor dat de dekens goed zijn aangebracht en de ruimte volledig bedekken.</t>
    </r>
  </si>
  <si>
    <t xml:space="preserve">    Luchtdichting: Zorg voor een goede luchtdichting om warmteluchtlekken te voorkomen. Gebruik kit, tape of isolatiekit om openingen, naden en kieren af te dichten. Dit helpt om warmteverlies te verminderen en de energie-efficiëntie te verbeteren.
    Randisolatie: Plaats isolatiestrips rondom de buitenranden van de kruipruimtevloer om warmteverlies aan de randen te minimaliseren.
    Ventilatie: Zorg ervoor dat er voldoende ventilatie in de kruipruimte is om vochtproblemen te voorkomen. Overweeg het installeren van ventilatieopeningen of een mechanisch ventilatiesysteem om de luchtcirculatie te verbeteren.
Het is belangrijk om te benadrukken dat het isoleren van een kruipruimte complex kan zijn en dat de benodigde isolatiemaatregelen kunnen variëren afhankelijk van de specifieke situatie. Het is raadzaam om een professionele isolatie-aannemer of een bouwkundig ingenieur te raadplegen om de meest geschikte isolatieoplossingen voor jouw kruipruimte te bepalen en ervoor te zorgen dat deze voldoen aan de geldende bouwvoorschrift.</t>
  </si>
  <si>
    <t>- BAG gegevens via index,match opzoeken levert geen besparing van gebruik tabblad BAG (i.v.m. wijzigen gemeente)
- BAG register in een apart bestand onder te brengen lukt ook niet (365 kan het niet, en zodra het aparte bestand gesloten is, moet Excel een absoluut path hebben)
- Procedure om een andere gemeente in te vullen hierboven beschreven (slechts één cel D2 wijzigen)
- Tab "Basis", commentaar regels (behalve glas) kunnen nu ge-edit worden
- Tab "Rm", aantal biobased isolatiematerialen toegevoegd
- Tab "Tabellen", Rc waarde vs Bouwjaar opgenomen
- Tab "Tabellen", subsidie tabel opgenomen
- Tab "Versie" handige links bovenaan toegevoegd
- Tabs verwijderd: Sheet1, Sheet2, Huis, Resume, Groepssom, Vragen, Turflijst, Rap222, Rap333
- Bevat eerste versie van de rapportgenerator (verre van af)</t>
  </si>
  <si>
    <t>Dorpsstraat 18</t>
  </si>
  <si>
    <t>- met QGis de data extraheren uit de landelijke database
- zet deze data in het exact hetzelfde format als het tabblad "BAG" NOTE:
        de eerste kolom bevat een formule, deze kun je heel gemakkelijk over de gehele kolom verspreiden,
        door te dubbelklikken op de autofill handle, 
        zie: https://trumpexcel.com/apply-formula-to-entire-column-excel/
- Geef dit tabblad een logische naam bijv. "BAG2" en maak het tabblad onzichtbaar
- Zet in cell D2 van tabblad "Details"  de naam van het nieuwe tabblad bijv "BAG2"
- via Name Manager: variable "AdresTabel" moet refereren naar nieuwe tabblad bijv: "BAG2!$A:$A"  (dollartekens zijn essentieel)
- Verwijder het tabblad "BAG" (DIT MOET ECHT DE LAATSTE STAP ZIJN, anders krijg je #REF fouten die je formules helemaal kapot maken)</t>
  </si>
  <si>
    <t>=INDIRECT("'"&amp;My_Path&amp;"["&amp;N2&amp;".xlsx]BAG'!$A$2")</t>
  </si>
  <si>
    <t>=My_Path&amp;"["&amp;N2&amp;".xlsx]BAG!$A$2"</t>
  </si>
  <si>
    <t>="'"&amp;My_Path&amp;"["&amp;N2&amp;".xlsx]BAG'!$A$2"</t>
  </si>
  <si>
    <t>Elektra verbruik Warmtepomp [kWh/jaar]</t>
  </si>
  <si>
    <t>Apparatuur [kWh/jaar]</t>
  </si>
  <si>
    <t>onbekend</t>
  </si>
  <si>
    <t>GRAADJE LAGER:   NU   U-waarde over het gehele oppervlakte [kWh/K] = Opp / Rc
eventueel voorzien van correcties</t>
  </si>
  <si>
    <t>GRAADJE LAGER:  OPTIMAAL  U-waarde over het gehele oppervlakte [kWh/K] = Opp / Rc
eventueel voorzien van correcties</t>
  </si>
  <si>
    <t>Oppervlakte Correctie</t>
  </si>
  <si>
    <t>Kruipruimte correctie om te corrigeren dat de temperatuur van de kruipruimte ergens tussen de binnen en de buitentemperatuur in zit. De lerarenopleiding natuurkunde van de Hogeschool Utrecht gebruikt 0.8. NTA8800-2023, p 148, correctiefactor voor vloer op zand of vloer op kruipruimte fls=0.7. Voor een nauwkeuriger berekening zou je de temperatuur van de kruipruimte over het jaar moeten intergreren: 
   Tkruipruimte=11.2 + 0.08 * Tbuiten   (NTA8800 bevat tabel met maandbuitentemperaturen)(
De correctie voor vloerverwarming is nodig omdat de vloer bij vloerverwarming gemiddeld veel warmer is en dus meer warmte verliest. Milieu Centraal adviseert een Rc van 5 bij vloerverwarming in plaats van de 3.7 uit het bouwbesluit, daarmee suggererend een factor 1.35. Stel de gemiddelde temperatuur van de kruipruimte is 10 graden, zonder vloerverwarming is de temperatuur van de vloer 16 graden, met vloerverwarming gemiddeld 25 graden, dan kom je tot een factor 2.5. Daarmee is dus een factor 1.5 nog aan de conservatieve kant.
NTA 8800 - 2023 geeft p16, p941: Tkruipruimte = 11.2 + 0.08 * Tbuiten (maandgemiddelde)</t>
  </si>
  <si>
    <t>Indicatie bij uw huidig gedrag (Koevlaas)</t>
  </si>
  <si>
    <t>Warm Tapwater m3 gas</t>
  </si>
  <si>
    <t>- als rapport protected is, kun je geen plaatjes plakken ??? 
- energielabel
- zonnepanelen meenemen in energielabel
- investerings rendement zonnepanelen (rekening houdend met afbouwende saldering)
- SCOP als functie van de huidige retourtemperatuur ?</t>
  </si>
  <si>
    <t>- Adres kan worden opgezocht in lijst</t>
  </si>
  <si>
    <r>
      <rPr>
        <b/>
        <sz val="10"/>
        <rFont val="Arial"/>
        <family val="2"/>
      </rPr>
      <t xml:space="preserve">- Oppervlakte verlaagd afhankelijk van het type woning. Het BAG register registreert alle oppervlakte die aan het hoofdgebouw vastzitten. Voor energieverliesben je enkel geinteresseerd in het potentieel verwarmde oppervlakte.
Zie : https://imbag.github.io/praktijkhandleiding/attributen/oppervlakte
Voor vrijstaand / hoekhuis / tussenwoning wortd het oppervlakte verlaagd met 20% / 10% / 0%
</t>
    </r>
    <r>
      <rPr>
        <sz val="10"/>
        <rFont val="Arial"/>
        <family val="2"/>
      </rPr>
      <t xml:space="preserve">- Op basisblad Regel 32 toegevoegd, vrij in te vullen voor bijvoorbeeld een apart berekende aanbouw
- Thermische energie per m2 aangepast door warm tapwater eruit te halen (Warmtepomp Vermogen is ook zonder Warm Tapwater)
- Mogelijkheid om in detail gasverbruik voor warmwater expliciet op te geven (bv op basis van het maandverbruik in de zomer)
</t>
    </r>
  </si>
  <si>
    <t>V 3.1</t>
  </si>
  <si>
    <t>- Fontkleuring in P23-31 werd wit als weinig water verbruik, gecorrigeerd, maar moet nog een keer in detail worden nagelopen</t>
  </si>
  <si>
    <t>Middelweg 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</si>
</sst>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2">
    <font>
      <sz val="10"/>
      <name val="Arial"/>
      <family val="2"/>
    </font>
    <font>
      <sz val="11"/>
      <color theme="1"/>
      <name val="Calibri"/>
      <family val="2"/>
      <scheme val="minor"/>
    </font>
    <font>
      <sz val="11"/>
      <color theme="1"/>
      <name val="Calibri"/>
      <family val="2"/>
      <scheme val="minor"/>
    </font>
    <font>
      <u/>
      <sz val="10"/>
      <color theme="10"/>
      <name val="Arial"/>
      <family val="2"/>
    </font>
    <font>
      <sz val="10"/>
      <color theme="0" tint="-0.14999847407452621"/>
      <name val="Arial"/>
      <family val="2"/>
    </font>
    <font>
      <u/>
      <sz val="11"/>
      <color theme="10"/>
      <name val="Arial Unicode MS"/>
      <family val="2"/>
    </font>
    <font>
      <sz val="11"/>
      <color theme="1"/>
      <name val="Arial Unicode MS"/>
      <family val="2"/>
    </font>
    <font>
      <b/>
      <sz val="12"/>
      <name val="Arial"/>
      <family val="2"/>
    </font>
    <font>
      <sz val="10"/>
      <color theme="0"/>
      <name val="Arial"/>
      <family val="2"/>
    </font>
    <font>
      <b/>
      <sz val="11"/>
      <color theme="1"/>
      <name val="Arial Unicode MS"/>
      <family val="2"/>
    </font>
    <font>
      <b/>
      <sz val="10"/>
      <name val="Arial"/>
      <family val="2"/>
    </font>
    <font>
      <sz val="10"/>
      <color theme="1"/>
      <name val="Arial"/>
      <family val="2"/>
    </font>
    <font>
      <sz val="9"/>
      <color indexed="81"/>
      <name val="Tahoma"/>
      <family val="2"/>
    </font>
    <font>
      <b/>
      <sz val="9"/>
      <color indexed="81"/>
      <name val="Tahoma"/>
      <family val="2"/>
    </font>
    <font>
      <b/>
      <sz val="20"/>
      <name val="Arial"/>
      <family val="2"/>
    </font>
    <font>
      <sz val="10"/>
      <color theme="0" tint="-0.499984740745262"/>
      <name val="Arial"/>
      <family val="2"/>
    </font>
    <font>
      <sz val="11"/>
      <name val="Arial Unicode MS"/>
      <family val="2"/>
    </font>
    <font>
      <b/>
      <sz val="11"/>
      <name val="Arial Unicode MS"/>
      <family val="2"/>
    </font>
    <font>
      <sz val="11"/>
      <color theme="0"/>
      <name val="Arial Unicode MS"/>
      <family val="2"/>
    </font>
    <font>
      <sz val="11"/>
      <color theme="0" tint="-0.14999847407452621"/>
      <name val="Arial Unicode MS"/>
      <family val="2"/>
    </font>
    <font>
      <b/>
      <sz val="11"/>
      <color theme="0"/>
      <name val="Arial Unicode MS"/>
      <family val="2"/>
    </font>
    <font>
      <sz val="10"/>
      <color theme="0" tint="-0.34998626667073579"/>
      <name val="Arial"/>
      <family val="2"/>
    </font>
    <font>
      <b/>
      <sz val="11"/>
      <color theme="0" tint="-0.34998626667073579"/>
      <name val="Arial Unicode MS"/>
      <family val="2"/>
    </font>
    <font>
      <b/>
      <sz val="11"/>
      <color theme="0" tint="-0.14999847407452621"/>
      <name val="Arial Unicode MS"/>
      <family val="2"/>
    </font>
    <font>
      <sz val="10"/>
      <name val="Arial Unicode MS"/>
      <family val="2"/>
    </font>
    <font>
      <b/>
      <sz val="12"/>
      <name val="Arial Unicode MS"/>
      <family val="2"/>
    </font>
    <font>
      <b/>
      <sz val="10"/>
      <name val="Arial Unicode MS"/>
      <family val="2"/>
    </font>
    <font>
      <sz val="10"/>
      <color theme="1"/>
      <name val="Arial Unicode MS"/>
      <family val="2"/>
    </font>
    <font>
      <sz val="10"/>
      <color theme="0" tint="-0.249977111117893"/>
      <name val="Arial"/>
      <family val="2"/>
    </font>
    <font>
      <sz val="10"/>
      <name val="Arial"/>
      <family val="2"/>
    </font>
    <font>
      <sz val="10"/>
      <color rgb="FFFFFFFF"/>
      <name val="Arial"/>
      <family val="2"/>
    </font>
    <font>
      <sz val="11"/>
      <color rgb="FFF2F2F2"/>
      <name val="Arial Unicode MS"/>
      <family val="2"/>
    </font>
    <font>
      <sz val="8"/>
      <color rgb="FF000000"/>
      <name val="Segoe UI"/>
      <family val="2"/>
    </font>
    <font>
      <b/>
      <sz val="16"/>
      <color rgb="FFFFFFFF"/>
      <name val="Arial Unicode MS"/>
      <family val="2"/>
      <charset val="1"/>
    </font>
    <font>
      <b/>
      <sz val="10"/>
      <color rgb="FFFF0000"/>
      <name val="Arial"/>
      <family val="2"/>
    </font>
    <font>
      <b/>
      <vertAlign val="superscript"/>
      <sz val="10"/>
      <name val="Arial"/>
      <family val="2"/>
    </font>
    <font>
      <b/>
      <i/>
      <sz val="10"/>
      <name val="Arial"/>
      <family val="2"/>
    </font>
    <font>
      <vertAlign val="superscript"/>
      <sz val="10"/>
      <name val="Arial"/>
      <family val="2"/>
    </font>
    <font>
      <sz val="11"/>
      <color rgb="FF006100"/>
      <name val="Calibri"/>
      <family val="2"/>
      <scheme val="minor"/>
    </font>
    <font>
      <sz val="11"/>
      <color theme="0"/>
      <name val="Calibri"/>
      <family val="2"/>
      <scheme val="minor"/>
    </font>
    <font>
      <sz val="12"/>
      <color theme="1"/>
      <name val="Calibri"/>
      <family val="2"/>
      <scheme val="minor"/>
    </font>
    <font>
      <b/>
      <sz val="12"/>
      <color rgb="FF006100"/>
      <name val="Calibri"/>
      <family val="2"/>
      <scheme val="minor"/>
    </font>
    <font>
      <sz val="10"/>
      <color theme="0" tint="-0.14999847407452621"/>
      <name val="Arial Unicode MS"/>
      <family val="2"/>
    </font>
    <font>
      <b/>
      <sz val="12"/>
      <name val="Calibri"/>
      <family val="2"/>
      <scheme val="minor"/>
    </font>
    <font>
      <sz val="12"/>
      <name val="Calibri"/>
      <family val="2"/>
      <scheme val="minor"/>
    </font>
    <font>
      <sz val="12"/>
      <color theme="0" tint="-0.14999847407452621"/>
      <name val="Calibri"/>
      <family val="2"/>
      <scheme val="minor"/>
    </font>
    <font>
      <u/>
      <sz val="12"/>
      <color theme="10"/>
      <name val="Calibri"/>
      <family val="2"/>
      <scheme val="minor"/>
    </font>
    <font>
      <sz val="16"/>
      <color theme="1"/>
      <name val="Calibri"/>
      <family val="2"/>
      <scheme val="minor"/>
    </font>
    <font>
      <sz val="16"/>
      <name val="Calibri"/>
      <family val="2"/>
      <scheme val="minor"/>
    </font>
    <font>
      <b/>
      <sz val="18"/>
      <color theme="6" tint="-0.499984740745262"/>
      <name val="Calibri"/>
      <family val="2"/>
      <scheme val="minor"/>
    </font>
    <font>
      <b/>
      <sz val="18"/>
      <name val="Calibri"/>
      <family val="2"/>
      <scheme val="minor"/>
    </font>
    <font>
      <sz val="8"/>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66FF"/>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59999389629810485"/>
        <bgColor indexed="64"/>
      </patternFill>
    </fill>
    <fill>
      <patternFill patternType="gray125">
        <bgColor rgb="FFFFFFCC"/>
      </patternFill>
    </fill>
    <fill>
      <patternFill patternType="solid">
        <fgColor rgb="FFC00000"/>
        <bgColor indexed="64"/>
      </patternFill>
    </fill>
    <fill>
      <patternFill patternType="solid">
        <fgColor rgb="FFD9D9D9"/>
        <bgColor indexed="64"/>
      </patternFill>
    </fill>
    <fill>
      <patternFill patternType="solid">
        <fgColor theme="6" tint="0.59999389629810485"/>
        <bgColor indexed="64"/>
      </patternFill>
    </fill>
    <fill>
      <patternFill patternType="solid">
        <fgColor rgb="FF00AFDC"/>
        <bgColor rgb="FF33CCCC"/>
      </patternFill>
    </fill>
    <fill>
      <patternFill patternType="solid">
        <fgColor rgb="FFF2DCDB"/>
        <bgColor rgb="FFFDEADA"/>
      </patternFill>
    </fill>
    <fill>
      <patternFill patternType="solid">
        <fgColor rgb="FFEBF1DE"/>
        <bgColor rgb="FFF2F2F2"/>
      </patternFill>
    </fill>
    <fill>
      <patternFill patternType="solid">
        <fgColor rgb="FFFEC6EB"/>
        <bgColor rgb="FFF2DCDB"/>
      </patternFill>
    </fill>
    <fill>
      <patternFill patternType="solid">
        <fgColor rgb="FFC6EFCE"/>
      </patternFill>
    </fill>
    <fill>
      <patternFill patternType="solid">
        <fgColor theme="5"/>
      </patternFill>
    </fill>
    <fill>
      <patternFill patternType="solid">
        <fgColor rgb="FFFFFF9F"/>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rgb="FF000000"/>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indexed="64"/>
      </bottom>
      <diagonal/>
    </border>
    <border>
      <left style="thin">
        <color indexed="64"/>
      </left>
      <right/>
      <top style="thick">
        <color indexed="64"/>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bottom style="mediumDashed">
        <color auto="1"/>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top/>
      <bottom style="medium">
        <color indexed="64"/>
      </bottom>
      <diagonal/>
    </border>
  </borders>
  <cellStyleXfs count="8">
    <xf numFmtId="0" fontId="0" fillId="0" borderId="0"/>
    <xf numFmtId="0" fontId="3" fillId="0" borderId="0" applyNumberFormat="0" applyFill="0" applyBorder="0" applyAlignment="0" applyProtection="0">
      <alignment vertical="top"/>
      <protection locked="0"/>
    </xf>
    <xf numFmtId="0" fontId="6" fillId="0" borderId="0"/>
    <xf numFmtId="0" fontId="2" fillId="0" borderId="0"/>
    <xf numFmtId="0" fontId="29" fillId="0" borderId="0"/>
    <xf numFmtId="0" fontId="38" fillId="24" borderId="0" applyNumberFormat="0" applyBorder="0" applyAlignment="0" applyProtection="0"/>
    <xf numFmtId="0" fontId="39" fillId="25" borderId="0" applyNumberFormat="0" applyBorder="0" applyAlignment="0" applyProtection="0"/>
    <xf numFmtId="0" fontId="1" fillId="0" borderId="0"/>
  </cellStyleXfs>
  <cellXfs count="465">
    <xf numFmtId="0" fontId="0" fillId="0" borderId="0" xfId="0"/>
    <xf numFmtId="0" fontId="0" fillId="0" borderId="0" xfId="0" applyAlignment="1">
      <alignment horizontal="left"/>
    </xf>
    <xf numFmtId="1" fontId="0" fillId="4" borderId="1" xfId="0" applyNumberFormat="1" applyFill="1" applyBorder="1" applyAlignment="1">
      <alignment horizontal="center" vertical="center"/>
    </xf>
    <xf numFmtId="1" fontId="0" fillId="0" borderId="0" xfId="0" applyNumberFormat="1" applyAlignment="1">
      <alignment horizontal="center"/>
    </xf>
    <xf numFmtId="164" fontId="0" fillId="0" borderId="0" xfId="0" applyNumberFormat="1" applyAlignment="1">
      <alignment horizontal="left"/>
    </xf>
    <xf numFmtId="0" fontId="4" fillId="0" borderId="0" xfId="0" applyFont="1"/>
    <xf numFmtId="164" fontId="4" fillId="0" borderId="0" xfId="0" applyNumberFormat="1" applyFont="1"/>
    <xf numFmtId="0" fontId="5" fillId="0" borderId="10" xfId="1" applyFont="1" applyBorder="1" applyAlignment="1" applyProtection="1"/>
    <xf numFmtId="1" fontId="0" fillId="0" borderId="0" xfId="0" applyNumberFormat="1" applyAlignment="1">
      <alignment horizontal="left"/>
    </xf>
    <xf numFmtId="164" fontId="0" fillId="0" borderId="0" xfId="0" applyNumberFormat="1" applyAlignment="1">
      <alignment horizontal="center"/>
    </xf>
    <xf numFmtId="0" fontId="9" fillId="0" borderId="17" xfId="2" applyFont="1" applyBorder="1"/>
    <xf numFmtId="0" fontId="9" fillId="8" borderId="17" xfId="2" applyFont="1" applyFill="1" applyBorder="1"/>
    <xf numFmtId="2" fontId="9" fillId="8" borderId="17" xfId="2" applyNumberFormat="1" applyFont="1" applyFill="1" applyBorder="1" applyAlignment="1">
      <alignment horizontal="center"/>
    </xf>
    <xf numFmtId="2" fontId="9" fillId="0" borderId="17" xfId="2" applyNumberFormat="1" applyFont="1" applyBorder="1" applyAlignment="1">
      <alignment horizontal="center"/>
    </xf>
    <xf numFmtId="0" fontId="9" fillId="9" borderId="17" xfId="2" applyFont="1" applyFill="1" applyBorder="1"/>
    <xf numFmtId="2" fontId="9" fillId="9" borderId="17" xfId="2" applyNumberFormat="1" applyFont="1" applyFill="1" applyBorder="1" applyAlignment="1">
      <alignment horizontal="center"/>
    </xf>
    <xf numFmtId="0" fontId="6" fillId="0" borderId="0" xfId="2"/>
    <xf numFmtId="0" fontId="6" fillId="0" borderId="17" xfId="2" applyBorder="1"/>
    <xf numFmtId="0" fontId="6" fillId="8" borderId="17" xfId="2" applyFill="1" applyBorder="1" applyAlignment="1">
      <alignment horizontal="right"/>
    </xf>
    <xf numFmtId="2" fontId="6" fillId="8" borderId="17" xfId="2" applyNumberFormat="1" applyFill="1" applyBorder="1" applyAlignment="1">
      <alignment horizontal="right"/>
    </xf>
    <xf numFmtId="2" fontId="6" fillId="0" borderId="17" xfId="2" applyNumberFormat="1" applyBorder="1" applyAlignment="1">
      <alignment horizontal="right"/>
    </xf>
    <xf numFmtId="0" fontId="6" fillId="9" borderId="17" xfId="2" applyFill="1" applyBorder="1" applyAlignment="1">
      <alignment horizontal="right"/>
    </xf>
    <xf numFmtId="2" fontId="6" fillId="9" borderId="17" xfId="2" applyNumberFormat="1" applyFill="1" applyBorder="1" applyAlignment="1">
      <alignment horizontal="right"/>
    </xf>
    <xf numFmtId="0" fontId="6" fillId="0" borderId="17" xfId="2" applyBorder="1" applyAlignment="1">
      <alignment horizontal="right"/>
    </xf>
    <xf numFmtId="0" fontId="6" fillId="8" borderId="20" xfId="2" applyFill="1" applyBorder="1" applyAlignment="1">
      <alignment horizontal="right"/>
    </xf>
    <xf numFmtId="0" fontId="6" fillId="0" borderId="20" xfId="2" applyBorder="1" applyAlignment="1">
      <alignment horizontal="right"/>
    </xf>
    <xf numFmtId="0" fontId="9" fillId="10" borderId="17" xfId="2" applyFont="1" applyFill="1" applyBorder="1"/>
    <xf numFmtId="2" fontId="9" fillId="10" borderId="17" xfId="2" applyNumberFormat="1" applyFont="1" applyFill="1" applyBorder="1"/>
    <xf numFmtId="2" fontId="9" fillId="0" borderId="17" xfId="2" applyNumberFormat="1" applyFont="1" applyBorder="1"/>
    <xf numFmtId="0" fontId="9" fillId="0" borderId="0" xfId="2" applyFont="1"/>
    <xf numFmtId="2" fontId="6" fillId="0" borderId="0" xfId="2" applyNumberFormat="1"/>
    <xf numFmtId="0" fontId="0" fillId="0" borderId="0" xfId="0" applyAlignment="1">
      <alignment horizontal="center"/>
    </xf>
    <xf numFmtId="0" fontId="6" fillId="8" borderId="17" xfId="2" applyFill="1" applyBorder="1" applyAlignment="1" applyProtection="1">
      <alignment horizontal="right"/>
      <protection locked="0"/>
    </xf>
    <xf numFmtId="0" fontId="6" fillId="0" borderId="17" xfId="2" applyBorder="1" applyProtection="1">
      <protection locked="0"/>
    </xf>
    <xf numFmtId="0" fontId="6" fillId="9" borderId="17" xfId="2" applyFill="1" applyBorder="1" applyAlignment="1" applyProtection="1">
      <alignment horizontal="right"/>
      <protection locked="0"/>
    </xf>
    <xf numFmtId="0" fontId="6" fillId="8" borderId="20" xfId="2" applyFill="1" applyBorder="1" applyAlignment="1" applyProtection="1">
      <alignment horizontal="right"/>
      <protection locked="0"/>
    </xf>
    <xf numFmtId="1" fontId="0" fillId="12" borderId="0" xfId="0" applyNumberFormat="1" applyFill="1"/>
    <xf numFmtId="164" fontId="0" fillId="0" borderId="0" xfId="0" applyNumberFormat="1"/>
    <xf numFmtId="0" fontId="8" fillId="0" borderId="0" xfId="0" applyFont="1"/>
    <xf numFmtId="1" fontId="0" fillId="0" borderId="0" xfId="0" applyNumberFormat="1"/>
    <xf numFmtId="0" fontId="10" fillId="0" borderId="0" xfId="0" applyFont="1"/>
    <xf numFmtId="1" fontId="11" fillId="13" borderId="1" xfId="0" applyNumberFormat="1" applyFont="1" applyFill="1" applyBorder="1" applyAlignment="1">
      <alignment horizontal="center" vertical="center"/>
    </xf>
    <xf numFmtId="0" fontId="0" fillId="0" borderId="0" xfId="0" applyAlignment="1">
      <alignment vertical="top" wrapText="1"/>
    </xf>
    <xf numFmtId="0" fontId="10" fillId="0" borderId="0" xfId="0" applyFont="1" applyAlignment="1">
      <alignment vertical="top" wrapText="1"/>
    </xf>
    <xf numFmtId="0" fontId="14" fillId="0" borderId="0" xfId="0" applyFont="1" applyAlignment="1">
      <alignment vertical="top" wrapText="1"/>
    </xf>
    <xf numFmtId="0" fontId="0" fillId="0" borderId="0" xfId="0" applyAlignment="1">
      <alignment vertical="top"/>
    </xf>
    <xf numFmtId="0" fontId="0" fillId="0" borderId="0" xfId="0" applyAlignment="1">
      <alignment horizontal="center" vertical="top"/>
    </xf>
    <xf numFmtId="0" fontId="16" fillId="11" borderId="17" xfId="0" applyFont="1" applyFill="1" applyBorder="1" applyAlignment="1" applyProtection="1">
      <alignment horizontal="center"/>
      <protection locked="0"/>
    </xf>
    <xf numFmtId="9" fontId="16" fillId="11" borderId="17" xfId="0" applyNumberFormat="1" applyFont="1" applyFill="1" applyBorder="1" applyAlignment="1" applyProtection="1">
      <alignment horizontal="center"/>
      <protection locked="0"/>
    </xf>
    <xf numFmtId="0" fontId="17" fillId="11" borderId="17" xfId="0" applyFont="1" applyFill="1" applyBorder="1" applyAlignment="1" applyProtection="1">
      <alignment horizontal="right"/>
      <protection locked="0"/>
    </xf>
    <xf numFmtId="0" fontId="16" fillId="0" borderId="0" xfId="0" applyFont="1"/>
    <xf numFmtId="0" fontId="16" fillId="0" borderId="0" xfId="0" applyFont="1" applyAlignment="1">
      <alignment horizontal="center"/>
    </xf>
    <xf numFmtId="1" fontId="16" fillId="0" borderId="0" xfId="0" applyNumberFormat="1" applyFont="1" applyAlignment="1">
      <alignment horizontal="center"/>
    </xf>
    <xf numFmtId="0" fontId="17" fillId="6" borderId="19" xfId="0" applyFont="1" applyFill="1" applyBorder="1" applyAlignment="1">
      <alignment horizontal="right"/>
    </xf>
    <xf numFmtId="0" fontId="17" fillId="6" borderId="19" xfId="0" applyFont="1" applyFill="1" applyBorder="1" applyAlignment="1">
      <alignment horizontal="center"/>
    </xf>
    <xf numFmtId="0" fontId="17" fillId="6" borderId="17" xfId="0" applyFont="1" applyFill="1" applyBorder="1" applyAlignment="1">
      <alignment horizontal="center"/>
    </xf>
    <xf numFmtId="1" fontId="17" fillId="6" borderId="19" xfId="0" quotePrefix="1" applyNumberFormat="1" applyFont="1" applyFill="1" applyBorder="1" applyAlignment="1">
      <alignment horizontal="center"/>
    </xf>
    <xf numFmtId="1" fontId="17" fillId="6" borderId="19" xfId="0" applyNumberFormat="1" applyFont="1" applyFill="1" applyBorder="1" applyAlignment="1">
      <alignment horizontal="center"/>
    </xf>
    <xf numFmtId="0" fontId="17" fillId="6" borderId="17" xfId="0" applyFont="1" applyFill="1" applyBorder="1" applyAlignment="1">
      <alignment horizontal="right"/>
    </xf>
    <xf numFmtId="0" fontId="16" fillId="6" borderId="19" xfId="0" applyFont="1" applyFill="1" applyBorder="1" applyAlignment="1">
      <alignment horizontal="center"/>
    </xf>
    <xf numFmtId="9" fontId="16" fillId="6" borderId="17" xfId="0" applyNumberFormat="1" applyFont="1" applyFill="1" applyBorder="1" applyAlignment="1">
      <alignment horizontal="center"/>
    </xf>
    <xf numFmtId="164" fontId="16" fillId="3" borderId="17" xfId="0" applyNumberFormat="1" applyFont="1" applyFill="1" applyBorder="1" applyAlignment="1">
      <alignment horizontal="center"/>
    </xf>
    <xf numFmtId="1" fontId="16" fillId="3" borderId="17" xfId="0" applyNumberFormat="1" applyFont="1" applyFill="1" applyBorder="1" applyAlignment="1">
      <alignment horizontal="center"/>
    </xf>
    <xf numFmtId="164" fontId="16" fillId="13" borderId="17" xfId="0" applyNumberFormat="1" applyFont="1" applyFill="1" applyBorder="1" applyAlignment="1">
      <alignment horizontal="center"/>
    </xf>
    <xf numFmtId="1" fontId="16" fillId="13" borderId="17" xfId="0" applyNumberFormat="1" applyFont="1" applyFill="1" applyBorder="1" applyAlignment="1">
      <alignment horizontal="center"/>
    </xf>
    <xf numFmtId="0" fontId="18" fillId="0" borderId="0" xfId="0" applyFont="1"/>
    <xf numFmtId="1" fontId="17" fillId="6" borderId="17" xfId="0" quotePrefix="1" applyNumberFormat="1" applyFont="1" applyFill="1" applyBorder="1" applyAlignment="1">
      <alignment horizontal="center"/>
    </xf>
    <xf numFmtId="1" fontId="17" fillId="6" borderId="17" xfId="0" applyNumberFormat="1" applyFont="1" applyFill="1" applyBorder="1" applyAlignment="1">
      <alignment horizontal="center"/>
    </xf>
    <xf numFmtId="0" fontId="16" fillId="6" borderId="17" xfId="0" applyFont="1" applyFill="1" applyBorder="1" applyAlignment="1">
      <alignment horizontal="center"/>
    </xf>
    <xf numFmtId="0" fontId="17" fillId="0" borderId="0" xfId="0" applyFont="1" applyAlignment="1">
      <alignment horizontal="left"/>
    </xf>
    <xf numFmtId="1" fontId="17" fillId="0" borderId="0" xfId="0" applyNumberFormat="1" applyFont="1" applyAlignment="1">
      <alignment horizontal="left"/>
    </xf>
    <xf numFmtId="164" fontId="16" fillId="0" borderId="17" xfId="0" applyNumberFormat="1" applyFont="1" applyBorder="1" applyAlignment="1">
      <alignment horizontal="center"/>
    </xf>
    <xf numFmtId="1" fontId="16" fillId="0" borderId="17" xfId="0" applyNumberFormat="1" applyFont="1" applyBorder="1" applyAlignment="1">
      <alignment horizontal="center"/>
    </xf>
    <xf numFmtId="0" fontId="17" fillId="6" borderId="1" xfId="0" applyFont="1" applyFill="1" applyBorder="1" applyAlignment="1">
      <alignment horizontal="center"/>
    </xf>
    <xf numFmtId="1" fontId="17" fillId="6" borderId="1" xfId="0" quotePrefix="1" applyNumberFormat="1" applyFont="1" applyFill="1" applyBorder="1" applyAlignment="1">
      <alignment horizontal="center"/>
    </xf>
    <xf numFmtId="1" fontId="17" fillId="6" borderId="1" xfId="0" applyNumberFormat="1" applyFont="1" applyFill="1" applyBorder="1" applyAlignment="1">
      <alignment horizontal="center"/>
    </xf>
    <xf numFmtId="164" fontId="16" fillId="13" borderId="1" xfId="0" applyNumberFormat="1" applyFont="1" applyFill="1" applyBorder="1" applyAlignment="1">
      <alignment horizontal="center"/>
    </xf>
    <xf numFmtId="1" fontId="16" fillId="13" borderId="1" xfId="0" applyNumberFormat="1" applyFont="1" applyFill="1" applyBorder="1" applyAlignment="1">
      <alignment horizontal="center"/>
    </xf>
    <xf numFmtId="2" fontId="16" fillId="6" borderId="19" xfId="0" applyNumberFormat="1" applyFont="1" applyFill="1" applyBorder="1" applyAlignment="1">
      <alignment horizontal="center"/>
    </xf>
    <xf numFmtId="2" fontId="16" fillId="0" borderId="0" xfId="0" applyNumberFormat="1" applyFont="1"/>
    <xf numFmtId="2" fontId="17" fillId="6" borderId="19" xfId="0" applyNumberFormat="1" applyFont="1" applyFill="1" applyBorder="1" applyAlignment="1">
      <alignment horizontal="center"/>
    </xf>
    <xf numFmtId="2" fontId="16" fillId="11" borderId="17" xfId="0" applyNumberFormat="1" applyFont="1" applyFill="1" applyBorder="1" applyAlignment="1" applyProtection="1">
      <alignment horizontal="center"/>
      <protection locked="0"/>
    </xf>
    <xf numFmtId="2" fontId="16" fillId="0" borderId="0" xfId="0" applyNumberFormat="1" applyFont="1" applyAlignment="1">
      <alignment horizontal="center"/>
    </xf>
    <xf numFmtId="2" fontId="17" fillId="6" borderId="17" xfId="0" applyNumberFormat="1" applyFont="1" applyFill="1" applyBorder="1" applyAlignment="1">
      <alignment horizontal="center"/>
    </xf>
    <xf numFmtId="164" fontId="16" fillId="11" borderId="17" xfId="0" applyNumberFormat="1" applyFont="1" applyFill="1" applyBorder="1" applyAlignment="1" applyProtection="1">
      <alignment horizontal="center"/>
      <protection locked="0"/>
    </xf>
    <xf numFmtId="164" fontId="16" fillId="6" borderId="17" xfId="0" applyNumberFormat="1" applyFont="1" applyFill="1" applyBorder="1" applyAlignment="1">
      <alignment horizontal="center"/>
    </xf>
    <xf numFmtId="164" fontId="16" fillId="6" borderId="19" xfId="0" applyNumberFormat="1" applyFont="1" applyFill="1" applyBorder="1" applyAlignment="1">
      <alignment horizontal="center"/>
    </xf>
    <xf numFmtId="164" fontId="16" fillId="0" borderId="22" xfId="0" applyNumberFormat="1" applyFont="1" applyBorder="1" applyAlignment="1">
      <alignment horizontal="center"/>
    </xf>
    <xf numFmtId="0" fontId="16" fillId="6" borderId="17" xfId="0" applyFont="1" applyFill="1" applyBorder="1"/>
    <xf numFmtId="0" fontId="17" fillId="13" borderId="5" xfId="0" applyFont="1" applyFill="1" applyBorder="1"/>
    <xf numFmtId="0" fontId="17" fillId="13" borderId="2" xfId="0" applyFont="1" applyFill="1" applyBorder="1"/>
    <xf numFmtId="0" fontId="17" fillId="15" borderId="1" xfId="0" applyFont="1" applyFill="1" applyBorder="1" applyAlignment="1">
      <alignment horizontal="center"/>
    </xf>
    <xf numFmtId="1" fontId="16" fillId="3" borderId="19" xfId="0" applyNumberFormat="1" applyFont="1" applyFill="1" applyBorder="1" applyAlignment="1">
      <alignment horizontal="center"/>
    </xf>
    <xf numFmtId="0" fontId="17" fillId="0" borderId="0" xfId="0" applyFont="1" applyAlignment="1">
      <alignment horizontal="right"/>
    </xf>
    <xf numFmtId="2" fontId="17" fillId="0" borderId="0" xfId="0" applyNumberFormat="1" applyFont="1"/>
    <xf numFmtId="164" fontId="17" fillId="6" borderId="1" xfId="0" applyNumberFormat="1" applyFont="1" applyFill="1" applyBorder="1" applyAlignment="1">
      <alignment horizontal="center"/>
    </xf>
    <xf numFmtId="0" fontId="19" fillId="0" borderId="0" xfId="0" applyFont="1" applyAlignment="1">
      <alignment horizontal="left"/>
    </xf>
    <xf numFmtId="1" fontId="16" fillId="0" borderId="0" xfId="0" applyNumberFormat="1" applyFont="1" applyAlignment="1">
      <alignment horizontal="left"/>
    </xf>
    <xf numFmtId="0" fontId="17" fillId="13" borderId="1" xfId="0" applyFont="1" applyFill="1" applyBorder="1"/>
    <xf numFmtId="0" fontId="17" fillId="6" borderId="24" xfId="0" applyFont="1" applyFill="1" applyBorder="1" applyAlignment="1">
      <alignment horizontal="center"/>
    </xf>
    <xf numFmtId="0" fontId="16" fillId="6" borderId="21" xfId="0" applyFont="1" applyFill="1" applyBorder="1"/>
    <xf numFmtId="1" fontId="16" fillId="3" borderId="20" xfId="0" applyNumberFormat="1" applyFont="1" applyFill="1" applyBorder="1" applyAlignment="1">
      <alignment horizontal="center"/>
    </xf>
    <xf numFmtId="164" fontId="19" fillId="0" borderId="0" xfId="0" applyNumberFormat="1" applyFont="1" applyAlignment="1">
      <alignment horizontal="center"/>
    </xf>
    <xf numFmtId="0" fontId="20" fillId="17" borderId="1" xfId="0" applyFont="1" applyFill="1" applyBorder="1" applyAlignment="1">
      <alignment horizontal="center"/>
    </xf>
    <xf numFmtId="0" fontId="19" fillId="0" borderId="0" xfId="0" applyFont="1" applyAlignment="1">
      <alignment horizontal="center"/>
    </xf>
    <xf numFmtId="0" fontId="16" fillId="0" borderId="0" xfId="0" applyFont="1" applyAlignment="1">
      <alignment horizontal="right"/>
    </xf>
    <xf numFmtId="1" fontId="0" fillId="0" borderId="25" xfId="0" applyNumberFormat="1" applyBorder="1" applyAlignment="1">
      <alignment horizontal="center"/>
    </xf>
    <xf numFmtId="0" fontId="0" fillId="0" borderId="25" xfId="0" applyBorder="1"/>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1" fontId="0" fillId="0" borderId="25" xfId="0" applyNumberFormat="1" applyBorder="1" applyAlignment="1">
      <alignment horizontal="left"/>
    </xf>
    <xf numFmtId="0" fontId="0" fillId="0" borderId="30" xfId="0" applyBorder="1" applyAlignment="1">
      <alignment horizontal="left"/>
    </xf>
    <xf numFmtId="165" fontId="19" fillId="0" borderId="0" xfId="0" applyNumberFormat="1" applyFont="1" applyAlignment="1">
      <alignment horizontal="left"/>
    </xf>
    <xf numFmtId="0" fontId="0" fillId="0" borderId="0" xfId="0" applyAlignment="1">
      <alignment horizontal="center" wrapText="1"/>
    </xf>
    <xf numFmtId="0" fontId="19" fillId="0" borderId="0" xfId="0" applyFont="1"/>
    <xf numFmtId="164" fontId="19" fillId="0" borderId="0" xfId="0" applyNumberFormat="1" applyFont="1"/>
    <xf numFmtId="0" fontId="19" fillId="0" borderId="0" xfId="0" applyFont="1" applyAlignment="1">
      <alignment horizontal="right"/>
    </xf>
    <xf numFmtId="1" fontId="0" fillId="0" borderId="26" xfId="0" applyNumberFormat="1" applyBorder="1" applyAlignment="1">
      <alignment horizontal="left"/>
    </xf>
    <xf numFmtId="0" fontId="0" fillId="0" borderId="34" xfId="0" applyBorder="1" applyAlignment="1">
      <alignment horizontal="center"/>
    </xf>
    <xf numFmtId="1" fontId="0" fillId="0" borderId="29" xfId="0" applyNumberFormat="1" applyBorder="1" applyAlignment="1">
      <alignment horizontal="center"/>
    </xf>
    <xf numFmtId="1" fontId="0" fillId="2" borderId="25" xfId="0" applyNumberFormat="1" applyFill="1" applyBorder="1" applyAlignment="1">
      <alignment horizontal="left"/>
    </xf>
    <xf numFmtId="0" fontId="0" fillId="2" borderId="25" xfId="0" applyFill="1" applyBorder="1" applyAlignment="1">
      <alignment horizontal="left"/>
    </xf>
    <xf numFmtId="1" fontId="0" fillId="2" borderId="27" xfId="0" applyNumberFormat="1" applyFill="1" applyBorder="1" applyAlignment="1">
      <alignment horizontal="left"/>
    </xf>
    <xf numFmtId="1" fontId="0" fillId="2" borderId="29" xfId="0" applyNumberFormat="1" applyFill="1" applyBorder="1" applyAlignment="1">
      <alignment horizontal="center"/>
    </xf>
    <xf numFmtId="0" fontId="0" fillId="3" borderId="29" xfId="0" applyFill="1" applyBorder="1" applyAlignment="1">
      <alignment horizontal="center"/>
    </xf>
    <xf numFmtId="164" fontId="0" fillId="3" borderId="29" xfId="0" applyNumberFormat="1" applyFill="1" applyBorder="1" applyAlignment="1">
      <alignment horizontal="center"/>
    </xf>
    <xf numFmtId="164" fontId="4" fillId="0" borderId="0" xfId="0" applyNumberFormat="1" applyFont="1" applyAlignment="1">
      <alignment horizontal="center"/>
    </xf>
    <xf numFmtId="2" fontId="0" fillId="0" borderId="0" xfId="0" applyNumberFormat="1" applyAlignment="1">
      <alignment horizontal="center"/>
    </xf>
    <xf numFmtId="0" fontId="22" fillId="6" borderId="17" xfId="0" applyFont="1" applyFill="1" applyBorder="1" applyAlignment="1">
      <alignment horizontal="right"/>
    </xf>
    <xf numFmtId="1" fontId="0" fillId="0" borderId="0" xfId="0" applyNumberFormat="1" applyAlignment="1">
      <alignment horizontal="center" vertical="top" wrapText="1"/>
    </xf>
    <xf numFmtId="164" fontId="0" fillId="0" borderId="0" xfId="0" applyNumberFormat="1" applyAlignment="1">
      <alignment horizontal="center" vertical="top" wrapText="1"/>
    </xf>
    <xf numFmtId="1" fontId="0" fillId="0" borderId="0" xfId="0" applyNumberFormat="1" applyAlignment="1">
      <alignment horizontal="left" vertical="top" wrapText="1"/>
    </xf>
    <xf numFmtId="164" fontId="19" fillId="0" borderId="0" xfId="0" applyNumberFormat="1" applyFont="1" applyAlignment="1">
      <alignment horizontal="left"/>
    </xf>
    <xf numFmtId="0" fontId="23" fillId="6" borderId="17" xfId="0" applyFont="1" applyFill="1" applyBorder="1" applyAlignment="1">
      <alignment horizontal="right"/>
    </xf>
    <xf numFmtId="0" fontId="24" fillId="0" borderId="0" xfId="0" applyFont="1"/>
    <xf numFmtId="0" fontId="25" fillId="0" borderId="17" xfId="0" applyFont="1" applyBorder="1"/>
    <xf numFmtId="0" fontId="25" fillId="0" borderId="17" xfId="0" applyFont="1" applyBorder="1" applyAlignment="1">
      <alignment horizontal="center"/>
    </xf>
    <xf numFmtId="0" fontId="24" fillId="0" borderId="19" xfId="0" applyFont="1" applyBorder="1"/>
    <xf numFmtId="0" fontId="24" fillId="0" borderId="19" xfId="0" applyFont="1" applyBorder="1" applyAlignment="1">
      <alignment horizontal="right"/>
    </xf>
    <xf numFmtId="0" fontId="24" fillId="0" borderId="17" xfId="0" applyFont="1" applyBorder="1"/>
    <xf numFmtId="0" fontId="24" fillId="0" borderId="17" xfId="0" applyFont="1" applyBorder="1" applyAlignment="1">
      <alignment horizontal="center"/>
    </xf>
    <xf numFmtId="0" fontId="24" fillId="0" borderId="17" xfId="0" applyFont="1" applyBorder="1" applyAlignment="1">
      <alignment horizontal="right"/>
    </xf>
    <xf numFmtId="0" fontId="25" fillId="0" borderId="17" xfId="2" applyFont="1" applyBorder="1"/>
    <xf numFmtId="0" fontId="24" fillId="0" borderId="17" xfId="2" applyFont="1" applyBorder="1" applyAlignment="1">
      <alignment horizontal="center"/>
    </xf>
    <xf numFmtId="0" fontId="24" fillId="0" borderId="19" xfId="2" applyFont="1" applyBorder="1" applyAlignment="1">
      <alignment horizontal="center"/>
    </xf>
    <xf numFmtId="0" fontId="24" fillId="0" borderId="0" xfId="0" applyFont="1" applyAlignment="1">
      <alignment horizontal="center"/>
    </xf>
    <xf numFmtId="0" fontId="25" fillId="0" borderId="0" xfId="2" applyFont="1" applyAlignment="1">
      <alignment horizontal="center"/>
    </xf>
    <xf numFmtId="0" fontId="24" fillId="0" borderId="19" xfId="2" applyFont="1" applyBorder="1" applyAlignment="1">
      <alignment horizontal="left"/>
    </xf>
    <xf numFmtId="0" fontId="24" fillId="0" borderId="0" xfId="2" applyFont="1" applyAlignment="1">
      <alignment horizontal="center"/>
    </xf>
    <xf numFmtId="1" fontId="24" fillId="0" borderId="17" xfId="0" applyNumberFormat="1" applyFont="1" applyBorder="1" applyAlignment="1">
      <alignment horizontal="center"/>
    </xf>
    <xf numFmtId="0" fontId="24" fillId="11" borderId="17" xfId="0" applyFont="1" applyFill="1" applyBorder="1" applyAlignment="1" applyProtection="1">
      <alignment horizontal="center"/>
      <protection locked="0"/>
    </xf>
    <xf numFmtId="0" fontId="26" fillId="6" borderId="17" xfId="0" applyFont="1" applyFill="1" applyBorder="1" applyAlignment="1">
      <alignment horizontal="center"/>
    </xf>
    <xf numFmtId="1" fontId="26" fillId="6" borderId="17" xfId="0" applyNumberFormat="1" applyFont="1" applyFill="1" applyBorder="1" applyAlignment="1">
      <alignment horizontal="center"/>
    </xf>
    <xf numFmtId="0" fontId="24" fillId="0" borderId="0" xfId="0" quotePrefix="1" applyFont="1"/>
    <xf numFmtId="0" fontId="26" fillId="15" borderId="5" xfId="0" applyFont="1" applyFill="1" applyBorder="1" applyAlignment="1">
      <alignment horizontal="center"/>
    </xf>
    <xf numFmtId="0" fontId="26" fillId="15" borderId="6" xfId="0" applyFont="1" applyFill="1" applyBorder="1" applyAlignment="1">
      <alignment horizontal="center"/>
    </xf>
    <xf numFmtId="0" fontId="26" fillId="15" borderId="2" xfId="0" applyFont="1" applyFill="1" applyBorder="1" applyAlignment="1">
      <alignment horizontal="center"/>
    </xf>
    <xf numFmtId="0" fontId="26" fillId="6" borderId="17" xfId="0" applyFont="1" applyFill="1" applyBorder="1" applyAlignment="1">
      <alignment horizontal="right"/>
    </xf>
    <xf numFmtId="0" fontId="24" fillId="16" borderId="17" xfId="0" applyFont="1" applyFill="1" applyBorder="1" applyAlignment="1" applyProtection="1">
      <alignment horizontal="center"/>
      <protection locked="0"/>
    </xf>
    <xf numFmtId="0" fontId="26" fillId="6" borderId="23" xfId="0" applyFont="1" applyFill="1" applyBorder="1" applyAlignment="1">
      <alignment horizontal="center"/>
    </xf>
    <xf numFmtId="0" fontId="26" fillId="0" borderId="19" xfId="0" applyFont="1" applyBorder="1"/>
    <xf numFmtId="0" fontId="26" fillId="0" borderId="19" xfId="0" applyFont="1" applyBorder="1" applyAlignment="1">
      <alignment horizontal="center"/>
    </xf>
    <xf numFmtId="9" fontId="24" fillId="0" borderId="0" xfId="0" applyNumberFormat="1" applyFont="1"/>
    <xf numFmtId="1" fontId="24" fillId="0" borderId="0" xfId="0" applyNumberFormat="1" applyFont="1" applyAlignment="1">
      <alignment horizontal="center"/>
    </xf>
    <xf numFmtId="0" fontId="26" fillId="0" borderId="17" xfId="2" applyFont="1" applyBorder="1" applyAlignment="1">
      <alignment horizontal="left"/>
    </xf>
    <xf numFmtId="1" fontId="26" fillId="0" borderId="17" xfId="0" applyNumberFormat="1" applyFont="1" applyBorder="1" applyAlignment="1">
      <alignment horizontal="center"/>
    </xf>
    <xf numFmtId="0" fontId="26" fillId="4" borderId="19" xfId="0" applyFont="1" applyFill="1" applyBorder="1"/>
    <xf numFmtId="164" fontId="24" fillId="0" borderId="0" xfId="0" applyNumberFormat="1" applyFont="1"/>
    <xf numFmtId="0" fontId="24" fillId="0" borderId="17" xfId="0" quotePrefix="1" applyFont="1" applyBorder="1" applyAlignment="1">
      <alignment horizontal="center"/>
    </xf>
    <xf numFmtId="3" fontId="19" fillId="0" borderId="0" xfId="0" applyNumberFormat="1" applyFont="1" applyAlignment="1">
      <alignment horizontal="left"/>
    </xf>
    <xf numFmtId="1" fontId="16" fillId="6" borderId="19" xfId="0" applyNumberFormat="1" applyFont="1" applyFill="1" applyBorder="1" applyAlignment="1">
      <alignment horizontal="center"/>
    </xf>
    <xf numFmtId="9" fontId="16" fillId="6" borderId="19" xfId="0" applyNumberFormat="1" applyFont="1" applyFill="1" applyBorder="1" applyAlignment="1">
      <alignment horizontal="center"/>
    </xf>
    <xf numFmtId="9" fontId="19" fillId="0" borderId="0" xfId="0" applyNumberFormat="1" applyFont="1" applyAlignment="1">
      <alignment horizontal="center"/>
    </xf>
    <xf numFmtId="1" fontId="19" fillId="0" borderId="0" xfId="0" applyNumberFormat="1" applyFont="1" applyAlignment="1">
      <alignment horizontal="center"/>
    </xf>
    <xf numFmtId="164" fontId="0" fillId="0" borderId="0" xfId="0" applyNumberFormat="1" applyAlignment="1">
      <alignment horizontal="center" vertical="top"/>
    </xf>
    <xf numFmtId="0" fontId="27" fillId="0" borderId="0" xfId="0" applyFont="1" applyAlignment="1">
      <alignment horizontal="center" vertical="top" wrapText="1"/>
    </xf>
    <xf numFmtId="0" fontId="24" fillId="0" borderId="0" xfId="0" applyFont="1" applyAlignment="1">
      <alignment horizontal="right"/>
    </xf>
    <xf numFmtId="164" fontId="24" fillId="0" borderId="0" xfId="0" applyNumberFormat="1" applyFont="1" applyAlignment="1">
      <alignment horizontal="right"/>
    </xf>
    <xf numFmtId="0" fontId="24" fillId="0" borderId="19" xfId="0" quotePrefix="1" applyFont="1" applyBorder="1" applyAlignment="1">
      <alignment horizontal="center"/>
    </xf>
    <xf numFmtId="0" fontId="24" fillId="0" borderId="19" xfId="0" applyFont="1" applyBorder="1" applyAlignment="1">
      <alignment horizontal="center"/>
    </xf>
    <xf numFmtId="0" fontId="17" fillId="13" borderId="0" xfId="0" applyFont="1" applyFill="1" applyAlignment="1">
      <alignment horizontal="center"/>
    </xf>
    <xf numFmtId="0" fontId="26" fillId="0" borderId="1" xfId="0" applyFont="1" applyBorder="1"/>
    <xf numFmtId="0" fontId="26" fillId="0" borderId="1" xfId="0" applyFont="1" applyBorder="1" applyAlignment="1">
      <alignment horizontal="center"/>
    </xf>
    <xf numFmtId="0" fontId="6" fillId="9" borderId="20" xfId="2" applyFill="1" applyBorder="1" applyAlignment="1">
      <alignment horizontal="right"/>
    </xf>
    <xf numFmtId="0" fontId="24" fillId="0" borderId="0" xfId="0" applyFont="1" applyAlignment="1">
      <alignment vertical="top" wrapText="1"/>
    </xf>
    <xf numFmtId="164" fontId="24" fillId="0" borderId="17" xfId="0" applyNumberFormat="1" applyFont="1" applyBorder="1" applyAlignment="1">
      <alignment horizontal="center"/>
    </xf>
    <xf numFmtId="2" fontId="24" fillId="0" borderId="19" xfId="0" applyNumberFormat="1" applyFont="1" applyBorder="1" applyAlignment="1">
      <alignment horizontal="center"/>
    </xf>
    <xf numFmtId="2" fontId="24" fillId="0" borderId="17" xfId="0" applyNumberFormat="1" applyFont="1" applyBorder="1" applyAlignment="1">
      <alignment horizontal="center"/>
    </xf>
    <xf numFmtId="0" fontId="0" fillId="11" borderId="1" xfId="0" applyFill="1" applyBorder="1" applyAlignment="1" applyProtection="1">
      <alignment horizontal="center"/>
      <protection locked="0"/>
    </xf>
    <xf numFmtId="0" fontId="24" fillId="0" borderId="21" xfId="0" applyFont="1" applyBorder="1"/>
    <xf numFmtId="164" fontId="24" fillId="0" borderId="19" xfId="0" applyNumberFormat="1" applyFont="1" applyBorder="1" applyAlignment="1">
      <alignment horizontal="center"/>
    </xf>
    <xf numFmtId="1" fontId="24" fillId="0" borderId="0" xfId="0" applyNumberFormat="1" applyFont="1"/>
    <xf numFmtId="0" fontId="16" fillId="3" borderId="17" xfId="0" applyFont="1" applyFill="1" applyBorder="1" applyAlignment="1">
      <alignment horizontal="center"/>
    </xf>
    <xf numFmtId="164" fontId="24" fillId="0" borderId="17" xfId="0" applyNumberFormat="1" applyFont="1" applyBorder="1" applyAlignment="1">
      <alignment horizontal="right"/>
    </xf>
    <xf numFmtId="164" fontId="24" fillId="0" borderId="17" xfId="0" applyNumberFormat="1" applyFont="1" applyBorder="1"/>
    <xf numFmtId="164" fontId="24" fillId="0" borderId="0" xfId="0" applyNumberFormat="1" applyFont="1" applyAlignment="1">
      <alignment horizontal="center" vertical="top" wrapText="1"/>
    </xf>
    <xf numFmtId="2" fontId="24" fillId="0" borderId="0" xfId="0" applyNumberFormat="1" applyFont="1" applyAlignment="1">
      <alignment horizontal="center"/>
    </xf>
    <xf numFmtId="1" fontId="16" fillId="11" borderId="17" xfId="0" applyNumberFormat="1" applyFont="1" applyFill="1" applyBorder="1" applyAlignment="1" applyProtection="1">
      <alignment horizontal="center"/>
      <protection locked="0"/>
    </xf>
    <xf numFmtId="0" fontId="3" fillId="0" borderId="22" xfId="1" applyBorder="1" applyAlignment="1" applyProtection="1">
      <alignment horizontal="left" vertical="top"/>
    </xf>
    <xf numFmtId="2" fontId="16" fillId="5" borderId="17" xfId="0" applyNumberFormat="1" applyFont="1" applyFill="1" applyBorder="1" applyAlignment="1">
      <alignment horizontal="center"/>
    </xf>
    <xf numFmtId="1" fontId="16" fillId="5" borderId="17" xfId="0" applyNumberFormat="1" applyFont="1" applyFill="1" applyBorder="1" applyAlignment="1">
      <alignment horizontal="center"/>
    </xf>
    <xf numFmtId="9" fontId="16" fillId="5" borderId="17" xfId="0" applyNumberFormat="1" applyFont="1" applyFill="1" applyBorder="1" applyAlignment="1">
      <alignment horizontal="center"/>
    </xf>
    <xf numFmtId="164" fontId="16" fillId="5" borderId="17" xfId="0" applyNumberFormat="1" applyFont="1" applyFill="1" applyBorder="1" applyAlignment="1">
      <alignment horizontal="center"/>
    </xf>
    <xf numFmtId="0" fontId="17" fillId="6" borderId="17" xfId="0" applyFont="1" applyFill="1" applyBorder="1" applyAlignment="1">
      <alignment horizontal="left"/>
    </xf>
    <xf numFmtId="0" fontId="30" fillId="0" borderId="0" xfId="0" applyFont="1" applyAlignment="1">
      <alignment horizontal="left"/>
    </xf>
    <xf numFmtId="0" fontId="31" fillId="0" borderId="0" xfId="0" applyFont="1"/>
    <xf numFmtId="0" fontId="10" fillId="12" borderId="0" xfId="0" applyFont="1" applyFill="1"/>
    <xf numFmtId="1" fontId="0" fillId="4" borderId="3" xfId="0" applyNumberFormat="1" applyFill="1" applyBorder="1" applyAlignment="1">
      <alignment horizontal="center" vertical="center"/>
    </xf>
    <xf numFmtId="1" fontId="0" fillId="4" borderId="4" xfId="0" applyNumberFormat="1" applyFill="1" applyBorder="1" applyAlignment="1">
      <alignment horizontal="center" vertical="center"/>
    </xf>
    <xf numFmtId="1" fontId="11" fillId="13" borderId="3" xfId="0" applyNumberFormat="1" applyFont="1" applyFill="1" applyBorder="1" applyAlignment="1">
      <alignment horizontal="center" vertical="center"/>
    </xf>
    <xf numFmtId="1" fontId="11" fillId="13" borderId="4" xfId="0" applyNumberFormat="1" applyFont="1" applyFill="1" applyBorder="1" applyAlignment="1">
      <alignment horizontal="center" vertical="center"/>
    </xf>
    <xf numFmtId="0" fontId="17" fillId="13" borderId="1" xfId="0" applyFont="1" applyFill="1" applyBorder="1" applyAlignment="1">
      <alignment horizontal="center"/>
    </xf>
    <xf numFmtId="164" fontId="16" fillId="15" borderId="17" xfId="0" applyNumberFormat="1" applyFont="1" applyFill="1" applyBorder="1" applyAlignment="1" applyProtection="1">
      <alignment horizontal="center"/>
      <protection locked="0"/>
    </xf>
    <xf numFmtId="3" fontId="16" fillId="15" borderId="17" xfId="0" applyNumberFormat="1" applyFont="1" applyFill="1" applyBorder="1" applyAlignment="1" applyProtection="1">
      <alignment horizontal="center"/>
      <protection locked="0"/>
    </xf>
    <xf numFmtId="1" fontId="16" fillId="15" borderId="17" xfId="0" applyNumberFormat="1" applyFont="1" applyFill="1" applyBorder="1" applyAlignment="1" applyProtection="1">
      <alignment horizontal="center"/>
      <protection locked="0"/>
    </xf>
    <xf numFmtId="0" fontId="10" fillId="0" borderId="0" xfId="0" applyFont="1" applyAlignment="1">
      <alignment horizontal="center" vertical="top"/>
    </xf>
    <xf numFmtId="0" fontId="6" fillId="19" borderId="17" xfId="2" applyFill="1" applyBorder="1"/>
    <xf numFmtId="164" fontId="3" fillId="0" borderId="0" xfId="1" applyNumberFormat="1" applyAlignment="1" applyProtection="1">
      <alignment horizontal="left" vertical="top"/>
    </xf>
    <xf numFmtId="0" fontId="3" fillId="0" borderId="17" xfId="1" applyBorder="1" applyAlignment="1" applyProtection="1"/>
    <xf numFmtId="0" fontId="10" fillId="0" borderId="0" xfId="0" applyFont="1" applyAlignment="1">
      <alignment horizontal="center" vertical="center"/>
    </xf>
    <xf numFmtId="0" fontId="0" fillId="0" borderId="0" xfId="0" applyAlignment="1">
      <alignment horizontal="center" vertical="center"/>
    </xf>
    <xf numFmtId="0" fontId="0" fillId="2" borderId="17" xfId="0" applyFill="1" applyBorder="1" applyAlignment="1">
      <alignment vertical="top" wrapText="1"/>
    </xf>
    <xf numFmtId="0" fontId="0" fillId="2" borderId="17" xfId="0" applyFill="1" applyBorder="1" applyAlignment="1">
      <alignment horizontal="center" vertical="center"/>
    </xf>
    <xf numFmtId="0" fontId="39" fillId="25" borderId="17" xfId="6" applyBorder="1" applyAlignment="1">
      <alignment horizontal="left" vertical="top"/>
    </xf>
    <xf numFmtId="0" fontId="1" fillId="0" borderId="17" xfId="7" applyBorder="1" applyAlignment="1">
      <alignment horizontal="left" vertical="top"/>
    </xf>
    <xf numFmtId="0" fontId="1" fillId="0" borderId="17" xfId="7" applyBorder="1" applyAlignment="1">
      <alignment horizontal="center" vertical="top"/>
    </xf>
    <xf numFmtId="0" fontId="1" fillId="0" borderId="17" xfId="7" applyBorder="1" applyAlignment="1">
      <alignment horizontal="center"/>
    </xf>
    <xf numFmtId="0" fontId="1" fillId="0" borderId="17" xfId="7" applyBorder="1"/>
    <xf numFmtId="0" fontId="38" fillId="24" borderId="17" xfId="5" applyBorder="1" applyAlignment="1">
      <alignment horizontal="left" vertical="top"/>
    </xf>
    <xf numFmtId="0" fontId="40" fillId="0" borderId="0" xfId="7" applyFont="1" applyAlignment="1">
      <alignment horizontal="left" vertical="top"/>
    </xf>
    <xf numFmtId="0" fontId="1" fillId="0" borderId="17" xfId="7" applyBorder="1" applyAlignment="1">
      <alignment horizontal="left" vertical="top" wrapText="1"/>
    </xf>
    <xf numFmtId="164" fontId="0" fillId="0" borderId="0" xfId="0" applyNumberFormat="1" applyAlignment="1">
      <alignment horizontal="center" vertical="center"/>
    </xf>
    <xf numFmtId="0" fontId="41" fillId="24" borderId="17" xfId="5" applyFont="1" applyBorder="1" applyAlignment="1">
      <alignment horizontal="left" vertical="top" wrapText="1"/>
    </xf>
    <xf numFmtId="0" fontId="40" fillId="0" borderId="0" xfId="0" applyFont="1" applyAlignment="1">
      <alignment horizontal="left" vertical="top"/>
    </xf>
    <xf numFmtId="0" fontId="42" fillId="0" borderId="0" xfId="0" applyFont="1"/>
    <xf numFmtId="164" fontId="42" fillId="0" borderId="0" xfId="0" applyNumberFormat="1" applyFont="1" applyAlignment="1">
      <alignment horizontal="center" vertical="center"/>
    </xf>
    <xf numFmtId="0" fontId="19" fillId="0" borderId="0" xfId="0" quotePrefix="1" applyFont="1"/>
    <xf numFmtId="0" fontId="0" fillId="2" borderId="0" xfId="0" applyFill="1" applyAlignment="1">
      <alignment horizontal="center" vertical="top" wrapText="1"/>
    </xf>
    <xf numFmtId="0" fontId="43" fillId="0" borderId="0" xfId="0" applyFont="1" applyAlignment="1">
      <alignment horizontal="center" vertical="top" wrapText="1"/>
    </xf>
    <xf numFmtId="0" fontId="44" fillId="0" borderId="0" xfId="0" applyFont="1" applyAlignment="1">
      <alignment horizontal="left" vertical="top" wrapText="1"/>
    </xf>
    <xf numFmtId="0" fontId="44" fillId="0" borderId="0" xfId="0" applyFont="1" applyAlignment="1">
      <alignment horizontal="left" vertical="top"/>
    </xf>
    <xf numFmtId="0" fontId="45" fillId="0" borderId="0" xfId="0" applyFont="1" applyAlignment="1">
      <alignment horizontal="center" vertical="center"/>
    </xf>
    <xf numFmtId="0" fontId="40" fillId="0" borderId="0" xfId="3" applyFont="1" applyAlignment="1">
      <alignment horizontal="left" vertical="top"/>
    </xf>
    <xf numFmtId="0" fontId="40" fillId="0" borderId="0" xfId="3" applyFont="1" applyAlignment="1">
      <alignment horizontal="left" vertical="top" wrapText="1"/>
    </xf>
    <xf numFmtId="0" fontId="44" fillId="5" borderId="0" xfId="0" applyFont="1" applyFill="1" applyAlignment="1">
      <alignment horizontal="center" vertical="center" wrapText="1"/>
    </xf>
    <xf numFmtId="0" fontId="44" fillId="5" borderId="0" xfId="0" applyFont="1" applyFill="1" applyAlignment="1">
      <alignment horizontal="right" vertical="center" wrapText="1"/>
    </xf>
    <xf numFmtId="0" fontId="44" fillId="5" borderId="0" xfId="0" applyFont="1" applyFill="1" applyAlignment="1">
      <alignment horizontal="left" vertical="center" wrapText="1"/>
    </xf>
    <xf numFmtId="164" fontId="40" fillId="0" borderId="0" xfId="3" applyNumberFormat="1" applyFont="1" applyAlignment="1">
      <alignment horizontal="right" vertical="top"/>
    </xf>
    <xf numFmtId="164" fontId="44" fillId="0" borderId="0" xfId="0" applyNumberFormat="1" applyFont="1" applyAlignment="1">
      <alignment horizontal="right" vertical="center"/>
    </xf>
    <xf numFmtId="0" fontId="46" fillId="0" borderId="0" xfId="1" applyFont="1" applyAlignment="1" applyProtection="1">
      <alignment horizontal="left" vertical="top" wrapText="1"/>
    </xf>
    <xf numFmtId="0" fontId="40" fillId="2" borderId="0" xfId="3" applyFont="1" applyFill="1" applyAlignment="1">
      <alignment horizontal="left" vertical="top"/>
    </xf>
    <xf numFmtId="0" fontId="46" fillId="0" borderId="0" xfId="1" applyFont="1" applyAlignment="1" applyProtection="1">
      <alignment horizontal="left" vertical="top"/>
    </xf>
    <xf numFmtId="0" fontId="47" fillId="0" borderId="0" xfId="3" applyFont="1" applyAlignment="1">
      <alignment horizontal="left" vertical="top"/>
    </xf>
    <xf numFmtId="0" fontId="47" fillId="0" borderId="0" xfId="3" applyFont="1" applyAlignment="1">
      <alignment horizontal="left" vertical="top" wrapText="1"/>
    </xf>
    <xf numFmtId="0" fontId="48" fillId="0" borderId="0" xfId="0" applyFont="1" applyAlignment="1">
      <alignment horizontal="left" vertical="top"/>
    </xf>
    <xf numFmtId="0" fontId="0" fillId="3" borderId="17" xfId="0" applyFill="1" applyBorder="1" applyAlignment="1">
      <alignment horizontal="center"/>
    </xf>
    <xf numFmtId="0" fontId="10" fillId="0" borderId="19" xfId="0" applyFont="1" applyBorder="1" applyAlignment="1">
      <alignment horizontal="center" vertical="center" wrapText="1"/>
    </xf>
    <xf numFmtId="164" fontId="10" fillId="0" borderId="19" xfId="0" applyNumberFormat="1" applyFont="1" applyBorder="1" applyAlignment="1">
      <alignment horizontal="center" vertical="center" wrapText="1"/>
    </xf>
    <xf numFmtId="164" fontId="10" fillId="0" borderId="19" xfId="0" applyNumberFormat="1" applyFont="1" applyBorder="1" applyAlignment="1">
      <alignment horizontal="center" vertical="center"/>
    </xf>
    <xf numFmtId="0" fontId="10" fillId="0" borderId="17" xfId="0" applyFont="1" applyBorder="1" applyAlignment="1">
      <alignment horizontal="center" vertical="center"/>
    </xf>
    <xf numFmtId="164" fontId="0" fillId="0" borderId="17" xfId="0" applyNumberFormat="1" applyBorder="1" applyAlignment="1">
      <alignment horizontal="center" vertical="top"/>
    </xf>
    <xf numFmtId="0" fontId="10" fillId="0" borderId="17" xfId="0" applyFont="1" applyBorder="1" applyAlignment="1">
      <alignment horizontal="center" vertical="top"/>
    </xf>
    <xf numFmtId="2" fontId="0" fillId="0" borderId="17" xfId="0" applyNumberFormat="1" applyBorder="1" applyAlignment="1">
      <alignment horizontal="center" vertical="top"/>
    </xf>
    <xf numFmtId="0" fontId="10" fillId="0" borderId="19" xfId="0" applyFont="1" applyBorder="1" applyAlignment="1">
      <alignment vertical="center" wrapText="1"/>
    </xf>
    <xf numFmtId="0" fontId="36" fillId="0" borderId="19" xfId="0" applyFont="1" applyBorder="1" applyAlignment="1">
      <alignment horizontal="center" vertical="center" wrapText="1"/>
    </xf>
    <xf numFmtId="14" fontId="36" fillId="0" borderId="19" xfId="0" applyNumberFormat="1" applyFont="1" applyBorder="1" applyAlignment="1">
      <alignment horizontal="center" vertical="center" wrapText="1"/>
    </xf>
    <xf numFmtId="0" fontId="10" fillId="0" borderId="17" xfId="0" applyFont="1" applyBorder="1" applyAlignment="1">
      <alignment horizontal="center" vertical="center" wrapText="1"/>
    </xf>
    <xf numFmtId="0" fontId="0" fillId="0" borderId="17" xfId="0" applyBorder="1" applyAlignment="1">
      <alignment horizontal="center" vertical="top" wrapText="1"/>
    </xf>
    <xf numFmtId="0" fontId="10" fillId="0" borderId="17" xfId="0" applyFont="1" applyBorder="1" applyAlignment="1">
      <alignment horizontal="center" vertical="top" wrapText="1"/>
    </xf>
    <xf numFmtId="0" fontId="37" fillId="0" borderId="0" xfId="0" applyFont="1"/>
    <xf numFmtId="0" fontId="44" fillId="0" borderId="0" xfId="0" applyFont="1" applyAlignment="1" applyProtection="1">
      <alignment horizontal="left" vertical="top" wrapText="1"/>
      <protection locked="0"/>
    </xf>
    <xf numFmtId="0" fontId="50" fillId="0" borderId="0" xfId="3" applyFont="1" applyAlignment="1" applyProtection="1">
      <alignment horizontal="left" vertical="top" wrapText="1"/>
      <protection locked="0"/>
    </xf>
    <xf numFmtId="2" fontId="44" fillId="0" borderId="0" xfId="0" applyNumberFormat="1" applyFont="1" applyAlignment="1" applyProtection="1">
      <alignment horizontal="left" vertical="top" wrapText="1"/>
      <protection locked="0"/>
    </xf>
    <xf numFmtId="0" fontId="46" fillId="0" borderId="0" xfId="1" applyFont="1" applyAlignment="1" applyProtection="1">
      <alignment horizontal="left" vertical="top" wrapText="1"/>
      <protection locked="0"/>
    </xf>
    <xf numFmtId="0" fontId="50" fillId="0" borderId="0" xfId="3" applyFont="1" applyAlignment="1">
      <alignment horizontal="left" vertical="top" wrapText="1"/>
    </xf>
    <xf numFmtId="0" fontId="44" fillId="2" borderId="17" xfId="0" applyFont="1" applyFill="1" applyBorder="1" applyAlignment="1" applyProtection="1">
      <alignment horizontal="left" vertical="top" wrapText="1"/>
      <protection locked="0"/>
    </xf>
    <xf numFmtId="0" fontId="44" fillId="0" borderId="17" xfId="0" applyFont="1" applyBorder="1" applyAlignment="1">
      <alignment horizontal="left" vertical="top" wrapText="1"/>
    </xf>
    <xf numFmtId="0" fontId="51" fillId="0" borderId="0" xfId="0" applyFont="1" applyAlignment="1">
      <alignment horizontal="left" vertical="top" wrapText="1"/>
    </xf>
    <xf numFmtId="0" fontId="0" fillId="0" borderId="17" xfId="0" applyBorder="1"/>
    <xf numFmtId="0" fontId="0" fillId="0" borderId="17" xfId="0" applyBorder="1" applyAlignment="1">
      <alignment horizontal="center"/>
    </xf>
    <xf numFmtId="0" fontId="0" fillId="0" borderId="22" xfId="0" applyBorder="1" applyAlignment="1">
      <alignment horizontal="center"/>
    </xf>
    <xf numFmtId="164" fontId="0" fillId="22" borderId="22" xfId="0" applyNumberFormat="1" applyFill="1" applyBorder="1" applyAlignment="1">
      <alignment horizontal="center"/>
    </xf>
    <xf numFmtId="0" fontId="0" fillId="23" borderId="17" xfId="0" applyFill="1" applyBorder="1"/>
    <xf numFmtId="0" fontId="0" fillId="21" borderId="17" xfId="0" applyFill="1" applyBorder="1" applyProtection="1">
      <protection locked="0"/>
    </xf>
    <xf numFmtId="0" fontId="0" fillId="6" borderId="19" xfId="0" applyFill="1" applyBorder="1" applyAlignment="1">
      <alignment horizontal="left" vertical="top"/>
    </xf>
    <xf numFmtId="0" fontId="0" fillId="0" borderId="19" xfId="0" applyBorder="1" applyAlignment="1">
      <alignment vertical="top"/>
    </xf>
    <xf numFmtId="0" fontId="0" fillId="11" borderId="17" xfId="0" applyFill="1" applyBorder="1" applyAlignment="1">
      <alignment horizontal="left" vertical="top"/>
    </xf>
    <xf numFmtId="0" fontId="0" fillId="0" borderId="17" xfId="0" applyBorder="1" applyAlignment="1">
      <alignment vertical="top"/>
    </xf>
    <xf numFmtId="0" fontId="0" fillId="15" borderId="17" xfId="0" applyFill="1" applyBorder="1" applyAlignment="1">
      <alignment horizontal="left"/>
    </xf>
    <xf numFmtId="0" fontId="0" fillId="0" borderId="0" xfId="0" quotePrefix="1" applyAlignment="1">
      <alignment vertical="top" wrapText="1"/>
    </xf>
    <xf numFmtId="0" fontId="0" fillId="0" borderId="0" xfId="0" quotePrefix="1" applyAlignment="1">
      <alignment vertical="top"/>
    </xf>
    <xf numFmtId="164" fontId="28" fillId="0" borderId="0" xfId="0" applyNumberFormat="1" applyFont="1" applyAlignment="1">
      <alignment horizontal="center" vertical="top"/>
    </xf>
    <xf numFmtId="14" fontId="0" fillId="0" borderId="0" xfId="0" applyNumberFormat="1" applyAlignment="1">
      <alignment horizontal="center" vertical="top"/>
    </xf>
    <xf numFmtId="164" fontId="10" fillId="0" borderId="0" xfId="0" applyNumberFormat="1" applyFont="1" applyAlignment="1">
      <alignment horizontal="center" vertical="top"/>
    </xf>
    <xf numFmtId="0" fontId="0" fillId="14" borderId="0" xfId="0" applyFill="1" applyAlignment="1">
      <alignment horizontal="left"/>
    </xf>
    <xf numFmtId="0" fontId="42" fillId="0" borderId="0" xfId="0" quotePrefix="1" applyFont="1"/>
    <xf numFmtId="9" fontId="16" fillId="15" borderId="17" xfId="0" applyNumberFormat="1" applyFont="1" applyFill="1" applyBorder="1" applyAlignment="1" applyProtection="1">
      <alignment horizontal="center"/>
      <protection locked="0"/>
    </xf>
    <xf numFmtId="0" fontId="29" fillId="6" borderId="21" xfId="0" applyFont="1" applyFill="1" applyBorder="1" applyAlignment="1">
      <alignment horizontal="left"/>
    </xf>
    <xf numFmtId="0" fontId="29" fillId="6" borderId="35" xfId="0" applyFont="1" applyFill="1" applyBorder="1" applyAlignment="1">
      <alignment horizontal="left"/>
    </xf>
    <xf numFmtId="0" fontId="29" fillId="6" borderId="22" xfId="0" applyFont="1" applyFill="1" applyBorder="1" applyAlignment="1">
      <alignment horizontal="left"/>
    </xf>
    <xf numFmtId="1" fontId="0" fillId="8" borderId="0" xfId="0" applyNumberFormat="1" applyFill="1" applyAlignment="1">
      <alignment horizontal="center"/>
    </xf>
    <xf numFmtId="1" fontId="0" fillId="12" borderId="0" xfId="0" applyNumberFormat="1" applyFill="1" applyAlignment="1">
      <alignment horizontal="center"/>
    </xf>
    <xf numFmtId="1" fontId="0" fillId="8" borderId="0" xfId="0" applyNumberFormat="1" applyFill="1" applyAlignment="1">
      <alignment horizontal="left"/>
    </xf>
    <xf numFmtId="0" fontId="8" fillId="7" borderId="0" xfId="0" applyFont="1" applyFill="1" applyAlignment="1">
      <alignment horizontal="center"/>
    </xf>
    <xf numFmtId="0" fontId="10" fillId="12" borderId="0" xfId="0" applyFont="1" applyFill="1" applyAlignment="1">
      <alignment horizontal="right"/>
    </xf>
    <xf numFmtId="0" fontId="10" fillId="8" borderId="0" xfId="0" applyFont="1" applyFill="1" applyAlignment="1">
      <alignment horizontal="right"/>
    </xf>
    <xf numFmtId="0" fontId="10" fillId="8" borderId="0" xfId="0" applyFont="1" applyFill="1" applyAlignment="1">
      <alignment horizontal="left"/>
    </xf>
    <xf numFmtId="0" fontId="10" fillId="26" borderId="15" xfId="0" applyFont="1" applyFill="1" applyBorder="1" applyAlignment="1" applyProtection="1">
      <alignment horizontal="left"/>
      <protection locked="0"/>
    </xf>
    <xf numFmtId="1" fontId="0" fillId="26" borderId="41" xfId="0" applyNumberFormat="1" applyFill="1" applyBorder="1" applyAlignment="1" applyProtection="1">
      <alignment horizontal="center"/>
      <protection locked="0"/>
    </xf>
    <xf numFmtId="1" fontId="0" fillId="26" borderId="15" xfId="0" applyNumberFormat="1" applyFill="1" applyBorder="1" applyAlignment="1" applyProtection="1">
      <alignment horizontal="center"/>
      <protection locked="0"/>
    </xf>
    <xf numFmtId="1" fontId="10" fillId="8" borderId="5" xfId="0" applyNumberFormat="1" applyFont="1" applyFill="1" applyBorder="1" applyAlignment="1">
      <alignment horizontal="center"/>
    </xf>
    <xf numFmtId="1" fontId="10" fillId="8" borderId="2" xfId="0" applyNumberFormat="1" applyFont="1" applyFill="1" applyBorder="1" applyAlignment="1">
      <alignment horizontal="center"/>
    </xf>
    <xf numFmtId="0" fontId="17" fillId="13" borderId="0" xfId="0" applyFont="1" applyFill="1" applyAlignment="1">
      <alignment horizontal="center"/>
    </xf>
    <xf numFmtId="0" fontId="0" fillId="12" borderId="0" xfId="0" applyFill="1" applyAlignment="1" applyProtection="1">
      <alignment horizontal="left"/>
      <protection locked="0"/>
    </xf>
    <xf numFmtId="1" fontId="10" fillId="8" borderId="5" xfId="0" applyNumberFormat="1" applyFont="1" applyFill="1" applyBorder="1" applyAlignment="1" applyProtection="1">
      <alignment horizontal="left"/>
      <protection locked="0"/>
    </xf>
    <xf numFmtId="1" fontId="10" fillId="8" borderId="6" xfId="0" applyNumberFormat="1" applyFont="1" applyFill="1" applyBorder="1" applyAlignment="1" applyProtection="1">
      <alignment horizontal="left"/>
      <protection locked="0"/>
    </xf>
    <xf numFmtId="1" fontId="10" fillId="8" borderId="2" xfId="0" applyNumberFormat="1" applyFont="1" applyFill="1" applyBorder="1" applyAlignment="1" applyProtection="1">
      <alignment horizontal="left"/>
      <protection locked="0"/>
    </xf>
    <xf numFmtId="0" fontId="0" fillId="3" borderId="17" xfId="0" applyFill="1" applyBorder="1" applyAlignment="1">
      <alignment horizontal="center"/>
    </xf>
    <xf numFmtId="0" fontId="0" fillId="26" borderId="41" xfId="0" applyFill="1" applyBorder="1" applyAlignment="1" applyProtection="1">
      <alignment horizontal="left"/>
      <protection locked="0"/>
    </xf>
    <xf numFmtId="0" fontId="0" fillId="26" borderId="15" xfId="0" applyFill="1" applyBorder="1" applyAlignment="1" applyProtection="1">
      <alignment horizontal="left"/>
      <protection locked="0"/>
    </xf>
    <xf numFmtId="0" fontId="0" fillId="0" borderId="12" xfId="0" applyBorder="1" applyAlignment="1" applyProtection="1">
      <alignment horizontal="left"/>
      <protection locked="0"/>
    </xf>
    <xf numFmtId="1" fontId="0" fillId="8" borderId="5" xfId="0" applyNumberFormat="1" applyFill="1" applyBorder="1" applyAlignment="1">
      <alignment horizontal="center"/>
    </xf>
    <xf numFmtId="1" fontId="0" fillId="8" borderId="2" xfId="0" applyNumberFormat="1" applyFill="1" applyBorder="1" applyAlignment="1">
      <alignment horizontal="center"/>
    </xf>
    <xf numFmtId="164" fontId="0" fillId="3" borderId="17" xfId="0" applyNumberFormat="1" applyFill="1" applyBorder="1" applyAlignment="1">
      <alignment horizontal="center"/>
    </xf>
    <xf numFmtId="0" fontId="10" fillId="12" borderId="0" xfId="0" applyFont="1" applyFill="1" applyAlignment="1">
      <alignment horizontal="left"/>
    </xf>
    <xf numFmtId="1" fontId="0" fillId="12" borderId="0" xfId="0" applyNumberFormat="1" applyFill="1" applyAlignment="1">
      <alignment horizontal="left"/>
    </xf>
    <xf numFmtId="164" fontId="0" fillId="8" borderId="0" xfId="0" applyNumberFormat="1" applyFill="1" applyAlignment="1">
      <alignment horizontal="center"/>
    </xf>
    <xf numFmtId="0" fontId="0" fillId="6" borderId="17" xfId="0" applyFill="1" applyBorder="1" applyAlignment="1">
      <alignment horizontal="left"/>
    </xf>
    <xf numFmtId="9" fontId="0" fillId="3" borderId="17" xfId="0" applyNumberFormat="1" applyFill="1" applyBorder="1" applyAlignment="1">
      <alignment horizontal="center"/>
    </xf>
    <xf numFmtId="0" fontId="0" fillId="15" borderId="17" xfId="0" applyFill="1" applyBorder="1" applyAlignment="1" applyProtection="1">
      <alignment horizontal="center"/>
      <protection locked="0"/>
    </xf>
    <xf numFmtId="1" fontId="0" fillId="0" borderId="0" xfId="0" applyNumberFormat="1" applyAlignment="1">
      <alignment horizontal="center"/>
    </xf>
    <xf numFmtId="0" fontId="10" fillId="8" borderId="11" xfId="0" applyFont="1" applyFill="1" applyBorder="1" applyAlignment="1">
      <alignment horizontal="center"/>
    </xf>
    <xf numFmtId="0" fontId="10" fillId="8" borderId="12" xfId="0" applyFont="1" applyFill="1" applyBorder="1" applyAlignment="1">
      <alignment horizontal="center"/>
    </xf>
    <xf numFmtId="0" fontId="10" fillId="8" borderId="13" xfId="0" applyFon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0" fillId="8" borderId="16" xfId="0" applyFill="1" applyBorder="1" applyAlignment="1">
      <alignment horizontal="center"/>
    </xf>
    <xf numFmtId="0" fontId="0" fillId="8" borderId="11" xfId="0" applyFill="1" applyBorder="1" applyAlignment="1">
      <alignment horizontal="left" vertical="center"/>
    </xf>
    <xf numFmtId="0" fontId="0" fillId="8" borderId="12" xfId="0" applyFill="1" applyBorder="1" applyAlignment="1">
      <alignment horizontal="left"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0" fillId="8" borderId="15" xfId="0" applyFill="1" applyBorder="1" applyAlignment="1">
      <alignment horizontal="left" vertical="center"/>
    </xf>
    <xf numFmtId="0" fontId="0" fillId="8" borderId="16" xfId="0" applyFill="1" applyBorder="1" applyAlignment="1">
      <alignment horizontal="left" vertical="center"/>
    </xf>
    <xf numFmtId="0" fontId="10" fillId="0" borderId="0" xfId="0" applyFont="1" applyAlignment="1">
      <alignment horizontal="left"/>
    </xf>
    <xf numFmtId="0" fontId="0" fillId="8" borderId="0" xfId="0" applyFill="1" applyAlignment="1">
      <alignment horizontal="left"/>
    </xf>
    <xf numFmtId="1" fontId="0" fillId="8" borderId="0" xfId="0" applyNumberFormat="1" applyFill="1" applyAlignment="1" applyProtection="1">
      <alignment horizontal="left"/>
      <protection locked="0"/>
    </xf>
    <xf numFmtId="164" fontId="0" fillId="12" borderId="0" xfId="0" applyNumberFormat="1" applyFill="1" applyAlignment="1">
      <alignment horizontal="left"/>
    </xf>
    <xf numFmtId="0" fontId="15" fillId="0" borderId="0" xfId="0" applyFont="1" applyAlignment="1">
      <alignment horizontal="left"/>
    </xf>
    <xf numFmtId="0" fontId="10" fillId="8" borderId="14" xfId="0" applyFont="1" applyFill="1" applyBorder="1" applyAlignment="1">
      <alignment horizontal="center"/>
    </xf>
    <xf numFmtId="0" fontId="10" fillId="8" borderId="16" xfId="0" applyFont="1" applyFill="1" applyBorder="1" applyAlignment="1">
      <alignment horizont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3" xfId="0" applyFont="1" applyFill="1" applyBorder="1" applyAlignment="1">
      <alignment horizontal="center" vertical="center"/>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10" fillId="8" borderId="16" xfId="0" applyFont="1" applyFill="1" applyBorder="1" applyAlignment="1">
      <alignment horizontal="center" vertical="center"/>
    </xf>
    <xf numFmtId="0" fontId="0" fillId="0" borderId="0" xfId="0" applyAlignment="1" applyProtection="1">
      <alignment horizontal="left"/>
      <protection locked="0"/>
    </xf>
    <xf numFmtId="164" fontId="0" fillId="8" borderId="0" xfId="0" applyNumberFormat="1" applyFill="1" applyAlignment="1">
      <alignment horizontal="left"/>
    </xf>
    <xf numFmtId="0" fontId="0" fillId="11" borderId="17" xfId="0" quotePrefix="1" applyFill="1" applyBorder="1" applyAlignment="1" applyProtection="1">
      <alignment horizontal="center"/>
      <protection locked="0"/>
    </xf>
    <xf numFmtId="0" fontId="0" fillId="11" borderId="17" xfId="0" applyFill="1" applyBorder="1" applyAlignment="1" applyProtection="1">
      <alignment horizontal="center"/>
      <protection locked="0"/>
    </xf>
    <xf numFmtId="0" fontId="8" fillId="0" borderId="0" xfId="0" applyFont="1" applyAlignment="1">
      <alignment horizontal="left"/>
    </xf>
    <xf numFmtId="0" fontId="0" fillId="8" borderId="0" xfId="0" applyFill="1" applyAlignment="1" applyProtection="1">
      <alignment horizontal="left"/>
      <protection locked="0"/>
    </xf>
    <xf numFmtId="164" fontId="0" fillId="11" borderId="19" xfId="0" applyNumberFormat="1" applyFill="1" applyBorder="1" applyAlignment="1" applyProtection="1">
      <alignment horizontal="center"/>
      <protection locked="0"/>
    </xf>
    <xf numFmtId="0" fontId="0" fillId="18" borderId="0" xfId="0" applyFill="1" applyAlignment="1">
      <alignment horizontal="left"/>
    </xf>
    <xf numFmtId="0" fontId="0" fillId="18" borderId="0" xfId="0" applyFill="1" applyAlignment="1">
      <alignment horizontal="left" vertical="center"/>
    </xf>
    <xf numFmtId="0" fontId="0" fillId="11" borderId="0" xfId="0" applyFill="1" applyAlignment="1" applyProtection="1">
      <alignment horizontal="center"/>
      <protection locked="0"/>
    </xf>
    <xf numFmtId="1" fontId="0" fillId="3" borderId="17" xfId="0" applyNumberFormat="1" applyFill="1" applyBorder="1" applyAlignment="1">
      <alignment horizontal="center"/>
    </xf>
    <xf numFmtId="164" fontId="0" fillId="0" borderId="0" xfId="0" applyNumberFormat="1" applyAlignment="1">
      <alignment horizontal="left"/>
    </xf>
    <xf numFmtId="1" fontId="10" fillId="8" borderId="0" xfId="0" applyNumberFormat="1" applyFont="1" applyFill="1" applyAlignment="1" applyProtection="1">
      <alignment horizontal="center"/>
      <protection locked="0"/>
    </xf>
    <xf numFmtId="0" fontId="0" fillId="4" borderId="5" xfId="0" applyFill="1" applyBorder="1" applyAlignment="1">
      <alignment horizontal="center"/>
    </xf>
    <xf numFmtId="0" fontId="0" fillId="4" borderId="6" xfId="0" applyFill="1" applyBorder="1" applyAlignment="1">
      <alignment horizontal="center"/>
    </xf>
    <xf numFmtId="0" fontId="0" fillId="4" borderId="2" xfId="0" applyFill="1" applyBorder="1" applyAlignment="1">
      <alignment horizontal="center"/>
    </xf>
    <xf numFmtId="0" fontId="3" fillId="15" borderId="21" xfId="1" applyFill="1" applyBorder="1" applyAlignment="1" applyProtection="1">
      <alignment horizontal="center"/>
      <protection locked="0"/>
    </xf>
    <xf numFmtId="0" fontId="0" fillId="15" borderId="35" xfId="0" applyFill="1" applyBorder="1" applyAlignment="1" applyProtection="1">
      <alignment horizontal="center"/>
      <protection locked="0"/>
    </xf>
    <xf numFmtId="0" fontId="0" fillId="15" borderId="22" xfId="0" applyFill="1" applyBorder="1" applyAlignment="1" applyProtection="1">
      <alignment horizontal="center"/>
      <protection locked="0"/>
    </xf>
    <xf numFmtId="1" fontId="0" fillId="12" borderId="40" xfId="0" applyNumberFormat="1" applyFill="1" applyBorder="1" applyAlignment="1">
      <alignment horizontal="center"/>
    </xf>
    <xf numFmtId="0" fontId="10" fillId="0" borderId="12" xfId="0" applyFont="1" applyBorder="1" applyAlignment="1">
      <alignment horizontal="right"/>
    </xf>
    <xf numFmtId="0" fontId="10" fillId="0" borderId="39" xfId="0" applyFont="1" applyBorder="1" applyAlignment="1">
      <alignment horizontal="right"/>
    </xf>
    <xf numFmtId="0" fontId="21" fillId="6" borderId="17" xfId="0" applyFont="1" applyFill="1" applyBorder="1" applyAlignment="1">
      <alignment horizontal="left"/>
    </xf>
    <xf numFmtId="0" fontId="21" fillId="11" borderId="17" xfId="0" applyFont="1" applyFill="1" applyBorder="1" applyAlignment="1" applyProtection="1">
      <alignment horizontal="center"/>
      <protection locked="0"/>
    </xf>
    <xf numFmtId="0" fontId="0" fillId="0" borderId="0" xfId="0" applyAlignment="1">
      <alignment horizontal="left"/>
    </xf>
    <xf numFmtId="0" fontId="0" fillId="0" borderId="9" xfId="0" applyBorder="1" applyAlignment="1">
      <alignment horizontal="left"/>
    </xf>
    <xf numFmtId="0" fontId="0" fillId="13" borderId="5" xfId="0" applyFill="1" applyBorder="1" applyAlignment="1">
      <alignment horizontal="center"/>
    </xf>
    <xf numFmtId="0" fontId="0" fillId="13" borderId="6" xfId="0" applyFill="1" applyBorder="1" applyAlignment="1">
      <alignment horizontal="center"/>
    </xf>
    <xf numFmtId="0" fontId="0" fillId="13" borderId="2" xfId="0" applyFill="1" applyBorder="1" applyAlignment="1">
      <alignment horizontal="center"/>
    </xf>
    <xf numFmtId="0" fontId="10" fillId="8" borderId="5" xfId="0" applyFont="1" applyFill="1" applyBorder="1" applyAlignment="1">
      <alignment horizontal="left"/>
    </xf>
    <xf numFmtId="0" fontId="10" fillId="8" borderId="6" xfId="0" applyFont="1" applyFill="1" applyBorder="1" applyAlignment="1">
      <alignment horizontal="left"/>
    </xf>
    <xf numFmtId="0" fontId="10" fillId="8" borderId="2" xfId="0" applyFont="1" applyFill="1" applyBorder="1" applyAlignment="1">
      <alignment horizontal="left"/>
    </xf>
    <xf numFmtId="1" fontId="10" fillId="8" borderId="0" xfId="0" applyNumberFormat="1" applyFont="1" applyFill="1" applyAlignment="1">
      <alignment horizontal="center"/>
    </xf>
    <xf numFmtId="0" fontId="25" fillId="0" borderId="5" xfId="0" applyFont="1" applyBorder="1" applyAlignment="1">
      <alignment horizontal="center"/>
    </xf>
    <xf numFmtId="0" fontId="25" fillId="0" borderId="6" xfId="0" applyFont="1" applyBorder="1" applyAlignment="1">
      <alignment horizontal="center"/>
    </xf>
    <xf numFmtId="0" fontId="25" fillId="0" borderId="2" xfId="0" applyFont="1" applyBorder="1" applyAlignment="1">
      <alignment horizontal="center"/>
    </xf>
    <xf numFmtId="0" fontId="10" fillId="0" borderId="5" xfId="0" applyFont="1" applyBorder="1" applyAlignment="1">
      <alignment horizontal="center" vertical="top" wrapText="1"/>
    </xf>
    <xf numFmtId="0" fontId="10" fillId="0" borderId="6" xfId="0" applyFont="1" applyBorder="1" applyAlignment="1">
      <alignment horizontal="center" vertical="top"/>
    </xf>
    <xf numFmtId="0" fontId="10" fillId="0" borderId="2" xfId="0" applyFont="1" applyBorder="1" applyAlignment="1">
      <alignment horizontal="center" vertical="top"/>
    </xf>
    <xf numFmtId="0" fontId="10" fillId="0" borderId="5" xfId="0" applyFont="1" applyBorder="1" applyAlignment="1">
      <alignment horizontal="center" vertical="top"/>
    </xf>
    <xf numFmtId="0" fontId="16" fillId="3" borderId="17" xfId="0" applyFont="1" applyFill="1" applyBorder="1" applyAlignment="1">
      <alignment horizontal="center"/>
    </xf>
    <xf numFmtId="0" fontId="17" fillId="6" borderId="17" xfId="0" applyFont="1" applyFill="1" applyBorder="1" applyAlignment="1">
      <alignment horizontal="left"/>
    </xf>
    <xf numFmtId="0" fontId="16" fillId="0" borderId="23" xfId="0" applyFont="1" applyBorder="1" applyAlignment="1">
      <alignment horizontal="left" vertical="top" wrapText="1"/>
    </xf>
    <xf numFmtId="0" fontId="16" fillId="0" borderId="0" xfId="0" applyFont="1" applyAlignment="1">
      <alignment horizontal="left" vertical="top" wrapText="1"/>
    </xf>
    <xf numFmtId="0" fontId="17" fillId="13" borderId="5" xfId="0" applyFont="1" applyFill="1" applyBorder="1" applyAlignment="1">
      <alignment horizontal="center"/>
    </xf>
    <xf numFmtId="0" fontId="17" fillId="13" borderId="12" xfId="0" applyFont="1" applyFill="1" applyBorder="1" applyAlignment="1">
      <alignment horizontal="center"/>
    </xf>
    <xf numFmtId="0" fontId="17" fillId="13" borderId="6" xfId="0" applyFont="1" applyFill="1" applyBorder="1" applyAlignment="1">
      <alignment horizontal="center"/>
    </xf>
    <xf numFmtId="0" fontId="17" fillId="13" borderId="2" xfId="0" applyFont="1" applyFill="1" applyBorder="1" applyAlignment="1">
      <alignment horizontal="center"/>
    </xf>
    <xf numFmtId="0" fontId="24" fillId="0" borderId="17" xfId="0" applyFont="1" applyBorder="1" applyAlignment="1">
      <alignment horizontal="left"/>
    </xf>
    <xf numFmtId="0" fontId="16" fillId="0" borderId="0" xfId="0" applyFont="1" applyAlignment="1">
      <alignment horizontal="left" wrapText="1"/>
    </xf>
    <xf numFmtId="0" fontId="16" fillId="0" borderId="17" xfId="0" applyFont="1" applyBorder="1" applyAlignment="1">
      <alignment horizontal="left" vertical="top" wrapText="1"/>
    </xf>
    <xf numFmtId="0" fontId="17" fillId="15" borderId="5" xfId="0" applyFont="1" applyFill="1" applyBorder="1" applyAlignment="1">
      <alignment horizontal="center"/>
    </xf>
    <xf numFmtId="0" fontId="17" fillId="15" borderId="6" xfId="0" applyFont="1" applyFill="1" applyBorder="1" applyAlignment="1">
      <alignment horizontal="center"/>
    </xf>
    <xf numFmtId="0" fontId="17" fillId="15" borderId="2" xfId="0" applyFont="1" applyFill="1" applyBorder="1" applyAlignment="1">
      <alignment horizontal="center"/>
    </xf>
    <xf numFmtId="1" fontId="17" fillId="0" borderId="5" xfId="0" applyNumberFormat="1" applyFont="1" applyBorder="1" applyAlignment="1">
      <alignment horizontal="center"/>
    </xf>
    <xf numFmtId="1" fontId="17" fillId="0" borderId="2" xfId="0" applyNumberFormat="1" applyFont="1" applyBorder="1" applyAlignment="1">
      <alignment horizontal="center"/>
    </xf>
    <xf numFmtId="0" fontId="17" fillId="13" borderId="18" xfId="0" applyFont="1" applyFill="1" applyBorder="1" applyAlignment="1">
      <alignment horizontal="center"/>
    </xf>
    <xf numFmtId="0" fontId="9" fillId="0" borderId="17" xfId="2" applyFont="1" applyBorder="1" applyAlignment="1" applyProtection="1">
      <alignment horizontal="center"/>
      <protection locked="0"/>
    </xf>
    <xf numFmtId="0" fontId="0" fillId="0" borderId="17" xfId="0" applyBorder="1" applyAlignment="1">
      <alignment horizontal="center"/>
    </xf>
    <xf numFmtId="0" fontId="33" fillId="20" borderId="1" xfId="0" applyFont="1" applyFill="1" applyBorder="1" applyAlignment="1">
      <alignment horizontal="center"/>
    </xf>
    <xf numFmtId="1" fontId="0" fillId="21" borderId="17" xfId="0" applyNumberFormat="1" applyFill="1" applyBorder="1" applyAlignment="1">
      <alignment horizontal="left"/>
    </xf>
    <xf numFmtId="1" fontId="0" fillId="22" borderId="17" xfId="0" applyNumberFormat="1" applyFill="1" applyBorder="1" applyAlignment="1">
      <alignment horizontal="left"/>
    </xf>
    <xf numFmtId="0" fontId="0" fillId="23" borderId="17" xfId="0" applyFill="1" applyBorder="1" applyAlignment="1">
      <alignment horizontal="left"/>
    </xf>
    <xf numFmtId="0" fontId="7" fillId="0" borderId="5" xfId="0" applyFont="1" applyBorder="1" applyAlignment="1">
      <alignment horizontal="center" vertical="center"/>
    </xf>
    <xf numFmtId="0" fontId="7" fillId="0" borderId="2" xfId="0" applyFont="1" applyBorder="1" applyAlignment="1">
      <alignment horizontal="center" vertical="center"/>
    </xf>
    <xf numFmtId="0" fontId="0" fillId="0" borderId="5" xfId="0" quotePrefix="1" applyBorder="1" applyAlignment="1">
      <alignment horizontal="left" vertical="top" wrapText="1"/>
    </xf>
    <xf numFmtId="0" fontId="0" fillId="0" borderId="2" xfId="0" applyBorder="1" applyAlignment="1">
      <alignment horizontal="left" vertical="top"/>
    </xf>
    <xf numFmtId="0" fontId="7" fillId="0" borderId="5" xfId="0" applyFont="1" applyBorder="1" applyAlignment="1">
      <alignment horizontal="center"/>
    </xf>
    <xf numFmtId="0" fontId="0" fillId="0" borderId="2" xfId="0" applyBorder="1" applyAlignment="1">
      <alignment horizontal="center"/>
    </xf>
    <xf numFmtId="164" fontId="0" fillId="0" borderId="17" xfId="0" applyNumberFormat="1" applyBorder="1" applyAlignment="1">
      <alignment horizontal="left"/>
    </xf>
    <xf numFmtId="0" fontId="0" fillId="0" borderId="17" xfId="0" applyBorder="1" applyAlignment="1">
      <alignment horizontal="left" vertical="top" wrapText="1"/>
    </xf>
    <xf numFmtId="0" fontId="10" fillId="13" borderId="5" xfId="0" applyFont="1" applyFill="1" applyBorder="1" applyAlignment="1">
      <alignment horizontal="center" vertical="center" wrapText="1"/>
    </xf>
    <xf numFmtId="0" fontId="10" fillId="13" borderId="6" xfId="0" applyFont="1" applyFill="1" applyBorder="1" applyAlignment="1">
      <alignment horizontal="center" vertical="center"/>
    </xf>
    <xf numFmtId="0" fontId="10" fillId="13" borderId="2"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1" fontId="0" fillId="0" borderId="32" xfId="0" applyNumberFormat="1" applyBorder="1" applyAlignment="1">
      <alignment horizontal="center" vertical="center"/>
    </xf>
    <xf numFmtId="1" fontId="0" fillId="0" borderId="33" xfId="0" applyNumberFormat="1" applyBorder="1" applyAlignment="1">
      <alignment horizontal="center" vertical="center"/>
    </xf>
    <xf numFmtId="0" fontId="0" fillId="0" borderId="31" xfId="0" applyBorder="1" applyAlignment="1">
      <alignment horizontal="center" vertical="center"/>
    </xf>
    <xf numFmtId="0" fontId="24" fillId="0" borderId="0" xfId="0" applyFont="1" applyAlignment="1">
      <alignment horizontal="left" vertical="top" wrapText="1"/>
    </xf>
    <xf numFmtId="0" fontId="25" fillId="0" borderId="36" xfId="2" applyFont="1" applyBorder="1" applyAlignment="1">
      <alignment horizontal="center"/>
    </xf>
    <xf numFmtId="0" fontId="25" fillId="0" borderId="37" xfId="2" applyFont="1" applyBorder="1" applyAlignment="1">
      <alignment horizontal="center"/>
    </xf>
    <xf numFmtId="0" fontId="25" fillId="0" borderId="38" xfId="2" applyFont="1" applyBorder="1" applyAlignment="1">
      <alignment horizontal="center"/>
    </xf>
    <xf numFmtId="0" fontId="27" fillId="0" borderId="0" xfId="0" applyFont="1" applyAlignment="1">
      <alignment horizontal="left" vertical="top" wrapText="1"/>
    </xf>
    <xf numFmtId="0" fontId="26" fillId="0" borderId="5" xfId="0" applyFont="1" applyBorder="1" applyAlignment="1">
      <alignment horizontal="center"/>
    </xf>
    <xf numFmtId="0" fontId="26" fillId="0" borderId="2" xfId="0" applyFont="1" applyBorder="1" applyAlignment="1">
      <alignment horizontal="center"/>
    </xf>
    <xf numFmtId="0" fontId="25" fillId="0" borderId="7" xfId="2" applyFont="1" applyBorder="1" applyAlignment="1">
      <alignment horizontal="center"/>
    </xf>
    <xf numFmtId="0" fontId="25" fillId="0" borderId="8" xfId="2" applyFont="1" applyBorder="1" applyAlignment="1">
      <alignment horizontal="center"/>
    </xf>
    <xf numFmtId="0" fontId="25" fillId="0" borderId="17" xfId="2" applyFont="1" applyBorder="1" applyAlignment="1">
      <alignment horizontal="center"/>
    </xf>
    <xf numFmtId="0" fontId="25" fillId="0" borderId="5" xfId="2" applyFont="1" applyBorder="1" applyAlignment="1">
      <alignment horizontal="center"/>
    </xf>
    <xf numFmtId="0" fontId="25" fillId="0" borderId="6" xfId="2" applyFont="1" applyBorder="1" applyAlignment="1">
      <alignment horizontal="center"/>
    </xf>
    <xf numFmtId="0" fontId="25" fillId="0" borderId="2" xfId="2" applyFont="1" applyBorder="1" applyAlignment="1">
      <alignment horizontal="center"/>
    </xf>
    <xf numFmtId="0" fontId="24" fillId="0" borderId="17" xfId="0" applyFont="1" applyBorder="1" applyAlignment="1">
      <alignment horizontal="center"/>
    </xf>
    <xf numFmtId="0" fontId="26" fillId="4" borderId="23" xfId="0" applyFont="1" applyFill="1" applyBorder="1" applyAlignment="1">
      <alignment horizontal="left"/>
    </xf>
    <xf numFmtId="0" fontId="26" fillId="4" borderId="0" xfId="0" applyFont="1" applyFill="1" applyAlignment="1">
      <alignment horizontal="left"/>
    </xf>
    <xf numFmtId="0" fontId="24" fillId="0" borderId="0" xfId="0" applyFont="1"/>
    <xf numFmtId="0" fontId="24" fillId="0" borderId="0" xfId="0" applyFont="1" applyAlignment="1">
      <alignment horizontal="left" wrapText="1"/>
    </xf>
    <xf numFmtId="0" fontId="26" fillId="0" borderId="11" xfId="0" applyFont="1" applyBorder="1" applyAlignment="1">
      <alignment horizontal="center" vertical="top" wrapText="1"/>
    </xf>
    <xf numFmtId="0" fontId="26" fillId="0" borderId="12" xfId="0" applyFont="1" applyBorder="1" applyAlignment="1">
      <alignment horizontal="center" vertical="top" wrapText="1"/>
    </xf>
    <xf numFmtId="0" fontId="26" fillId="0" borderId="13" xfId="0" applyFont="1" applyBorder="1" applyAlignment="1">
      <alignment horizontal="center" vertical="top" wrapText="1"/>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cellXfs>
  <cellStyles count="8">
    <cellStyle name="Accent2" xfId="6" builtinId="33"/>
    <cellStyle name="Good" xfId="5" builtinId="26"/>
    <cellStyle name="Hyperlink" xfId="1" builtinId="8"/>
    <cellStyle name="Normal" xfId="0" builtinId="0"/>
    <cellStyle name="Normal 2" xfId="2" xr:uid="{00000000-0005-0000-0000-000002000000}"/>
    <cellStyle name="Normal 2 2" xfId="4" xr:uid="{52762F07-3706-4A2F-8D3B-097FACC9CF0C}"/>
    <cellStyle name="Normal 3" xfId="3" xr:uid="{7C1B66F8-1FB0-43B4-9B4B-0F2E36484F66}"/>
    <cellStyle name="Normal 4" xfId="7" xr:uid="{8A227AF7-ABF7-459D-95DF-2316F68B6445}"/>
  </cellStyles>
  <dxfs count="3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79998168889431442"/>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theme="0"/>
      </font>
      <fill>
        <patternFill>
          <bgColor rgb="FFFF0000"/>
        </patternFill>
      </fill>
    </dxf>
    <dxf>
      <font>
        <color theme="0"/>
      </font>
      <fill>
        <patternFill>
          <bgColor rgb="FFFF0000"/>
        </patternFill>
      </fill>
    </dxf>
    <dxf>
      <fill>
        <patternFill>
          <bgColor theme="2"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3" tint="0.79998168889431442"/>
      </font>
    </dxf>
    <dxf>
      <font>
        <color theme="4" tint="0.79998168889431442"/>
      </font>
    </dxf>
    <dxf>
      <font>
        <color theme="0"/>
      </font>
    </dxf>
    <dxf>
      <font>
        <color theme="0"/>
      </font>
    </dxf>
    <dxf>
      <font>
        <color theme="0"/>
      </font>
    </dxf>
    <dxf>
      <fill>
        <patternFill>
          <bgColor rgb="FFFF0000"/>
        </patternFill>
      </fill>
    </dxf>
    <dxf>
      <font>
        <color rgb="FFFFFFFF"/>
      </font>
      <fill>
        <patternFill patternType="solid">
          <bgColor rgb="FFFF0000"/>
        </patternFill>
      </fill>
    </dxf>
    <dxf>
      <font>
        <color rgb="FFFFFFFF"/>
      </font>
      <fill>
        <patternFill patternType="solid">
          <bgColor rgb="FFFF0000"/>
        </patternFill>
      </fill>
    </dxf>
    <dxf>
      <font>
        <color rgb="FFFFFFFF"/>
      </font>
      <fill>
        <patternFill patternType="solid">
          <bgColor rgb="FFFF0000"/>
        </patternFill>
      </fill>
    </dxf>
    <dxf>
      <font>
        <color rgb="FFFFFFFF"/>
      </font>
      <fill>
        <patternFill patternType="solid">
          <bgColor rgb="FFFF0000"/>
        </patternFill>
      </fill>
    </dxf>
    <dxf>
      <font>
        <color rgb="FFFFFFFF"/>
      </font>
      <fill>
        <patternFill patternType="solid">
          <bgColor rgb="FFFF0000"/>
        </patternFill>
      </fill>
    </dxf>
    <dxf>
      <font>
        <color rgb="FFFFFFFF"/>
      </font>
      <fill>
        <patternFill patternType="solid">
          <bgColor rgb="FFFF0000"/>
        </patternFill>
      </fill>
    </dxf>
    <dxf>
      <font>
        <color rgb="FFFFFFFF"/>
      </font>
      <fill>
        <patternFill patternType="solid">
          <bgColor rgb="FFFFFFFF"/>
        </patternFill>
      </fill>
    </dxf>
    <dxf>
      <fill>
        <patternFill>
          <bgColor theme="2" tint="-0.24994659260841701"/>
        </patternFill>
      </fill>
    </dxf>
    <dxf>
      <font>
        <color theme="1"/>
      </font>
    </dxf>
    <dxf>
      <font>
        <color theme="1"/>
      </font>
    </dxf>
    <dxf>
      <fill>
        <patternFill>
          <bgColor rgb="FFFF0000"/>
        </patternFill>
      </fill>
    </dxf>
    <dxf>
      <font>
        <color theme="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54F"/>
      <rgbColor rgb="003366FF"/>
      <rgbColor rgb="0033CCCC"/>
      <rgbColor rgb="0099CC00"/>
      <rgbColor rgb="00FFCC00"/>
      <rgbColor rgb="00FF8F00"/>
      <rgbColor rgb="00FF420E"/>
      <rgbColor rgb="00666699"/>
      <rgbColor rgb="00969696"/>
      <rgbColor rgb="00004586"/>
      <rgbColor rgb="00339966"/>
      <rgbColor rgb="00003300"/>
      <rgbColor rgb="00333300"/>
      <rgbColor rgb="00993300"/>
      <rgbColor rgb="00993366"/>
      <rgbColor rgb="00333399"/>
      <rgbColor rgb="00232629"/>
    </indexedColors>
    <mruColors>
      <color rgb="FFFFFF9F"/>
      <color rgb="FFD0D8E8"/>
      <color rgb="FFE9EDF4"/>
      <color rgb="FFFFFFCC"/>
      <color rgb="FFFF66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Gasverbruik  [m3/jaar]</a:t>
            </a:r>
          </a:p>
        </c:rich>
      </c:tx>
      <c:layout>
        <c:manualLayout>
          <c:xMode val="edge"/>
          <c:yMode val="edge"/>
          <c:x val="0.53532182330419709"/>
          <c:y val="0.81864384870966289"/>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16160889725234953"/>
          <c:y val="0.13096889620267696"/>
          <c:w val="0.79329042101391511"/>
          <c:h val="0.77621262712756278"/>
        </c:manualLayout>
      </c:layout>
      <c:barChart>
        <c:barDir val="bar"/>
        <c:grouping val="clustered"/>
        <c:varyColors val="0"/>
        <c:ser>
          <c:idx val="1"/>
          <c:order val="0"/>
          <c:tx>
            <c:strRef>
              <c:f>Basis!$L$6</c:f>
              <c:strCache>
                <c:ptCount val="1"/>
                <c:pt idx="0">
                  <c:v>Nieuw 550 m3 gas/jaar</c:v>
                </c:pt>
              </c:strCache>
            </c:strRef>
          </c:tx>
          <c:spPr>
            <a:solidFill>
              <a:srgbClr val="92D050"/>
            </a:solidFill>
            <a:ln>
              <a:noFill/>
            </a:ln>
            <a:effectLst/>
          </c:spPr>
          <c:invertIfNegative val="0"/>
          <c:cat>
            <c:strRef>
              <c:f>Basis!$N$5:$N$11</c:f>
              <c:strCache>
                <c:ptCount val="7"/>
                <c:pt idx="0">
                  <c:v>Tapwater</c:v>
                </c:pt>
                <c:pt idx="1">
                  <c:v>Ventilatie</c:v>
                </c:pt>
                <c:pt idx="2">
                  <c:v>Kieren</c:v>
                </c:pt>
                <c:pt idx="3">
                  <c:v>Vloer</c:v>
                </c:pt>
                <c:pt idx="4">
                  <c:v>Muren</c:v>
                </c:pt>
                <c:pt idx="5">
                  <c:v>Glas</c:v>
                </c:pt>
                <c:pt idx="6">
                  <c:v>Dak</c:v>
                </c:pt>
              </c:strCache>
            </c:strRef>
          </c:cat>
          <c:val>
            <c:numRef>
              <c:f>Basis!$R$5:$R$11</c:f>
              <c:numCache>
                <c:formatCode>0</c:formatCode>
                <c:ptCount val="7"/>
                <c:pt idx="0">
                  <c:v>60</c:v>
                </c:pt>
                <c:pt idx="1">
                  <c:v>20</c:v>
                </c:pt>
                <c:pt idx="2">
                  <c:v>150</c:v>
                </c:pt>
                <c:pt idx="3">
                  <c:v>100.56779468544173</c:v>
                </c:pt>
                <c:pt idx="4">
                  <c:v>337.56452856635462</c:v>
                </c:pt>
                <c:pt idx="5">
                  <c:v>114.87233419127838</c:v>
                </c:pt>
                <c:pt idx="6">
                  <c:v>62.290743193110984</c:v>
                </c:pt>
              </c:numCache>
            </c:numRef>
          </c:val>
          <c:extLst>
            <c:ext xmlns:c16="http://schemas.microsoft.com/office/drawing/2014/chart" uri="{C3380CC4-5D6E-409C-BE32-E72D297353CC}">
              <c16:uniqueId val="{00000001-1FA6-44A8-A4FB-447E0D3AB4AF}"/>
            </c:ext>
          </c:extLst>
        </c:ser>
        <c:ser>
          <c:idx val="0"/>
          <c:order val="1"/>
          <c:tx>
            <c:strRef>
              <c:f>Basis!$L$5</c:f>
              <c:strCache>
                <c:ptCount val="1"/>
                <c:pt idx="0">
                  <c:v>Nu 1690 m3 gas/jaar</c:v>
                </c:pt>
              </c:strCache>
            </c:strRef>
          </c:tx>
          <c:spPr>
            <a:solidFill>
              <a:schemeClr val="bg1">
                <a:lumMod val="75000"/>
              </a:schemeClr>
            </a:solidFill>
            <a:ln>
              <a:noFill/>
            </a:ln>
            <a:effectLst/>
          </c:spPr>
          <c:invertIfNegative val="0"/>
          <c:cat>
            <c:strRef>
              <c:f>Basis!$N$5:$N$11</c:f>
              <c:strCache>
                <c:ptCount val="7"/>
                <c:pt idx="0">
                  <c:v>Tapwater</c:v>
                </c:pt>
                <c:pt idx="1">
                  <c:v>Ventilatie</c:v>
                </c:pt>
                <c:pt idx="2">
                  <c:v>Kieren</c:v>
                </c:pt>
                <c:pt idx="3">
                  <c:v>Vloer</c:v>
                </c:pt>
                <c:pt idx="4">
                  <c:v>Muren</c:v>
                </c:pt>
                <c:pt idx="5">
                  <c:v>Glas</c:v>
                </c:pt>
                <c:pt idx="6">
                  <c:v>Dak</c:v>
                </c:pt>
              </c:strCache>
            </c:strRef>
          </c:cat>
          <c:val>
            <c:numRef>
              <c:f>Basis!$P$5:$P$11</c:f>
              <c:numCache>
                <c:formatCode>0</c:formatCode>
                <c:ptCount val="7"/>
                <c:pt idx="0">
                  <c:v>120</c:v>
                </c:pt>
                <c:pt idx="1">
                  <c:v>120</c:v>
                </c:pt>
                <c:pt idx="2">
                  <c:v>310</c:v>
                </c:pt>
                <c:pt idx="3">
                  <c:v>286.2314156431803</c:v>
                </c:pt>
                <c:pt idx="4">
                  <c:v>460.67802465697866</c:v>
                </c:pt>
                <c:pt idx="5">
                  <c:v>600.99615698646289</c:v>
                </c:pt>
                <c:pt idx="6">
                  <c:v>161.66357127792895</c:v>
                </c:pt>
              </c:numCache>
            </c:numRef>
          </c:val>
          <c:extLst>
            <c:ext xmlns:c16="http://schemas.microsoft.com/office/drawing/2014/chart" uri="{C3380CC4-5D6E-409C-BE32-E72D297353CC}">
              <c16:uniqueId val="{00000000-1FA6-44A8-A4FB-447E0D3AB4AF}"/>
            </c:ext>
          </c:extLst>
        </c:ser>
        <c:dLbls>
          <c:showLegendKey val="0"/>
          <c:showVal val="0"/>
          <c:showCatName val="0"/>
          <c:showSerName val="0"/>
          <c:showPercent val="0"/>
          <c:showBubbleSize val="0"/>
        </c:dLbls>
        <c:gapWidth val="182"/>
        <c:axId val="1069111056"/>
        <c:axId val="1069116464"/>
      </c:barChart>
      <c:catAx>
        <c:axId val="106911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69116464"/>
        <c:crosses val="autoZero"/>
        <c:auto val="1"/>
        <c:lblAlgn val="ctr"/>
        <c:lblOffset val="100"/>
        <c:noMultiLvlLbl val="0"/>
      </c:catAx>
      <c:valAx>
        <c:axId val="1069116464"/>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69111056"/>
        <c:crosses val="autoZero"/>
        <c:crossBetween val="between"/>
      </c:valAx>
      <c:spPr>
        <a:noFill/>
        <a:ln>
          <a:noFill/>
        </a:ln>
        <a:effectLst/>
      </c:spPr>
    </c:plotArea>
    <c:legend>
      <c:legendPos val="r"/>
      <c:layout>
        <c:manualLayout>
          <c:xMode val="edge"/>
          <c:yMode val="edge"/>
          <c:x val="4.7898576898071227E-2"/>
          <c:y val="7.4006645123116839E-3"/>
          <c:w val="0.50970069108333937"/>
          <c:h val="0.11750980838377864"/>
        </c:manualLayout>
      </c:layout>
      <c:overlay val="0"/>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Gasverbruik  [m3/jaar]</a:t>
            </a:r>
          </a:p>
        </c:rich>
      </c:tx>
      <c:layout>
        <c:manualLayout>
          <c:xMode val="edge"/>
          <c:yMode val="edge"/>
          <c:x val="0.53532182330419709"/>
          <c:y val="0.81864384870966289"/>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16160889725234953"/>
          <c:y val="0.13096889620267696"/>
          <c:w val="0.79329042101391511"/>
          <c:h val="0.77621262712756278"/>
        </c:manualLayout>
      </c:layout>
      <c:barChart>
        <c:barDir val="bar"/>
        <c:grouping val="clustered"/>
        <c:varyColors val="0"/>
        <c:ser>
          <c:idx val="1"/>
          <c:order val="0"/>
          <c:tx>
            <c:strRef>
              <c:f>Basis!$L$6</c:f>
              <c:strCache>
                <c:ptCount val="1"/>
                <c:pt idx="0">
                  <c:v>Nieuw 550 m3 gas/jaar</c:v>
                </c:pt>
              </c:strCache>
            </c:strRef>
          </c:tx>
          <c:spPr>
            <a:solidFill>
              <a:srgbClr val="92D050"/>
            </a:solidFill>
            <a:ln>
              <a:noFill/>
            </a:ln>
            <a:effectLst/>
          </c:spPr>
          <c:invertIfNegative val="0"/>
          <c:cat>
            <c:strRef>
              <c:f>Basis!$N$5:$N$11</c:f>
              <c:strCache>
                <c:ptCount val="7"/>
                <c:pt idx="0">
                  <c:v>Tapwater</c:v>
                </c:pt>
                <c:pt idx="1">
                  <c:v>Ventilatie</c:v>
                </c:pt>
                <c:pt idx="2">
                  <c:v>Kieren</c:v>
                </c:pt>
                <c:pt idx="3">
                  <c:v>Vloer</c:v>
                </c:pt>
                <c:pt idx="4">
                  <c:v>Muren</c:v>
                </c:pt>
                <c:pt idx="5">
                  <c:v>Glas</c:v>
                </c:pt>
                <c:pt idx="6">
                  <c:v>Dak</c:v>
                </c:pt>
              </c:strCache>
            </c:strRef>
          </c:cat>
          <c:val>
            <c:numRef>
              <c:f>Basis!$R$5:$R$11</c:f>
              <c:numCache>
                <c:formatCode>0</c:formatCode>
                <c:ptCount val="7"/>
                <c:pt idx="0">
                  <c:v>60</c:v>
                </c:pt>
                <c:pt idx="1">
                  <c:v>20</c:v>
                </c:pt>
                <c:pt idx="2">
                  <c:v>150</c:v>
                </c:pt>
                <c:pt idx="3">
                  <c:v>100.56779468544173</c:v>
                </c:pt>
                <c:pt idx="4">
                  <c:v>337.56452856635462</c:v>
                </c:pt>
                <c:pt idx="5">
                  <c:v>114.87233419127838</c:v>
                </c:pt>
                <c:pt idx="6">
                  <c:v>62.290743193110984</c:v>
                </c:pt>
              </c:numCache>
            </c:numRef>
          </c:val>
          <c:extLst>
            <c:ext xmlns:c16="http://schemas.microsoft.com/office/drawing/2014/chart" uri="{C3380CC4-5D6E-409C-BE32-E72D297353CC}">
              <c16:uniqueId val="{00000000-770A-4C7C-B74A-722D93692407}"/>
            </c:ext>
          </c:extLst>
        </c:ser>
        <c:ser>
          <c:idx val="0"/>
          <c:order val="1"/>
          <c:tx>
            <c:strRef>
              <c:f>Basis!$L$5</c:f>
              <c:strCache>
                <c:ptCount val="1"/>
                <c:pt idx="0">
                  <c:v>Nu 1690 m3 gas/jaar</c:v>
                </c:pt>
              </c:strCache>
            </c:strRef>
          </c:tx>
          <c:spPr>
            <a:solidFill>
              <a:schemeClr val="bg1">
                <a:lumMod val="75000"/>
              </a:schemeClr>
            </a:solidFill>
            <a:ln>
              <a:noFill/>
            </a:ln>
            <a:effectLst/>
          </c:spPr>
          <c:invertIfNegative val="0"/>
          <c:cat>
            <c:strRef>
              <c:f>Basis!$N$5:$N$11</c:f>
              <c:strCache>
                <c:ptCount val="7"/>
                <c:pt idx="0">
                  <c:v>Tapwater</c:v>
                </c:pt>
                <c:pt idx="1">
                  <c:v>Ventilatie</c:v>
                </c:pt>
                <c:pt idx="2">
                  <c:v>Kieren</c:v>
                </c:pt>
                <c:pt idx="3">
                  <c:v>Vloer</c:v>
                </c:pt>
                <c:pt idx="4">
                  <c:v>Muren</c:v>
                </c:pt>
                <c:pt idx="5">
                  <c:v>Glas</c:v>
                </c:pt>
                <c:pt idx="6">
                  <c:v>Dak</c:v>
                </c:pt>
              </c:strCache>
            </c:strRef>
          </c:cat>
          <c:val>
            <c:numRef>
              <c:f>Basis!$P$5:$P$11</c:f>
              <c:numCache>
                <c:formatCode>0</c:formatCode>
                <c:ptCount val="7"/>
                <c:pt idx="0">
                  <c:v>120</c:v>
                </c:pt>
                <c:pt idx="1">
                  <c:v>120</c:v>
                </c:pt>
                <c:pt idx="2">
                  <c:v>310</c:v>
                </c:pt>
                <c:pt idx="3">
                  <c:v>286.2314156431803</c:v>
                </c:pt>
                <c:pt idx="4">
                  <c:v>460.67802465697866</c:v>
                </c:pt>
                <c:pt idx="5">
                  <c:v>600.99615698646289</c:v>
                </c:pt>
                <c:pt idx="6">
                  <c:v>161.66357127792895</c:v>
                </c:pt>
              </c:numCache>
            </c:numRef>
          </c:val>
          <c:extLst>
            <c:ext xmlns:c16="http://schemas.microsoft.com/office/drawing/2014/chart" uri="{C3380CC4-5D6E-409C-BE32-E72D297353CC}">
              <c16:uniqueId val="{00000001-770A-4C7C-B74A-722D93692407}"/>
            </c:ext>
          </c:extLst>
        </c:ser>
        <c:dLbls>
          <c:showLegendKey val="0"/>
          <c:showVal val="0"/>
          <c:showCatName val="0"/>
          <c:showSerName val="0"/>
          <c:showPercent val="0"/>
          <c:showBubbleSize val="0"/>
        </c:dLbls>
        <c:gapWidth val="182"/>
        <c:axId val="1069111056"/>
        <c:axId val="1069116464"/>
      </c:barChart>
      <c:catAx>
        <c:axId val="106911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69116464"/>
        <c:crosses val="autoZero"/>
        <c:auto val="1"/>
        <c:lblAlgn val="ctr"/>
        <c:lblOffset val="100"/>
        <c:noMultiLvlLbl val="0"/>
      </c:catAx>
      <c:valAx>
        <c:axId val="1069116464"/>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69111056"/>
        <c:crosses val="autoZero"/>
        <c:crossBetween val="between"/>
      </c:valAx>
      <c:spPr>
        <a:noFill/>
        <a:ln>
          <a:noFill/>
        </a:ln>
        <a:effectLst/>
      </c:spPr>
    </c:plotArea>
    <c:legend>
      <c:legendPos val="r"/>
      <c:layout>
        <c:manualLayout>
          <c:xMode val="edge"/>
          <c:yMode val="edge"/>
          <c:x val="4.7898576898071227E-2"/>
          <c:y val="7.4006645123116839E-3"/>
          <c:w val="0.50970069108333937"/>
          <c:h val="0.11750980838377864"/>
        </c:manualLayout>
      </c:layout>
      <c:overlay val="0"/>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Constants!$P$2</c:f>
              <c:strCache>
                <c:ptCount val="1"/>
                <c:pt idx="0">
                  <c:v>m3</c:v>
                </c:pt>
              </c:strCache>
            </c:strRef>
          </c:tx>
          <c:xVal>
            <c:numRef>
              <c:f>Constants!$O$3:$O$10</c:f>
              <c:numCache>
                <c:formatCode>General</c:formatCode>
                <c:ptCount val="8"/>
                <c:pt idx="0">
                  <c:v>0.5</c:v>
                </c:pt>
                <c:pt idx="1">
                  <c:v>0.4</c:v>
                </c:pt>
                <c:pt idx="2">
                  <c:v>0.3</c:v>
                </c:pt>
                <c:pt idx="3">
                  <c:v>0.2</c:v>
                </c:pt>
                <c:pt idx="4">
                  <c:v>0.1</c:v>
                </c:pt>
                <c:pt idx="5">
                  <c:v>0.05</c:v>
                </c:pt>
                <c:pt idx="6">
                  <c:v>0.02</c:v>
                </c:pt>
                <c:pt idx="7">
                  <c:v>0.01</c:v>
                </c:pt>
              </c:numCache>
            </c:numRef>
          </c:xVal>
          <c:yVal>
            <c:numRef>
              <c:f>Constants!$P$3:$P$10</c:f>
              <c:numCache>
                <c:formatCode>General</c:formatCode>
                <c:ptCount val="8"/>
                <c:pt idx="0">
                  <c:v>1092</c:v>
                </c:pt>
                <c:pt idx="1">
                  <c:v>1144</c:v>
                </c:pt>
                <c:pt idx="2">
                  <c:v>1211</c:v>
                </c:pt>
                <c:pt idx="3">
                  <c:v>1299</c:v>
                </c:pt>
                <c:pt idx="4">
                  <c:v>1422</c:v>
                </c:pt>
                <c:pt idx="5">
                  <c:v>1504</c:v>
                </c:pt>
                <c:pt idx="6">
                  <c:v>1562</c:v>
                </c:pt>
                <c:pt idx="7">
                  <c:v>1583</c:v>
                </c:pt>
              </c:numCache>
            </c:numRef>
          </c:yVal>
          <c:smooth val="0"/>
          <c:extLst>
            <c:ext xmlns:c16="http://schemas.microsoft.com/office/drawing/2014/chart" uri="{C3380CC4-5D6E-409C-BE32-E72D297353CC}">
              <c16:uniqueId val="{00000000-5382-4680-B250-F46AAC7F06B1}"/>
            </c:ext>
          </c:extLst>
        </c:ser>
        <c:dLbls>
          <c:showLegendKey val="0"/>
          <c:showVal val="0"/>
          <c:showCatName val="0"/>
          <c:showSerName val="0"/>
          <c:showPercent val="0"/>
          <c:showBubbleSize val="0"/>
        </c:dLbls>
        <c:axId val="245322880"/>
        <c:axId val="245324416"/>
      </c:scatterChart>
      <c:scatterChart>
        <c:scatterStyle val="lineMarker"/>
        <c:varyColors val="0"/>
        <c:ser>
          <c:idx val="1"/>
          <c:order val="1"/>
          <c:tx>
            <c:strRef>
              <c:f>Constants!$Q$2</c:f>
              <c:strCache>
                <c:ptCount val="1"/>
                <c:pt idx="0">
                  <c:v>T</c:v>
                </c:pt>
              </c:strCache>
            </c:strRef>
          </c:tx>
          <c:xVal>
            <c:numRef>
              <c:f>Constants!$O$3:$O$10</c:f>
              <c:numCache>
                <c:formatCode>General</c:formatCode>
                <c:ptCount val="8"/>
                <c:pt idx="0">
                  <c:v>0.5</c:v>
                </c:pt>
                <c:pt idx="1">
                  <c:v>0.4</c:v>
                </c:pt>
                <c:pt idx="2">
                  <c:v>0.3</c:v>
                </c:pt>
                <c:pt idx="3">
                  <c:v>0.2</c:v>
                </c:pt>
                <c:pt idx="4">
                  <c:v>0.1</c:v>
                </c:pt>
                <c:pt idx="5">
                  <c:v>0.05</c:v>
                </c:pt>
                <c:pt idx="6">
                  <c:v>0.02</c:v>
                </c:pt>
                <c:pt idx="7">
                  <c:v>0.01</c:v>
                </c:pt>
              </c:numCache>
            </c:numRef>
          </c:xVal>
          <c:yVal>
            <c:numRef>
              <c:f>Constants!$Q$3:$Q$10</c:f>
              <c:numCache>
                <c:formatCode>General</c:formatCode>
                <c:ptCount val="8"/>
                <c:pt idx="0">
                  <c:v>9</c:v>
                </c:pt>
                <c:pt idx="1">
                  <c:v>10.1</c:v>
                </c:pt>
                <c:pt idx="2">
                  <c:v>11.5</c:v>
                </c:pt>
                <c:pt idx="3">
                  <c:v>13.4</c:v>
                </c:pt>
                <c:pt idx="4">
                  <c:v>16.100000000000001</c:v>
                </c:pt>
                <c:pt idx="5">
                  <c:v>17.8</c:v>
                </c:pt>
                <c:pt idx="6">
                  <c:v>19.100000000000001</c:v>
                </c:pt>
                <c:pt idx="7">
                  <c:v>19.5</c:v>
                </c:pt>
              </c:numCache>
            </c:numRef>
          </c:yVal>
          <c:smooth val="0"/>
          <c:extLst>
            <c:ext xmlns:c16="http://schemas.microsoft.com/office/drawing/2014/chart" uri="{C3380CC4-5D6E-409C-BE32-E72D297353CC}">
              <c16:uniqueId val="{00000001-5382-4680-B250-F46AAC7F06B1}"/>
            </c:ext>
          </c:extLst>
        </c:ser>
        <c:dLbls>
          <c:showLegendKey val="0"/>
          <c:showVal val="0"/>
          <c:showCatName val="0"/>
          <c:showSerName val="0"/>
          <c:showPercent val="0"/>
          <c:showBubbleSize val="0"/>
        </c:dLbls>
        <c:axId val="245331840"/>
        <c:axId val="245330304"/>
      </c:scatterChart>
      <c:valAx>
        <c:axId val="245322880"/>
        <c:scaling>
          <c:orientation val="minMax"/>
          <c:max val="0.5"/>
          <c:min val="0"/>
        </c:scaling>
        <c:delete val="0"/>
        <c:axPos val="b"/>
        <c:numFmt formatCode="General" sourceLinked="1"/>
        <c:majorTickMark val="out"/>
        <c:minorTickMark val="none"/>
        <c:tickLblPos val="nextTo"/>
        <c:txPr>
          <a:bodyPr/>
          <a:lstStyle/>
          <a:p>
            <a:pPr>
              <a:defRPr lang="nl-NL"/>
            </a:pPr>
            <a:endParaRPr lang="nl-NL"/>
          </a:p>
        </c:txPr>
        <c:crossAx val="245324416"/>
        <c:crosses val="autoZero"/>
        <c:crossBetween val="midCat"/>
      </c:valAx>
      <c:valAx>
        <c:axId val="245324416"/>
        <c:scaling>
          <c:orientation val="minMax"/>
          <c:min val="0"/>
        </c:scaling>
        <c:delete val="0"/>
        <c:axPos val="l"/>
        <c:majorGridlines/>
        <c:numFmt formatCode="General" sourceLinked="1"/>
        <c:majorTickMark val="out"/>
        <c:minorTickMark val="none"/>
        <c:tickLblPos val="nextTo"/>
        <c:txPr>
          <a:bodyPr/>
          <a:lstStyle/>
          <a:p>
            <a:pPr>
              <a:defRPr lang="nl-NL"/>
            </a:pPr>
            <a:endParaRPr lang="nl-NL"/>
          </a:p>
        </c:txPr>
        <c:crossAx val="245322880"/>
        <c:crosses val="autoZero"/>
        <c:crossBetween val="midCat"/>
      </c:valAx>
      <c:valAx>
        <c:axId val="245330304"/>
        <c:scaling>
          <c:orientation val="minMax"/>
        </c:scaling>
        <c:delete val="0"/>
        <c:axPos val="r"/>
        <c:numFmt formatCode="General" sourceLinked="1"/>
        <c:majorTickMark val="out"/>
        <c:minorTickMark val="none"/>
        <c:tickLblPos val="nextTo"/>
        <c:txPr>
          <a:bodyPr/>
          <a:lstStyle/>
          <a:p>
            <a:pPr>
              <a:defRPr lang="nl-NL"/>
            </a:pPr>
            <a:endParaRPr lang="nl-NL"/>
          </a:p>
        </c:txPr>
        <c:crossAx val="245331840"/>
        <c:crosses val="max"/>
        <c:crossBetween val="midCat"/>
      </c:valAx>
      <c:valAx>
        <c:axId val="245331840"/>
        <c:scaling>
          <c:orientation val="minMax"/>
        </c:scaling>
        <c:delete val="1"/>
        <c:axPos val="b"/>
        <c:numFmt formatCode="General" sourceLinked="1"/>
        <c:majorTickMark val="out"/>
        <c:minorTickMark val="none"/>
        <c:tickLblPos val="none"/>
        <c:crossAx val="245330304"/>
        <c:crosses val="autoZero"/>
        <c:crossBetween val="midCat"/>
      </c:valAx>
    </c:plotArea>
    <c:legend>
      <c:legendPos val="r"/>
      <c:overlay val="0"/>
      <c:txPr>
        <a:bodyPr/>
        <a:lstStyle/>
        <a:p>
          <a:pPr>
            <a:defRPr lang="nl-NL"/>
          </a:pPr>
          <a:endParaRPr lang="nl-NL"/>
        </a:p>
      </c:txPr>
    </c:legend>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8.43024380988521E-2"/>
          <c:y val="7.331514705596287E-2"/>
          <c:w val="0.87303089523448119"/>
          <c:h val="0.75812346453160995"/>
        </c:manualLayout>
      </c:layout>
      <c:scatterChart>
        <c:scatterStyle val="lineMarker"/>
        <c:varyColors val="0"/>
        <c:ser>
          <c:idx val="0"/>
          <c:order val="0"/>
          <c:tx>
            <c:strRef>
              <c:f>Constants!$D$42</c:f>
              <c:strCache>
                <c:ptCount val="1"/>
                <c:pt idx="0">
                  <c:v>Zta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38930955317332322"/>
                  <c:y val="6.84346776066906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Constants!$C$43:$C$48</c:f>
              <c:numCache>
                <c:formatCode>General</c:formatCode>
                <c:ptCount val="6"/>
                <c:pt idx="0">
                  <c:v>5.8</c:v>
                </c:pt>
                <c:pt idx="1">
                  <c:v>2.8</c:v>
                </c:pt>
                <c:pt idx="2">
                  <c:v>1.85</c:v>
                </c:pt>
                <c:pt idx="3">
                  <c:v>1.45</c:v>
                </c:pt>
                <c:pt idx="4">
                  <c:v>1</c:v>
                </c:pt>
                <c:pt idx="5">
                  <c:v>0.6</c:v>
                </c:pt>
              </c:numCache>
            </c:numRef>
          </c:xVal>
          <c:yVal>
            <c:numRef>
              <c:f>Constants!$D$43:$D$48</c:f>
              <c:numCache>
                <c:formatCode>General</c:formatCode>
                <c:ptCount val="6"/>
                <c:pt idx="0">
                  <c:v>0.77</c:v>
                </c:pt>
                <c:pt idx="5">
                  <c:v>0.47</c:v>
                </c:pt>
              </c:numCache>
            </c:numRef>
          </c:yVal>
          <c:smooth val="0"/>
          <c:extLst>
            <c:ext xmlns:c16="http://schemas.microsoft.com/office/drawing/2014/chart" uri="{C3380CC4-5D6E-409C-BE32-E72D297353CC}">
              <c16:uniqueId val="{00000000-949C-4E6A-A22E-BAFDF4EB1D4B}"/>
            </c:ext>
          </c:extLst>
        </c:ser>
        <c:dLbls>
          <c:showLegendKey val="0"/>
          <c:showVal val="0"/>
          <c:showCatName val="0"/>
          <c:showSerName val="0"/>
          <c:showPercent val="0"/>
          <c:showBubbleSize val="0"/>
        </c:dLbls>
        <c:axId val="1452822464"/>
        <c:axId val="1451558320"/>
      </c:scatterChart>
      <c:valAx>
        <c:axId val="14528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51558320"/>
        <c:crosses val="autoZero"/>
        <c:crossBetween val="midCat"/>
      </c:valAx>
      <c:valAx>
        <c:axId val="145155832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52822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9.4879236869584854E-2"/>
          <c:y val="4.3153451323741362E-2"/>
          <c:w val="0.86050427567521803"/>
          <c:h val="0.8370726490881335"/>
        </c:manualLayout>
      </c:layout>
      <c:scatterChart>
        <c:scatterStyle val="lineMarker"/>
        <c:varyColors val="0"/>
        <c:ser>
          <c:idx val="0"/>
          <c:order val="0"/>
          <c:tx>
            <c:strRef>
              <c:f>Constants!$C$100</c:f>
              <c:strCache>
                <c:ptCount val="1"/>
                <c:pt idx="0">
                  <c:v>GraadDagen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681003584229393"/>
                  <c:y val="0.13917129772820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Constants!$B$101:$B$111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Constants!$C$101:$C$111</c:f>
              <c:numCache>
                <c:formatCode>General</c:formatCode>
                <c:ptCount val="11"/>
                <c:pt idx="0">
                  <c:v>713</c:v>
                </c:pt>
                <c:pt idx="1">
                  <c:v>878</c:v>
                </c:pt>
                <c:pt idx="2">
                  <c:v>1058</c:v>
                </c:pt>
                <c:pt idx="3">
                  <c:v>1260</c:v>
                </c:pt>
                <c:pt idx="4">
                  <c:v>1477</c:v>
                </c:pt>
                <c:pt idx="5">
                  <c:v>1709</c:v>
                </c:pt>
                <c:pt idx="6">
                  <c:v>1956</c:v>
                </c:pt>
                <c:pt idx="7">
                  <c:v>2217</c:v>
                </c:pt>
                <c:pt idx="8">
                  <c:v>2491</c:v>
                </c:pt>
                <c:pt idx="9">
                  <c:v>2781</c:v>
                </c:pt>
                <c:pt idx="10">
                  <c:v>3088</c:v>
                </c:pt>
              </c:numCache>
            </c:numRef>
          </c:yVal>
          <c:smooth val="0"/>
          <c:extLst>
            <c:ext xmlns:c16="http://schemas.microsoft.com/office/drawing/2014/chart" uri="{C3380CC4-5D6E-409C-BE32-E72D297353CC}">
              <c16:uniqueId val="{00000000-C323-4641-9343-987A131CE582}"/>
            </c:ext>
          </c:extLst>
        </c:ser>
        <c:dLbls>
          <c:showLegendKey val="0"/>
          <c:showVal val="0"/>
          <c:showCatName val="0"/>
          <c:showSerName val="0"/>
          <c:showPercent val="0"/>
          <c:showBubbleSize val="0"/>
        </c:dLbls>
        <c:axId val="1631495072"/>
        <c:axId val="1499756512"/>
      </c:scatterChart>
      <c:valAx>
        <c:axId val="1631495072"/>
        <c:scaling>
          <c:orientation val="minMax"/>
          <c:max val="20"/>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99756512"/>
        <c:crosses val="autoZero"/>
        <c:crossBetween val="midCat"/>
      </c:valAx>
      <c:valAx>
        <c:axId val="14997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149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Vermogen als</a:t>
            </a:r>
            <a:r>
              <a:rPr lang="en-US" baseline="0"/>
              <a:t> functie Tbinnen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Constants!$R$100</c:f>
              <c:strCache>
                <c:ptCount val="1"/>
                <c:pt idx="0">
                  <c:v>T-10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Constants!$Q$101:$Q$111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Constants!$R$101:$R$111</c:f>
              <c:numCache>
                <c:formatCode>General</c:formatCode>
                <c:ptCount val="11"/>
                <c:pt idx="0">
                  <c:v>1600</c:v>
                </c:pt>
                <c:pt idx="1">
                  <c:v>1680</c:v>
                </c:pt>
                <c:pt idx="2">
                  <c:v>1760</c:v>
                </c:pt>
                <c:pt idx="3">
                  <c:v>1840</c:v>
                </c:pt>
                <c:pt idx="4">
                  <c:v>1920</c:v>
                </c:pt>
                <c:pt idx="5">
                  <c:v>2000</c:v>
                </c:pt>
                <c:pt idx="6">
                  <c:v>2080</c:v>
                </c:pt>
                <c:pt idx="7">
                  <c:v>2160</c:v>
                </c:pt>
                <c:pt idx="8">
                  <c:v>2240</c:v>
                </c:pt>
                <c:pt idx="9">
                  <c:v>2320</c:v>
                </c:pt>
                <c:pt idx="10">
                  <c:v>2400</c:v>
                </c:pt>
              </c:numCache>
            </c:numRef>
          </c:yVal>
          <c:smooth val="0"/>
          <c:extLst>
            <c:ext xmlns:c16="http://schemas.microsoft.com/office/drawing/2014/chart" uri="{C3380CC4-5D6E-409C-BE32-E72D297353CC}">
              <c16:uniqueId val="{00000000-0D26-465E-8BD6-599054DA89E6}"/>
            </c:ext>
          </c:extLst>
        </c:ser>
        <c:ser>
          <c:idx val="1"/>
          <c:order val="1"/>
          <c:tx>
            <c:strRef>
              <c:f>Constants!$S$100</c:f>
              <c:strCache>
                <c:ptCount val="1"/>
                <c:pt idx="0">
                  <c:v>T-5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Constants!$Q$101:$Q$111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Constants!$S$101:$S$111</c:f>
              <c:numCache>
                <c:formatCode>General</c:formatCode>
                <c:ptCount val="11"/>
                <c:pt idx="0">
                  <c:v>1200</c:v>
                </c:pt>
                <c:pt idx="1">
                  <c:v>1280</c:v>
                </c:pt>
                <c:pt idx="2">
                  <c:v>1360</c:v>
                </c:pt>
                <c:pt idx="3">
                  <c:v>1440</c:v>
                </c:pt>
                <c:pt idx="4">
                  <c:v>1520</c:v>
                </c:pt>
                <c:pt idx="5">
                  <c:v>1600</c:v>
                </c:pt>
                <c:pt idx="6">
                  <c:v>1680</c:v>
                </c:pt>
                <c:pt idx="7">
                  <c:v>1760</c:v>
                </c:pt>
                <c:pt idx="8">
                  <c:v>1840</c:v>
                </c:pt>
                <c:pt idx="9">
                  <c:v>1920</c:v>
                </c:pt>
                <c:pt idx="10">
                  <c:v>2000</c:v>
                </c:pt>
              </c:numCache>
            </c:numRef>
          </c:yVal>
          <c:smooth val="0"/>
          <c:extLst>
            <c:ext xmlns:c16="http://schemas.microsoft.com/office/drawing/2014/chart" uri="{C3380CC4-5D6E-409C-BE32-E72D297353CC}">
              <c16:uniqueId val="{00000001-0D26-465E-8BD6-599054DA89E6}"/>
            </c:ext>
          </c:extLst>
        </c:ser>
        <c:ser>
          <c:idx val="2"/>
          <c:order val="2"/>
          <c:tx>
            <c:strRef>
              <c:f>Constants!$T$100</c:f>
              <c:strCache>
                <c:ptCount val="1"/>
                <c:pt idx="0">
                  <c:v>T0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Constants!$Q$101:$Q$111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Constants!$T$101:$T$111</c:f>
              <c:numCache>
                <c:formatCode>General</c:formatCode>
                <c:ptCount val="11"/>
                <c:pt idx="0">
                  <c:v>800</c:v>
                </c:pt>
                <c:pt idx="1">
                  <c:v>880</c:v>
                </c:pt>
                <c:pt idx="2">
                  <c:v>960</c:v>
                </c:pt>
                <c:pt idx="3">
                  <c:v>1040</c:v>
                </c:pt>
                <c:pt idx="4">
                  <c:v>1120</c:v>
                </c:pt>
                <c:pt idx="5">
                  <c:v>1200</c:v>
                </c:pt>
                <c:pt idx="6">
                  <c:v>1280</c:v>
                </c:pt>
                <c:pt idx="7">
                  <c:v>1360</c:v>
                </c:pt>
                <c:pt idx="8">
                  <c:v>1440</c:v>
                </c:pt>
                <c:pt idx="9">
                  <c:v>1520</c:v>
                </c:pt>
                <c:pt idx="10">
                  <c:v>1600</c:v>
                </c:pt>
              </c:numCache>
            </c:numRef>
          </c:yVal>
          <c:smooth val="0"/>
          <c:extLst>
            <c:ext xmlns:c16="http://schemas.microsoft.com/office/drawing/2014/chart" uri="{C3380CC4-5D6E-409C-BE32-E72D297353CC}">
              <c16:uniqueId val="{00000002-0D26-465E-8BD6-599054DA89E6}"/>
            </c:ext>
          </c:extLst>
        </c:ser>
        <c:ser>
          <c:idx val="3"/>
          <c:order val="3"/>
          <c:tx>
            <c:strRef>
              <c:f>Constants!$U$100</c:f>
              <c:strCache>
                <c:ptCount val="1"/>
                <c:pt idx="0">
                  <c:v>T5</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Constants!$Q$101:$Q$111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Constants!$U$101:$U$111</c:f>
              <c:numCache>
                <c:formatCode>General</c:formatCode>
                <c:ptCount val="11"/>
                <c:pt idx="0">
                  <c:v>400</c:v>
                </c:pt>
                <c:pt idx="1">
                  <c:v>480</c:v>
                </c:pt>
                <c:pt idx="2">
                  <c:v>560</c:v>
                </c:pt>
                <c:pt idx="3">
                  <c:v>640</c:v>
                </c:pt>
                <c:pt idx="4">
                  <c:v>720</c:v>
                </c:pt>
                <c:pt idx="5">
                  <c:v>800</c:v>
                </c:pt>
                <c:pt idx="6">
                  <c:v>880</c:v>
                </c:pt>
                <c:pt idx="7">
                  <c:v>960</c:v>
                </c:pt>
                <c:pt idx="8">
                  <c:v>1040</c:v>
                </c:pt>
                <c:pt idx="9">
                  <c:v>1120</c:v>
                </c:pt>
                <c:pt idx="10">
                  <c:v>1200</c:v>
                </c:pt>
              </c:numCache>
            </c:numRef>
          </c:yVal>
          <c:smooth val="0"/>
          <c:extLst>
            <c:ext xmlns:c16="http://schemas.microsoft.com/office/drawing/2014/chart" uri="{C3380CC4-5D6E-409C-BE32-E72D297353CC}">
              <c16:uniqueId val="{00000003-0D26-465E-8BD6-599054DA89E6}"/>
            </c:ext>
          </c:extLst>
        </c:ser>
        <c:ser>
          <c:idx val="4"/>
          <c:order val="4"/>
          <c:tx>
            <c:strRef>
              <c:f>Constants!$V$100</c:f>
              <c:strCache>
                <c:ptCount val="1"/>
                <c:pt idx="0">
                  <c:v>T10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Constants!$Q$101:$Q$111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Constants!$V$101:$V$111</c:f>
              <c:numCache>
                <c:formatCode>General</c:formatCode>
                <c:ptCount val="11"/>
                <c:pt idx="0">
                  <c:v>0</c:v>
                </c:pt>
                <c:pt idx="1">
                  <c:v>80</c:v>
                </c:pt>
                <c:pt idx="2">
                  <c:v>160</c:v>
                </c:pt>
                <c:pt idx="3">
                  <c:v>240</c:v>
                </c:pt>
                <c:pt idx="4">
                  <c:v>320</c:v>
                </c:pt>
                <c:pt idx="5">
                  <c:v>400</c:v>
                </c:pt>
                <c:pt idx="6">
                  <c:v>480</c:v>
                </c:pt>
                <c:pt idx="7">
                  <c:v>560</c:v>
                </c:pt>
                <c:pt idx="8">
                  <c:v>640</c:v>
                </c:pt>
                <c:pt idx="9">
                  <c:v>720</c:v>
                </c:pt>
                <c:pt idx="10">
                  <c:v>800</c:v>
                </c:pt>
              </c:numCache>
            </c:numRef>
          </c:yVal>
          <c:smooth val="0"/>
          <c:extLst>
            <c:ext xmlns:c16="http://schemas.microsoft.com/office/drawing/2014/chart" uri="{C3380CC4-5D6E-409C-BE32-E72D297353CC}">
              <c16:uniqueId val="{00000004-0D26-465E-8BD6-599054DA89E6}"/>
            </c:ext>
          </c:extLst>
        </c:ser>
        <c:dLbls>
          <c:showLegendKey val="0"/>
          <c:showVal val="0"/>
          <c:showCatName val="0"/>
          <c:showSerName val="0"/>
          <c:showPercent val="0"/>
          <c:showBubbleSize val="0"/>
        </c:dLbls>
        <c:axId val="1631498320"/>
        <c:axId val="1638527488"/>
      </c:scatterChart>
      <c:valAx>
        <c:axId val="1631498320"/>
        <c:scaling>
          <c:orientation val="minMax"/>
          <c:max val="20"/>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8527488"/>
        <c:crosses val="autoZero"/>
        <c:crossBetween val="midCat"/>
      </c:valAx>
      <c:valAx>
        <c:axId val="16385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149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Vermogen/Gasverbruik als functie van Tbinnen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Constants!$X$101:$X$111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Constants!$Y$101:$Y$111</c:f>
              <c:numCache>
                <c:formatCode>0.0</c:formatCode>
                <c:ptCount val="11"/>
                <c:pt idx="0">
                  <c:v>11.919191919191919</c:v>
                </c:pt>
                <c:pt idx="1">
                  <c:v>8.9350961538461533</c:v>
                </c:pt>
                <c:pt idx="2">
                  <c:v>7.2785046728971965</c:v>
                </c:pt>
                <c:pt idx="3">
                  <c:v>6.2247706422018352</c:v>
                </c:pt>
                <c:pt idx="4">
                  <c:v>5.4954721862871931</c:v>
                </c:pt>
                <c:pt idx="5">
                  <c:v>4.9607623318385654</c:v>
                </c:pt>
                <c:pt idx="6">
                  <c:v>4.5519287833827891</c:v>
                </c:pt>
                <c:pt idx="7">
                  <c:v>4.2292035398230086</c:v>
                </c:pt>
                <c:pt idx="8">
                  <c:v>3.9679743795036031</c:v>
                </c:pt>
                <c:pt idx="9">
                  <c:v>3.7521929824561404</c:v>
                </c:pt>
                <c:pt idx="10">
                  <c:v>3.570948217888366</c:v>
                </c:pt>
              </c:numCache>
            </c:numRef>
          </c:yVal>
          <c:smooth val="0"/>
          <c:extLst>
            <c:ext xmlns:c16="http://schemas.microsoft.com/office/drawing/2014/chart" uri="{C3380CC4-5D6E-409C-BE32-E72D297353CC}">
              <c16:uniqueId val="{00000000-103D-4D42-BB67-9F5B80E0F20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Constants!$X$101:$X$111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Constants!$Z$101:$Z$111</c:f>
              <c:numCache>
                <c:formatCode>0.0</c:formatCode>
                <c:ptCount val="11"/>
                <c:pt idx="0">
                  <c:v>8.9393939393939394</c:v>
                </c:pt>
                <c:pt idx="1">
                  <c:v>6.8076923076923075</c:v>
                </c:pt>
                <c:pt idx="2">
                  <c:v>5.6242990654205611</c:v>
                </c:pt>
                <c:pt idx="3">
                  <c:v>4.8715596330275233</c:v>
                </c:pt>
                <c:pt idx="4">
                  <c:v>4.3505821474773612</c:v>
                </c:pt>
                <c:pt idx="5">
                  <c:v>3.9686098654708521</c:v>
                </c:pt>
                <c:pt idx="6">
                  <c:v>3.6765578635014835</c:v>
                </c:pt>
                <c:pt idx="7">
                  <c:v>3.4460176991150444</c:v>
                </c:pt>
                <c:pt idx="8">
                  <c:v>3.2594075260208166</c:v>
                </c:pt>
                <c:pt idx="9">
                  <c:v>3.1052631578947367</c:v>
                </c:pt>
                <c:pt idx="10">
                  <c:v>2.9757901815736383</c:v>
                </c:pt>
              </c:numCache>
            </c:numRef>
          </c:yVal>
          <c:smooth val="0"/>
          <c:extLst>
            <c:ext xmlns:c16="http://schemas.microsoft.com/office/drawing/2014/chart" uri="{C3380CC4-5D6E-409C-BE32-E72D297353CC}">
              <c16:uniqueId val="{00000001-103D-4D42-BB67-9F5B80E0F20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Constants!$X$101:$X$111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Constants!$AA$101:$AA$111</c:f>
              <c:numCache>
                <c:formatCode>0.0</c:formatCode>
                <c:ptCount val="11"/>
                <c:pt idx="0">
                  <c:v>5.9595959595959593</c:v>
                </c:pt>
                <c:pt idx="1">
                  <c:v>4.6802884615384617</c:v>
                </c:pt>
                <c:pt idx="2">
                  <c:v>3.9700934579439253</c:v>
                </c:pt>
                <c:pt idx="3">
                  <c:v>3.5183486238532109</c:v>
                </c:pt>
                <c:pt idx="4">
                  <c:v>3.2056921086675292</c:v>
                </c:pt>
                <c:pt idx="5">
                  <c:v>2.9764573991031389</c:v>
                </c:pt>
                <c:pt idx="6">
                  <c:v>2.8011869436201779</c:v>
                </c:pt>
                <c:pt idx="7">
                  <c:v>2.6628318584070798</c:v>
                </c:pt>
                <c:pt idx="8">
                  <c:v>2.5508406725380306</c:v>
                </c:pt>
                <c:pt idx="9">
                  <c:v>2.4583333333333335</c:v>
                </c:pt>
                <c:pt idx="10">
                  <c:v>2.3806321452589105</c:v>
                </c:pt>
              </c:numCache>
            </c:numRef>
          </c:yVal>
          <c:smooth val="0"/>
          <c:extLst>
            <c:ext xmlns:c16="http://schemas.microsoft.com/office/drawing/2014/chart" uri="{C3380CC4-5D6E-409C-BE32-E72D297353CC}">
              <c16:uniqueId val="{00000002-103D-4D42-BB67-9F5B80E0F20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Constants!$X$101:$X$111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Constants!$AB$101:$AB$111</c:f>
              <c:numCache>
                <c:formatCode>0.0</c:formatCode>
                <c:ptCount val="11"/>
                <c:pt idx="0">
                  <c:v>2.9797979797979797</c:v>
                </c:pt>
                <c:pt idx="1">
                  <c:v>2.5528846153846154</c:v>
                </c:pt>
                <c:pt idx="2">
                  <c:v>2.3158878504672895</c:v>
                </c:pt>
                <c:pt idx="3">
                  <c:v>2.165137614678899</c:v>
                </c:pt>
                <c:pt idx="4">
                  <c:v>2.0608020698576972</c:v>
                </c:pt>
                <c:pt idx="5">
                  <c:v>1.9843049327354261</c:v>
                </c:pt>
                <c:pt idx="6">
                  <c:v>1.9258160237388724</c:v>
                </c:pt>
                <c:pt idx="7">
                  <c:v>1.879646017699115</c:v>
                </c:pt>
                <c:pt idx="8">
                  <c:v>1.8422738190552441</c:v>
                </c:pt>
                <c:pt idx="9">
                  <c:v>1.8114035087719298</c:v>
                </c:pt>
                <c:pt idx="10">
                  <c:v>1.785474108944183</c:v>
                </c:pt>
              </c:numCache>
            </c:numRef>
          </c:yVal>
          <c:smooth val="0"/>
          <c:extLst>
            <c:ext xmlns:c16="http://schemas.microsoft.com/office/drawing/2014/chart" uri="{C3380CC4-5D6E-409C-BE32-E72D297353CC}">
              <c16:uniqueId val="{00000003-103D-4D42-BB67-9F5B80E0F20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Constants!$X$101:$X$111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Constants!$AC$101:$AC$111</c:f>
              <c:numCache>
                <c:formatCode>0.0</c:formatCode>
                <c:ptCount val="11"/>
                <c:pt idx="0">
                  <c:v>0</c:v>
                </c:pt>
                <c:pt idx="1">
                  <c:v>0.42548076923076922</c:v>
                </c:pt>
                <c:pt idx="2">
                  <c:v>0.66168224299065426</c:v>
                </c:pt>
                <c:pt idx="3">
                  <c:v>0.81192660550458717</c:v>
                </c:pt>
                <c:pt idx="4">
                  <c:v>0.91591203104786545</c:v>
                </c:pt>
                <c:pt idx="5">
                  <c:v>0.99215246636771304</c:v>
                </c:pt>
                <c:pt idx="6">
                  <c:v>1.0504451038575668</c:v>
                </c:pt>
                <c:pt idx="7">
                  <c:v>1.0964601769911504</c:v>
                </c:pt>
                <c:pt idx="8">
                  <c:v>1.1337069655724579</c:v>
                </c:pt>
                <c:pt idx="9">
                  <c:v>1.1644736842105263</c:v>
                </c:pt>
                <c:pt idx="10">
                  <c:v>1.1903160726294553</c:v>
                </c:pt>
              </c:numCache>
            </c:numRef>
          </c:yVal>
          <c:smooth val="0"/>
          <c:extLst>
            <c:ext xmlns:c16="http://schemas.microsoft.com/office/drawing/2014/chart" uri="{C3380CC4-5D6E-409C-BE32-E72D297353CC}">
              <c16:uniqueId val="{00000004-103D-4D42-BB67-9F5B80E0F209}"/>
            </c:ext>
          </c:extLst>
        </c:ser>
        <c:dLbls>
          <c:showLegendKey val="0"/>
          <c:showVal val="0"/>
          <c:showCatName val="0"/>
          <c:showSerName val="0"/>
          <c:showPercent val="0"/>
          <c:showBubbleSize val="0"/>
        </c:dLbls>
        <c:axId val="1631526160"/>
        <c:axId val="1638544768"/>
      </c:scatterChart>
      <c:valAx>
        <c:axId val="1631526160"/>
        <c:scaling>
          <c:orientation val="minMax"/>
          <c:max val="20"/>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8544768"/>
        <c:crosses val="autoZero"/>
        <c:crossBetween val="midCat"/>
      </c:valAx>
      <c:valAx>
        <c:axId val="1638544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15261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16</xdr:col>
      <xdr:colOff>123825</xdr:colOff>
      <xdr:row>10</xdr:row>
      <xdr:rowOff>28575</xdr:rowOff>
    </xdr:from>
    <xdr:to>
      <xdr:col>21</xdr:col>
      <xdr:colOff>152400</xdr:colOff>
      <xdr:row>10</xdr:row>
      <xdr:rowOff>57150</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bwMode="auto">
        <a:xfrm flipV="1">
          <a:off x="5153025" y="1733550"/>
          <a:ext cx="1600200" cy="28575"/>
        </a:xfrm>
        <a:prstGeom prst="straightConnector1">
          <a:avLst/>
        </a:prstGeom>
        <a:solidFill>
          <a:srgbClr val="FFFFFF"/>
        </a:solidFill>
        <a:ln w="41275" cap="flat" cmpd="sng" algn="ctr">
          <a:solidFill>
            <a:srgbClr val="FF0000"/>
          </a:solidFill>
          <a:prstDash val="solid"/>
          <a:round/>
          <a:headEnd type="triangle" w="lg" len="lg"/>
          <a:tailEnd type="triangle" w="lg" len="lg"/>
        </a:ln>
        <a:effectLst/>
      </xdr:spPr>
    </xdr:cxnSp>
    <xdr:clientData/>
  </xdr:twoCellAnchor>
  <xdr:twoCellAnchor>
    <xdr:from>
      <xdr:col>16</xdr:col>
      <xdr:colOff>95250</xdr:colOff>
      <xdr:row>7</xdr:row>
      <xdr:rowOff>76200</xdr:rowOff>
    </xdr:from>
    <xdr:to>
      <xdr:col>24</xdr:col>
      <xdr:colOff>9525</xdr:colOff>
      <xdr:row>8</xdr:row>
      <xdr:rowOff>152400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124450" y="1266825"/>
          <a:ext cx="2228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400" b="1">
              <a:solidFill>
                <a:srgbClr val="FF0000"/>
              </a:solidFill>
            </a:rPr>
            <a:t>Besparingsmogelijkheid</a:t>
          </a:r>
        </a:p>
      </xdr:txBody>
    </xdr:sp>
    <xdr:clientData/>
  </xdr:twoCellAnchor>
  <xdr:twoCellAnchor>
    <xdr:from>
      <xdr:col>24</xdr:col>
      <xdr:colOff>307975</xdr:colOff>
      <xdr:row>0</xdr:row>
      <xdr:rowOff>12700</xdr:rowOff>
    </xdr:from>
    <xdr:to>
      <xdr:col>28</xdr:col>
      <xdr:colOff>3174</xdr:colOff>
      <xdr:row>3</xdr:row>
      <xdr:rowOff>107950</xdr:rowOff>
    </xdr:to>
    <xdr:sp macro="" textlink="">
      <xdr:nvSpPr>
        <xdr:cNvPr id="2" name="Isosceles Triangle 1">
          <a:extLst>
            <a:ext uri="{FF2B5EF4-FFF2-40B4-BE49-F238E27FC236}">
              <a16:creationId xmlns:a16="http://schemas.microsoft.com/office/drawing/2014/main" id="{00000000-0008-0000-0000-000002000000}"/>
            </a:ext>
          </a:extLst>
        </xdr:cNvPr>
        <xdr:cNvSpPr/>
      </xdr:nvSpPr>
      <xdr:spPr>
        <a:xfrm>
          <a:off x="8397875" y="330200"/>
          <a:ext cx="990599" cy="584200"/>
        </a:xfrm>
        <a:prstGeom prst="triangle">
          <a:avLst>
            <a:gd name="adj" fmla="val 49815"/>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307975</xdr:colOff>
      <xdr:row>3</xdr:row>
      <xdr:rowOff>104774</xdr:rowOff>
    </xdr:from>
    <xdr:to>
      <xdr:col>27</xdr:col>
      <xdr:colOff>304799</xdr:colOff>
      <xdr:row>10</xdr:row>
      <xdr:rowOff>9525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651750" y="771524"/>
          <a:ext cx="920749" cy="11049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794</xdr:colOff>
      <xdr:row>3</xdr:row>
      <xdr:rowOff>106362</xdr:rowOff>
    </xdr:from>
    <xdr:to>
      <xdr:col>28</xdr:col>
      <xdr:colOff>51594</xdr:colOff>
      <xdr:row>5</xdr:row>
      <xdr:rowOff>92075</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573294" y="773112"/>
          <a:ext cx="50800" cy="3286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307975</xdr:colOff>
      <xdr:row>10</xdr:row>
      <xdr:rowOff>7144</xdr:rowOff>
    </xdr:from>
    <xdr:to>
      <xdr:col>28</xdr:col>
      <xdr:colOff>0</xdr:colOff>
      <xdr:row>16</xdr:row>
      <xdr:rowOff>152399</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7651750" y="1874044"/>
          <a:ext cx="920750" cy="1173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9525</xdr:colOff>
      <xdr:row>10</xdr:row>
      <xdr:rowOff>91280</xdr:rowOff>
    </xdr:from>
    <xdr:to>
      <xdr:col>28</xdr:col>
      <xdr:colOff>60325</xdr:colOff>
      <xdr:row>12</xdr:row>
      <xdr:rowOff>76993</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8582025" y="1958180"/>
          <a:ext cx="50800" cy="3286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24</xdr:col>
      <xdr:colOff>0</xdr:colOff>
      <xdr:row>32</xdr:row>
      <xdr:rowOff>0</xdr:rowOff>
    </xdr:from>
    <xdr:ext cx="609600" cy="25400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8089900" y="5276850"/>
          <a:ext cx="6096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nl-NL" sz="1100">
            <a:solidFill>
              <a:srgbClr val="FF0000"/>
            </a:solidFill>
          </a:endParaRPr>
        </a:p>
      </xdr:txBody>
    </xdr:sp>
    <xdr:clientData/>
  </xdr:oneCellAnchor>
  <xdr:twoCellAnchor>
    <xdr:from>
      <xdr:col>24</xdr:col>
      <xdr:colOff>307975</xdr:colOff>
      <xdr:row>21</xdr:row>
      <xdr:rowOff>12700</xdr:rowOff>
    </xdr:from>
    <xdr:to>
      <xdr:col>28</xdr:col>
      <xdr:colOff>3174</xdr:colOff>
      <xdr:row>24</xdr:row>
      <xdr:rowOff>107950</xdr:rowOff>
    </xdr:to>
    <xdr:sp macro="" textlink="">
      <xdr:nvSpPr>
        <xdr:cNvPr id="14" name="Isosceles Triangle 13">
          <a:extLst>
            <a:ext uri="{FF2B5EF4-FFF2-40B4-BE49-F238E27FC236}">
              <a16:creationId xmlns:a16="http://schemas.microsoft.com/office/drawing/2014/main" id="{00000000-0008-0000-0000-00000E000000}"/>
            </a:ext>
          </a:extLst>
        </xdr:cNvPr>
        <xdr:cNvSpPr/>
      </xdr:nvSpPr>
      <xdr:spPr>
        <a:xfrm>
          <a:off x="8397875" y="3587750"/>
          <a:ext cx="990599" cy="603250"/>
        </a:xfrm>
        <a:prstGeom prst="triangle">
          <a:avLst>
            <a:gd name="adj" fmla="val 49815"/>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307975</xdr:colOff>
      <xdr:row>24</xdr:row>
      <xdr:rowOff>104774</xdr:rowOff>
    </xdr:from>
    <xdr:to>
      <xdr:col>27</xdr:col>
      <xdr:colOff>304799</xdr:colOff>
      <xdr:row>31</xdr:row>
      <xdr:rowOff>4763</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7651750" y="4181474"/>
          <a:ext cx="920749" cy="11001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3175</xdr:colOff>
      <xdr:row>24</xdr:row>
      <xdr:rowOff>123030</xdr:rowOff>
    </xdr:from>
    <xdr:to>
      <xdr:col>28</xdr:col>
      <xdr:colOff>53975</xdr:colOff>
      <xdr:row>26</xdr:row>
      <xdr:rowOff>108743</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8575675" y="4199730"/>
          <a:ext cx="50800" cy="3286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24</xdr:col>
      <xdr:colOff>307975</xdr:colOff>
      <xdr:row>31</xdr:row>
      <xdr:rowOff>2381</xdr:rowOff>
    </xdr:from>
    <xdr:to>
      <xdr:col>28</xdr:col>
      <xdr:colOff>0</xdr:colOff>
      <xdr:row>39</xdr:row>
      <xdr:rowOff>9525</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7651750" y="5279231"/>
          <a:ext cx="920750" cy="120729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2381</xdr:colOff>
      <xdr:row>31</xdr:row>
      <xdr:rowOff>126999</xdr:rowOff>
    </xdr:from>
    <xdr:to>
      <xdr:col>28</xdr:col>
      <xdr:colOff>53181</xdr:colOff>
      <xdr:row>33</xdr:row>
      <xdr:rowOff>112712</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8574881" y="5403849"/>
          <a:ext cx="50800" cy="3286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24</xdr:col>
      <xdr:colOff>0</xdr:colOff>
      <xdr:row>34</xdr:row>
      <xdr:rowOff>0</xdr:rowOff>
    </xdr:from>
    <xdr:ext cx="609600" cy="25400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343775" y="5457825"/>
          <a:ext cx="6096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nl-NL" sz="1100">
            <a:solidFill>
              <a:srgbClr val="FF0000"/>
            </a:solidFill>
          </a:endParaRPr>
        </a:p>
      </xdr:txBody>
    </xdr:sp>
    <xdr:clientData/>
  </xdr:oneCellAnchor>
  <xdr:twoCellAnchor>
    <xdr:from>
      <xdr:col>9</xdr:col>
      <xdr:colOff>247650</xdr:colOff>
      <xdr:row>2</xdr:row>
      <xdr:rowOff>47625</xdr:rowOff>
    </xdr:from>
    <xdr:to>
      <xdr:col>23</xdr:col>
      <xdr:colOff>0</xdr:colOff>
      <xdr:row>19</xdr:row>
      <xdr:rowOff>104775</xdr:rowOff>
    </xdr:to>
    <xdr:graphicFrame macro="">
      <xdr:nvGraphicFramePr>
        <xdr:cNvPr id="21" name="Chart 20">
          <a:extLst>
            <a:ext uri="{FF2B5EF4-FFF2-40B4-BE49-F238E27FC236}">
              <a16:creationId xmlns:a16="http://schemas.microsoft.com/office/drawing/2014/main" id="{00000000-0008-0000-0000-000015000000}"/>
            </a:ext>
            <a:ext uri="{147F2762-F138-4A5C-976F-8EAC2B608ADB}">
              <a16:predDERef xmlns:a16="http://schemas.microsoft.com/office/drawing/2014/main" pre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0.43119</cdr:x>
      <cdr:y>0.17162</cdr:y>
    </cdr:from>
    <cdr:to>
      <cdr:x>0.66055</cdr:x>
      <cdr:y>0.29373</cdr:y>
    </cdr:to>
    <cdr:sp macro="" textlink="">
      <cdr:nvSpPr>
        <cdr:cNvPr id="2" name="TextBox 1">
          <a:extLst xmlns:a="http://schemas.openxmlformats.org/drawingml/2006/main">
            <a:ext uri="{FF2B5EF4-FFF2-40B4-BE49-F238E27FC236}">
              <a16:creationId xmlns:a16="http://schemas.microsoft.com/office/drawing/2014/main" id="{6583B818-C9F0-B48B-F3E7-44D51F1ADDB9}"/>
            </a:ext>
          </a:extLst>
        </cdr:cNvPr>
        <cdr:cNvSpPr txBox="1"/>
      </cdr:nvSpPr>
      <cdr:spPr>
        <a:xfrm xmlns:a="http://schemas.openxmlformats.org/drawingml/2006/main">
          <a:off x="1790700" y="495300"/>
          <a:ext cx="952500"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nl-NL" sz="1200" b="1">
            <a:solidFill>
              <a:srgbClr val="FF000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700896</xdr:colOff>
      <xdr:row>15</xdr:row>
      <xdr:rowOff>71888</xdr:rowOff>
    </xdr:from>
    <xdr:to>
      <xdr:col>0</xdr:col>
      <xdr:colOff>4753514</xdr:colOff>
      <xdr:row>32</xdr:row>
      <xdr:rowOff>71889</xdr:rowOff>
    </xdr:to>
    <xdr:graphicFrame macro="">
      <xdr:nvGraphicFramePr>
        <xdr:cNvPr id="7" name="Chart 6">
          <a:extLst>
            <a:ext uri="{FF2B5EF4-FFF2-40B4-BE49-F238E27FC236}">
              <a16:creationId xmlns:a16="http://schemas.microsoft.com/office/drawing/2014/main" id="{00000000-0008-0000-0300-000007000000}"/>
            </a:ext>
            <a:ext uri="{147F2762-F138-4A5C-976F-8EAC2B608ADB}">
              <a16:predDERef xmlns:a16="http://schemas.microsoft.com/office/drawing/2014/main" pre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709882</xdr:colOff>
      <xdr:row>1</xdr:row>
      <xdr:rowOff>125802</xdr:rowOff>
    </xdr:from>
    <xdr:to>
      <xdr:col>0</xdr:col>
      <xdr:colOff>5100449</xdr:colOff>
      <xdr:row>1</xdr:row>
      <xdr:rowOff>2659811</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9882" y="988444"/>
          <a:ext cx="4390567" cy="2534009"/>
        </a:xfrm>
        <a:prstGeom prst="rect">
          <a:avLst/>
        </a:prstGeom>
      </xdr:spPr>
    </xdr:pic>
    <xdr:clientData/>
  </xdr:twoCellAnchor>
  <xdr:twoCellAnchor editAs="oneCell">
    <xdr:from>
      <xdr:col>0</xdr:col>
      <xdr:colOff>3926632</xdr:colOff>
      <xdr:row>1</xdr:row>
      <xdr:rowOff>2219269</xdr:rowOff>
    </xdr:from>
    <xdr:to>
      <xdr:col>0</xdr:col>
      <xdr:colOff>5540392</xdr:colOff>
      <xdr:row>1</xdr:row>
      <xdr:rowOff>2989709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3926632" y="3081911"/>
          <a:ext cx="1613760" cy="770440"/>
        </a:xfrm>
        <a:prstGeom prst="rect">
          <a:avLst/>
        </a:prstGeom>
      </xdr:spPr>
    </xdr:pic>
    <xdr:clientData fLocksWithSheet="0"/>
  </xdr:twoCellAnchor>
  <xdr:twoCellAnchor editAs="oneCell">
    <xdr:from>
      <xdr:col>0</xdr:col>
      <xdr:colOff>4061605</xdr:colOff>
      <xdr:row>41</xdr:row>
      <xdr:rowOff>134788</xdr:rowOff>
    </xdr:from>
    <xdr:to>
      <xdr:col>0</xdr:col>
      <xdr:colOff>5607170</xdr:colOff>
      <xdr:row>64</xdr:row>
      <xdr:rowOff>107830</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a:stretch>
          <a:fillRect/>
        </a:stretch>
      </xdr:blipFill>
      <xdr:spPr>
        <a:xfrm>
          <a:off x="4061605" y="19840755"/>
          <a:ext cx="1545565" cy="4519882"/>
        </a:xfrm>
        <a:prstGeom prst="rect">
          <a:avLst/>
        </a:prstGeom>
      </xdr:spPr>
    </xdr:pic>
    <xdr:clientData/>
  </xdr:twoCellAnchor>
  <xdr:twoCellAnchor editAs="oneCell">
    <xdr:from>
      <xdr:col>0</xdr:col>
      <xdr:colOff>2480094</xdr:colOff>
      <xdr:row>41</xdr:row>
      <xdr:rowOff>125800</xdr:rowOff>
    </xdr:from>
    <xdr:to>
      <xdr:col>0</xdr:col>
      <xdr:colOff>4108665</xdr:colOff>
      <xdr:row>64</xdr:row>
      <xdr:rowOff>98843</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stretch>
          <a:fillRect/>
        </a:stretch>
      </xdr:blipFill>
      <xdr:spPr>
        <a:xfrm>
          <a:off x="2480094" y="21026885"/>
          <a:ext cx="1628571" cy="4519883"/>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0.43119</cdr:x>
      <cdr:y>0.17162</cdr:y>
    </cdr:from>
    <cdr:to>
      <cdr:x>0.66055</cdr:x>
      <cdr:y>0.29373</cdr:y>
    </cdr:to>
    <cdr:sp macro="" textlink="">
      <cdr:nvSpPr>
        <cdr:cNvPr id="2" name="TextBox 1">
          <a:extLst xmlns:a="http://schemas.openxmlformats.org/drawingml/2006/main">
            <a:ext uri="{FF2B5EF4-FFF2-40B4-BE49-F238E27FC236}">
              <a16:creationId xmlns:a16="http://schemas.microsoft.com/office/drawing/2014/main" id="{6583B818-C9F0-B48B-F3E7-44D51F1ADDB9}"/>
            </a:ext>
          </a:extLst>
        </cdr:cNvPr>
        <cdr:cNvSpPr txBox="1"/>
      </cdr:nvSpPr>
      <cdr:spPr>
        <a:xfrm xmlns:a="http://schemas.openxmlformats.org/drawingml/2006/main">
          <a:off x="1790700" y="495300"/>
          <a:ext cx="952500"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nl-NL" sz="1200" b="1">
            <a:solidFill>
              <a:srgbClr val="FF0000"/>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523875</xdr:colOff>
      <xdr:row>166</xdr:row>
      <xdr:rowOff>57150</xdr:rowOff>
    </xdr:from>
    <xdr:to>
      <xdr:col>3</xdr:col>
      <xdr:colOff>390525</xdr:colOff>
      <xdr:row>179</xdr:row>
      <xdr:rowOff>142875</xdr:rowOff>
    </xdr:to>
    <xdr:sp macro="" textlink="">
      <xdr:nvSpPr>
        <xdr:cNvPr id="9" name="Rectangle 8">
          <a:extLst>
            <a:ext uri="{FF2B5EF4-FFF2-40B4-BE49-F238E27FC236}">
              <a16:creationId xmlns:a16="http://schemas.microsoft.com/office/drawing/2014/main" id="{00000000-0008-0000-0A00-000009000000}"/>
            </a:ext>
          </a:extLst>
        </xdr:cNvPr>
        <xdr:cNvSpPr/>
      </xdr:nvSpPr>
      <xdr:spPr bwMode="auto">
        <a:xfrm>
          <a:off x="523875" y="27736800"/>
          <a:ext cx="1828800" cy="2562225"/>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nl-NL" sz="1100"/>
        </a:p>
      </xdr:txBody>
    </xdr:sp>
    <xdr:clientData/>
  </xdr:twoCellAnchor>
  <xdr:twoCellAnchor>
    <xdr:from>
      <xdr:col>17</xdr:col>
      <xdr:colOff>165099</xdr:colOff>
      <xdr:row>1</xdr:row>
      <xdr:rowOff>85726</xdr:rowOff>
    </xdr:from>
    <xdr:to>
      <xdr:col>24</xdr:col>
      <xdr:colOff>542925</xdr:colOff>
      <xdr:row>11</xdr:row>
      <xdr:rowOff>38100</xdr:rowOff>
    </xdr:to>
    <xdr:graphicFrame macro="">
      <xdr:nvGraphicFramePr>
        <xdr:cNvPr id="2" name="Chart 1">
          <a:extLst>
            <a:ext uri="{FF2B5EF4-FFF2-40B4-BE49-F238E27FC236}">
              <a16:creationId xmlns:a16="http://schemas.microsoft.com/office/drawing/2014/main" id="{00000000-0008-0000-0A00-000002000000}"/>
            </a:ext>
            <a:ext uri="{147F2762-F138-4A5C-976F-8EAC2B608ADB}">
              <a16:predDERef xmlns:a16="http://schemas.microsoft.com/office/drawing/2014/main" pre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39</xdr:row>
      <xdr:rowOff>80962</xdr:rowOff>
    </xdr:from>
    <xdr:to>
      <xdr:col>11</xdr:col>
      <xdr:colOff>285750</xdr:colOff>
      <xdr:row>48</xdr:row>
      <xdr:rowOff>0</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98</xdr:row>
      <xdr:rowOff>23812</xdr:rowOff>
    </xdr:from>
    <xdr:to>
      <xdr:col>14</xdr:col>
      <xdr:colOff>28575</xdr:colOff>
      <xdr:row>111</xdr:row>
      <xdr:rowOff>123825</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112</xdr:row>
      <xdr:rowOff>80962</xdr:rowOff>
    </xdr:from>
    <xdr:to>
      <xdr:col>22</xdr:col>
      <xdr:colOff>333375</xdr:colOff>
      <xdr:row>129</xdr:row>
      <xdr:rowOff>23812</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57150</xdr:colOff>
      <xdr:row>113</xdr:row>
      <xdr:rowOff>71437</xdr:rowOff>
    </xdr:from>
    <xdr:to>
      <xdr:col>30</xdr:col>
      <xdr:colOff>361950</xdr:colOff>
      <xdr:row>130</xdr:row>
      <xdr:rowOff>14287</xdr:rowOff>
    </xdr:to>
    <xdr:graphicFrame macro="">
      <xdr:nvGraphicFramePr>
        <xdr:cNvPr id="6" name="Chart 5">
          <a:extLst>
            <a:ext uri="{FF2B5EF4-FFF2-40B4-BE49-F238E27FC236}">
              <a16:creationId xmlns:a16="http://schemas.microsoft.com/office/drawing/2014/main" id="{00000000-0008-0000-0A00-000006000000}"/>
            </a:ext>
            <a:ext uri="{147F2762-F138-4A5C-976F-8EAC2B608ADB}">
              <a16:predDERef xmlns:a16="http://schemas.microsoft.com/office/drawing/2014/main" pre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200025</xdr:colOff>
          <xdr:row>160</xdr:row>
          <xdr:rowOff>9525</xdr:rowOff>
        </xdr:from>
        <xdr:to>
          <xdr:col>4</xdr:col>
          <xdr:colOff>200025</xdr:colOff>
          <xdr:row>161</xdr:row>
          <xdr:rowOff>28575</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A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nl-NL"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161</xdr:row>
          <xdr:rowOff>66675</xdr:rowOff>
        </xdr:from>
        <xdr:to>
          <xdr:col>4</xdr:col>
          <xdr:colOff>180975</xdr:colOff>
          <xdr:row>162</xdr:row>
          <xdr:rowOff>66675</xdr:rowOff>
        </xdr:to>
        <xdr:sp macro="" textlink="">
          <xdr:nvSpPr>
            <xdr:cNvPr id="21506" name="CheckBox1" hidden="1">
              <a:extLst>
                <a:ext uri="{63B3BB69-23CF-44E3-9099-C40C66FF867C}">
                  <a14:compatExt spid="_x0000_s21506"/>
                </a:ext>
                <a:ext uri="{FF2B5EF4-FFF2-40B4-BE49-F238E27FC236}">
                  <a16:creationId xmlns:a16="http://schemas.microsoft.com/office/drawing/2014/main" id="{00000000-0008-0000-0A00-000002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170</xdr:row>
          <xdr:rowOff>0</xdr:rowOff>
        </xdr:from>
        <xdr:to>
          <xdr:col>2</xdr:col>
          <xdr:colOff>247650</xdr:colOff>
          <xdr:row>171</xdr:row>
          <xdr:rowOff>19050</xdr:rowOff>
        </xdr:to>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A00-00000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nl-NL" sz="800" b="0" i="0" u="none" strike="noStrike" baseline="0">
                  <a:solidFill>
                    <a:srgbClr val="000000"/>
                  </a:solidFill>
                  <a:latin typeface="Segoe UI"/>
                  <a:cs typeface="Segoe UI"/>
                </a:rPr>
                <a:t>Check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172</xdr:row>
          <xdr:rowOff>19050</xdr:rowOff>
        </xdr:from>
        <xdr:to>
          <xdr:col>2</xdr:col>
          <xdr:colOff>238125</xdr:colOff>
          <xdr:row>173</xdr:row>
          <xdr:rowOff>38100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A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nl-NL" sz="800" b="0" i="0" u="none" strike="noStrike" baseline="0">
                  <a:solidFill>
                    <a:srgbClr val="000000"/>
                  </a:solidFill>
                  <a:latin typeface="Segoe UI"/>
                  <a:cs typeface="Segoe UI"/>
                </a:rPr>
                <a:t>Check Box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733425</xdr:colOff>
          <xdr:row>175</xdr:row>
          <xdr:rowOff>57150</xdr:rowOff>
        </xdr:from>
        <xdr:to>
          <xdr:col>3</xdr:col>
          <xdr:colOff>180975</xdr:colOff>
          <xdr:row>176</xdr:row>
          <xdr:rowOff>76200</xdr:rowOff>
        </xdr:to>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A00-00000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nl-NL" sz="800" b="0" i="0" u="none" strike="noStrike" baseline="0">
                  <a:solidFill>
                    <a:srgbClr val="000000"/>
                  </a:solidFill>
                  <a:latin typeface="Segoe UI"/>
                  <a:cs typeface="Segoe UI"/>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168</xdr:row>
          <xdr:rowOff>9525</xdr:rowOff>
        </xdr:from>
        <xdr:to>
          <xdr:col>2</xdr:col>
          <xdr:colOff>238125</xdr:colOff>
          <xdr:row>169</xdr:row>
          <xdr:rowOff>28575</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A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nl-NL" sz="800" b="0" i="0" u="none" strike="noStrike" baseline="0">
                  <a:solidFill>
                    <a:srgbClr val="000000"/>
                  </a:solidFill>
                  <a:latin typeface="Segoe UI"/>
                  <a:cs typeface="Segoe UI"/>
                </a:rPr>
                <a:t>Check Box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495300</xdr:colOff>
          <xdr:row>166</xdr:row>
          <xdr:rowOff>171450</xdr:rowOff>
        </xdr:from>
        <xdr:to>
          <xdr:col>3</xdr:col>
          <xdr:colOff>419100</xdr:colOff>
          <xdr:row>178</xdr:row>
          <xdr:rowOff>85725</xdr:rowOff>
        </xdr:to>
        <xdr:sp macro="" textlink="">
          <xdr:nvSpPr>
            <xdr:cNvPr id="21507" name="Group Box 3" descr="Verwarming" hidden="1">
              <a:extLst>
                <a:ext uri="{63B3BB69-23CF-44E3-9099-C40C66FF867C}">
                  <a14:compatExt spid="_x0000_s21507"/>
                </a:ext>
                <a:ext uri="{FF2B5EF4-FFF2-40B4-BE49-F238E27FC236}">
                  <a16:creationId xmlns:a16="http://schemas.microsoft.com/office/drawing/2014/main" id="{00000000-0008-0000-0A00-000003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nl-NL" sz="800" b="0" i="0" u="none" strike="noStrike" baseline="0">
                  <a:solidFill>
                    <a:srgbClr val="000000"/>
                  </a:solidFill>
                  <a:latin typeface="Segoe UI"/>
                  <a:cs typeface="Segoe UI"/>
                </a:rPr>
                <a:t>Verwarming</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drawing" Target="../drawings/drawing5.xm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printerSettings" Target="../printerSettings/printerSettings9.bin"/><Relationship Id="rId1" Type="http://schemas.openxmlformats.org/officeDocument/2006/relationships/hyperlink" Target="https://www.energiedeskundig.nl/energielabel-aanvragen/vloerisolatie-herkennen/?doing_wp_cron=1635371152.9522819519042968750000" TargetMode="External"/><Relationship Id="rId6" Type="http://schemas.openxmlformats.org/officeDocument/2006/relationships/image" Target="../media/image5.emf"/><Relationship Id="rId11" Type="http://schemas.openxmlformats.org/officeDocument/2006/relationships/ctrlProp" Target="../ctrlProps/ctrlProp5.xml"/><Relationship Id="rId5" Type="http://schemas.openxmlformats.org/officeDocument/2006/relationships/control" Target="../activeX/activeX1.xml"/><Relationship Id="rId10" Type="http://schemas.openxmlformats.org/officeDocument/2006/relationships/ctrlProp" Target="../ctrlProps/ctrlProp4.xml"/><Relationship Id="rId4" Type="http://schemas.openxmlformats.org/officeDocument/2006/relationships/vmlDrawing" Target="../drawings/vmlDrawing6.vml"/><Relationship Id="rId9"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vo.nl/subsidies-financiering/isde/woningeigenaren/isolatiemaatregel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limaatplein.com/gratis-co2-calculator" TargetMode="External"/><Relationship Id="rId1" Type="http://schemas.openxmlformats.org/officeDocument/2006/relationships/hyperlink" Target="https://www.klimaatplein.com/gratis-co2-calculato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s://maasburen.nl/berichten/maak-kennis-met-rolf-van-der-kemp-klimaatburgemeester-2022-voor-mook-en-middelaar" TargetMode="External"/><Relationship Id="rId13" Type="http://schemas.openxmlformats.org/officeDocument/2006/relationships/hyperlink" Target="https://maasburen.nl/files/maasburen.nl/uploads/files/734477/20%20procent%20besparen%20zonder%20een%20cent%20uit%20te%20geven.pdf" TargetMode="External"/><Relationship Id="rId18" Type="http://schemas.openxmlformats.org/officeDocument/2006/relationships/hyperlink" Target="https://maasburen.nl/files/maasburen.nl/uploads/files/734477/Warmtepompen%20_l.kort%20overzicht_d.pdf" TargetMode="External"/><Relationship Id="rId3" Type="http://schemas.openxmlformats.org/officeDocument/2006/relationships/hyperlink" Target="https://www.limburg.nl/@1665/duurzaam-thuis/" TargetMode="External"/><Relationship Id="rId21" Type="http://schemas.openxmlformats.org/officeDocument/2006/relationships/drawing" Target="../drawings/drawing3.xml"/><Relationship Id="rId7" Type="http://schemas.openxmlformats.org/officeDocument/2006/relationships/hyperlink" Target="https://maasburen.nl/pagina/energiecafe/menu/inkoopacties" TargetMode="External"/><Relationship Id="rId12" Type="http://schemas.openxmlformats.org/officeDocument/2006/relationships/hyperlink" Target="https://maasburen.nl/files/maasburen.nl/uploads/files/734477/Kierdichting%20en%20ventilatie%20vs%2012sep22.pdf" TargetMode="External"/><Relationship Id="rId17" Type="http://schemas.openxmlformats.org/officeDocument/2006/relationships/hyperlink" Target="https://maasburen.nl/files/maasburen.nl/uploads/files/734477/Warmtepompen%20_l.kort%20overzicht_d.pdf" TargetMode="External"/><Relationship Id="rId2" Type="http://schemas.openxmlformats.org/officeDocument/2006/relationships/hyperlink" Target="https://www.zonatlas.nl/start/" TargetMode="External"/><Relationship Id="rId16" Type="http://schemas.openxmlformats.org/officeDocument/2006/relationships/hyperlink" Target="https://maasburen.nl/files/maasburen.nl/uploads/files/734477/50-Graden-Test%20om%20gas%20te%20besparen.pdf" TargetMode="External"/><Relationship Id="rId20" Type="http://schemas.openxmlformats.org/officeDocument/2006/relationships/printerSettings" Target="../printerSettings/printerSettings4.bin"/><Relationship Id="rId1" Type="http://schemas.openxmlformats.org/officeDocument/2006/relationships/hyperlink" Target="https://www.verbeterjehuis.nl/energiesubsidiewijzer/" TargetMode="External"/><Relationship Id="rId6" Type="http://schemas.openxmlformats.org/officeDocument/2006/relationships/hyperlink" Target="https://www.mookenmiddelaar.nl/subsidie-afkoppelen-riolering" TargetMode="External"/><Relationship Id="rId11" Type="http://schemas.openxmlformats.org/officeDocument/2006/relationships/hyperlink" Target="https://maasburen.nl/files/maasburen.nl/uploads/files/734477/presentatie%20isolatie%20energiecafe%2015aug22.pdf" TargetMode="External"/><Relationship Id="rId5" Type="http://schemas.openxmlformats.org/officeDocument/2006/relationships/hyperlink" Target="https://www.mookenmiddelaar.nl/subsidie-afkoppelen-riolering" TargetMode="External"/><Relationship Id="rId15" Type="http://schemas.openxmlformats.org/officeDocument/2006/relationships/hyperlink" Target="https://maasburen.nl/files/maasburen.nl/uploads/files/734477/transitie%20visie%20warmte%20voor%2015sep22%20vs%203%2014sep22.pdf" TargetMode="External"/><Relationship Id="rId23" Type="http://schemas.openxmlformats.org/officeDocument/2006/relationships/comments" Target="../comments3.xml"/><Relationship Id="rId10" Type="http://schemas.openxmlformats.org/officeDocument/2006/relationships/hyperlink" Target="https://maasburen.nl/pagina/energiecafe/diensten/advies-op-maat-van-een-energiecoach" TargetMode="External"/><Relationship Id="rId19" Type="http://schemas.openxmlformats.org/officeDocument/2006/relationships/hyperlink" Target="https://maasburen.nl/pagina/energiecafe/menu/inkoopacties" TargetMode="External"/><Relationship Id="rId4" Type="http://schemas.openxmlformats.org/officeDocument/2006/relationships/hyperlink" Target="https://stef-aap.github.io/EnergieCafe/Subsidie/Warmtefonds%20geeft%20vanaf%20november%20lening%20zonder%20rente%20voor%20gasloos%20maken%20woning.pdf" TargetMode="External"/><Relationship Id="rId9" Type="http://schemas.openxmlformats.org/officeDocument/2006/relationships/hyperlink" Target="https://maasburen.nl/pagina/energiecafe/diensten/actie-blowerdoortest" TargetMode="External"/><Relationship Id="rId14" Type="http://schemas.openxmlformats.org/officeDocument/2006/relationships/hyperlink" Target="https://maasburen.nl/files/maasburen.nl/uploads/files/734477/Subsidies%20en%20leningen%20voor%20verduurzamen%20van%20de%20woning.pdf" TargetMode="External"/><Relationship Id="rId2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zonatlas.nl/start/" TargetMode="External"/><Relationship Id="rId2" Type="http://schemas.openxmlformats.org/officeDocument/2006/relationships/hyperlink" Target="https://energieverbruikberekenen.com/gemiddeld-energieverbruik/" TargetMode="External"/><Relationship Id="rId1" Type="http://schemas.openxmlformats.org/officeDocument/2006/relationships/hyperlink" Target="https://bagviewer.kadaster.nl/lvbag/bag-viewer/index.html" TargetMode="External"/><Relationship Id="rId6" Type="http://schemas.openxmlformats.org/officeDocument/2006/relationships/hyperlink" Target="https://www.mindergas.nl/degree_days_calculation" TargetMode="External"/><Relationship Id="rId5" Type="http://schemas.openxmlformats.org/officeDocument/2006/relationships/hyperlink" Target="https://stef-aap.github.io/Duurzaam/Inzicht_Warmtelek.pdf" TargetMode="External"/><Relationship Id="rId4" Type="http://schemas.openxmlformats.org/officeDocument/2006/relationships/hyperlink" Target="https://www.google.nl/map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5A12-6788-4036-A506-0C1EC3F48490}">
  <sheetPr codeName="Sheet2"/>
  <dimension ref="A1:AF58"/>
  <sheetViews>
    <sheetView showGridLines="0" tabSelected="1" zoomScaleNormal="100" workbookViewId="0">
      <selection activeCell="G19" sqref="G19:I19"/>
    </sheetView>
  </sheetViews>
  <sheetFormatPr defaultRowHeight="12.75"/>
  <cols>
    <col min="1" max="6" width="4.7109375" customWidth="1"/>
    <col min="7" max="7" width="4.7109375" style="31" customWidth="1"/>
    <col min="8" max="23" width="4.7109375" customWidth="1"/>
    <col min="24" max="24" width="1.7109375" customWidth="1"/>
    <col min="25" max="25" width="4.7109375" customWidth="1"/>
    <col min="26" max="29" width="4.5703125" customWidth="1"/>
    <col min="34" max="40" width="4.7109375" customWidth="1"/>
  </cols>
  <sheetData>
    <row r="1" spans="1:28">
      <c r="A1" s="330" t="s">
        <v>0</v>
      </c>
      <c r="B1" s="330"/>
      <c r="C1" s="330"/>
      <c r="D1" s="330"/>
      <c r="E1" s="330"/>
      <c r="F1" s="330"/>
      <c r="G1" s="364" t="s">
        <v>1093</v>
      </c>
      <c r="H1" s="365"/>
      <c r="I1" s="365"/>
      <c r="J1" s="365"/>
      <c r="K1" s="365"/>
      <c r="L1" s="365"/>
      <c r="M1" s="366" t="s">
        <v>1</v>
      </c>
      <c r="N1" s="366"/>
      <c r="O1" s="366"/>
      <c r="P1" s="366"/>
      <c r="Q1" s="366"/>
      <c r="R1" s="369" t="s">
        <v>2</v>
      </c>
      <c r="S1" s="369"/>
      <c r="T1" s="371">
        <v>1965</v>
      </c>
      <c r="U1" s="371"/>
      <c r="W1" s="353" t="s">
        <v>1091</v>
      </c>
      <c r="X1" s="353"/>
      <c r="AA1" s="5"/>
      <c r="AB1" s="5"/>
    </row>
    <row r="2" spans="1:28" ht="13.5" thickBot="1">
      <c r="A2" s="300" t="s">
        <v>3</v>
      </c>
      <c r="B2" s="301"/>
      <c r="C2" s="301"/>
      <c r="D2" s="301"/>
      <c r="E2" s="301"/>
      <c r="F2" s="302"/>
      <c r="G2" s="378" t="s">
        <v>1081</v>
      </c>
      <c r="H2" s="379"/>
      <c r="I2" s="379"/>
      <c r="J2" s="379"/>
      <c r="K2" s="379"/>
      <c r="L2" s="380"/>
      <c r="R2" s="370" t="s">
        <v>4</v>
      </c>
      <c r="S2" s="370"/>
      <c r="T2" s="371">
        <v>104</v>
      </c>
      <c r="U2" s="371"/>
      <c r="AB2" s="4"/>
    </row>
    <row r="3" spans="1:28" ht="13.5" thickBot="1">
      <c r="A3" s="300" t="s">
        <v>831</v>
      </c>
      <c r="B3" s="301"/>
      <c r="C3" s="301"/>
      <c r="D3" s="301"/>
      <c r="E3" s="301"/>
      <c r="F3" s="302"/>
      <c r="G3" s="332" t="s">
        <v>16</v>
      </c>
      <c r="H3" s="332"/>
      <c r="I3" s="332"/>
      <c r="AA3" s="2">
        <f ca="1">T_Zolder</f>
        <v>7.1682462838072585</v>
      </c>
    </row>
    <row r="4" spans="1:28" ht="13.5" thickBot="1">
      <c r="A4" s="330" t="s">
        <v>5</v>
      </c>
      <c r="B4" s="330"/>
      <c r="C4" s="330"/>
      <c r="D4" s="330"/>
      <c r="E4" s="330"/>
      <c r="F4" s="330"/>
      <c r="G4" s="368">
        <v>2</v>
      </c>
      <c r="H4" s="368"/>
      <c r="I4" s="368"/>
    </row>
    <row r="5" spans="1:28" ht="13.5" thickBot="1">
      <c r="A5" s="330" t="s">
        <v>6</v>
      </c>
      <c r="B5" s="330"/>
      <c r="C5" s="330"/>
      <c r="D5" s="330"/>
      <c r="E5" s="330"/>
      <c r="F5" s="330"/>
      <c r="G5" s="365" t="s">
        <v>203</v>
      </c>
      <c r="H5" s="365"/>
      <c r="I5" s="365"/>
      <c r="L5" t="str">
        <f ca="1">CONCATENATE("Nu ",Totaal_Verbruik," m3 gas/jaar")</f>
        <v>Nu 1690 m3 gas/jaar</v>
      </c>
      <c r="N5" t="s">
        <v>8</v>
      </c>
      <c r="P5" s="3">
        <f>L30</f>
        <v>120</v>
      </c>
      <c r="R5" s="8">
        <f>N30</f>
        <v>60</v>
      </c>
      <c r="AB5" s="2">
        <f ca="1">T_Boven-(T_Boven-Tbuiten)*0.13*Glas_Boven_Utot/Glas_Boven_Opp</f>
        <v>2.6102178873268631</v>
      </c>
    </row>
    <row r="6" spans="1:28" ht="13.5" thickBot="1">
      <c r="A6" s="330" t="s">
        <v>9</v>
      </c>
      <c r="B6" s="330"/>
      <c r="C6" s="330"/>
      <c r="D6" s="330"/>
      <c r="E6" s="330"/>
      <c r="F6" s="330"/>
      <c r="G6" s="365" t="s">
        <v>243</v>
      </c>
      <c r="H6" s="365"/>
      <c r="I6" s="365"/>
      <c r="L6" t="str">
        <f ca="1">CONCATENATE("Nieuw ",Totaal_Verbruik_b," m3 gas/jaar")</f>
        <v>Nieuw 550 m3 gas/jaar</v>
      </c>
      <c r="N6" t="s">
        <v>11</v>
      </c>
      <c r="P6" s="3">
        <f>L29</f>
        <v>120</v>
      </c>
      <c r="R6" s="8">
        <f>N29</f>
        <v>20</v>
      </c>
      <c r="AB6" s="6"/>
    </row>
    <row r="7" spans="1:28" ht="13.5" thickBot="1">
      <c r="A7" s="384" t="s">
        <v>12</v>
      </c>
      <c r="B7" s="384"/>
      <c r="C7" s="384"/>
      <c r="D7" s="384"/>
      <c r="E7" s="384"/>
      <c r="F7" s="384"/>
      <c r="G7" s="385" t="s">
        <v>16</v>
      </c>
      <c r="H7" s="385"/>
      <c r="I7" s="385"/>
      <c r="N7" t="s">
        <v>14</v>
      </c>
      <c r="P7" s="3">
        <f ca="1">L28</f>
        <v>310</v>
      </c>
      <c r="R7" s="8">
        <f ca="1">N28</f>
        <v>150</v>
      </c>
      <c r="AA7" s="2">
        <f ca="1">T_Boven</f>
        <v>10.610641818401884</v>
      </c>
      <c r="AB7" s="4"/>
    </row>
    <row r="8" spans="1:28" ht="13.5" thickBot="1">
      <c r="A8" s="330" t="s">
        <v>15</v>
      </c>
      <c r="B8" s="330"/>
      <c r="C8" s="330"/>
      <c r="D8" s="330"/>
      <c r="E8" s="330"/>
      <c r="F8" s="330"/>
      <c r="G8" s="365" t="s">
        <v>16</v>
      </c>
      <c r="H8" s="365"/>
      <c r="I8" s="365"/>
      <c r="N8" t="s">
        <v>17</v>
      </c>
      <c r="P8" s="3">
        <f ca="1">Vloer_Verbruik</f>
        <v>286.2314156431803</v>
      </c>
      <c r="R8" s="8">
        <f ca="1">Vloer_Verbruik_b</f>
        <v>100.56779468544173</v>
      </c>
      <c r="AB8" s="4"/>
    </row>
    <row r="9" spans="1:28" ht="13.5" thickBot="1">
      <c r="A9" s="330" t="s">
        <v>18</v>
      </c>
      <c r="B9" s="330"/>
      <c r="C9" s="330"/>
      <c r="D9" s="330"/>
      <c r="E9" s="330"/>
      <c r="F9" s="330"/>
      <c r="G9" s="365" t="s">
        <v>19</v>
      </c>
      <c r="H9" s="365"/>
      <c r="I9" s="365"/>
      <c r="J9" s="207" t="s">
        <v>20</v>
      </c>
      <c r="N9" t="s">
        <v>21</v>
      </c>
      <c r="P9" s="3">
        <f ca="1">Muur_Verbruik</f>
        <v>460.67802465697866</v>
      </c>
      <c r="R9" s="8">
        <f ca="1">Muur_Verbruik_b</f>
        <v>337.56452856635462</v>
      </c>
      <c r="AB9" s="2">
        <f ca="1">T_Boven-(T_Boven-Tbuiten)*0.13/Muur_Boven_Rc</f>
        <v>9.5495776365616951</v>
      </c>
    </row>
    <row r="10" spans="1:28" ht="13.5" thickBot="1">
      <c r="A10" s="330" t="s">
        <v>22</v>
      </c>
      <c r="B10" s="330"/>
      <c r="C10" s="330"/>
      <c r="D10" s="330"/>
      <c r="E10" s="330"/>
      <c r="F10" s="330"/>
      <c r="G10" s="365" t="s">
        <v>16</v>
      </c>
      <c r="H10" s="365"/>
      <c r="I10" s="365"/>
      <c r="N10" t="s">
        <v>23</v>
      </c>
      <c r="P10" s="3">
        <f ca="1">Glas_Verbruik</f>
        <v>600.99615698646289</v>
      </c>
      <c r="R10" s="8">
        <f ca="1">Glas_Verbruik_b</f>
        <v>114.87233419127838</v>
      </c>
      <c r="Z10" s="2">
        <f ca="1">T_Boven-(T_Boven-Tbinnen)*0.17/Plafond_Rc</f>
        <v>13.803023600145243</v>
      </c>
    </row>
    <row r="11" spans="1:28" ht="13.5" thickBot="1">
      <c r="A11" s="330" t="s">
        <v>826</v>
      </c>
      <c r="B11" s="330"/>
      <c r="C11" s="330"/>
      <c r="D11" s="330"/>
      <c r="E11" s="330"/>
      <c r="F11" s="330"/>
      <c r="G11" s="365" t="s">
        <v>243</v>
      </c>
      <c r="H11" s="365"/>
      <c r="I11" s="365"/>
      <c r="J11" s="207" t="s">
        <v>20</v>
      </c>
      <c r="N11" t="s">
        <v>24</v>
      </c>
      <c r="P11" s="3">
        <f ca="1">Dak_Verbruik</f>
        <v>161.66357127792895</v>
      </c>
      <c r="R11" s="8">
        <f ca="1">Dak_Verbruik_b</f>
        <v>62.290743193110984</v>
      </c>
    </row>
    <row r="12" spans="1:28" ht="13.5" thickBot="1">
      <c r="A12" s="330" t="s">
        <v>25</v>
      </c>
      <c r="B12" s="330"/>
      <c r="C12" s="330"/>
      <c r="D12" s="330"/>
      <c r="E12" s="330"/>
      <c r="F12" s="330"/>
      <c r="G12" s="365" t="s">
        <v>16</v>
      </c>
      <c r="H12" s="365"/>
      <c r="I12" s="365"/>
      <c r="J12" s="207" t="s">
        <v>20</v>
      </c>
      <c r="AB12" s="2">
        <f ca="1">Tbinnen-(Tbinnen-Tbuiten)*0.13*Glas_Onder_Utot/Glas_Onder_Opp</f>
        <v>4.9200000000000017</v>
      </c>
    </row>
    <row r="13" spans="1:28" ht="13.5" thickBot="1">
      <c r="A13" s="330" t="s">
        <v>26</v>
      </c>
      <c r="B13" s="330"/>
      <c r="C13" s="330"/>
      <c r="D13" s="330"/>
      <c r="E13" s="330"/>
      <c r="F13" s="330"/>
      <c r="G13" s="365" t="s">
        <v>16</v>
      </c>
      <c r="H13" s="365"/>
      <c r="I13" s="365"/>
      <c r="J13" s="207" t="s">
        <v>20</v>
      </c>
      <c r="AB13" s="6"/>
    </row>
    <row r="14" spans="1:28" ht="13.5" thickBot="1">
      <c r="A14" s="330" t="s">
        <v>27</v>
      </c>
      <c r="B14" s="330"/>
      <c r="C14" s="330"/>
      <c r="D14" s="330"/>
      <c r="E14" s="330"/>
      <c r="F14" s="330"/>
      <c r="G14" s="365" t="s">
        <v>16</v>
      </c>
      <c r="H14" s="365"/>
      <c r="I14" s="365"/>
      <c r="J14" s="207" t="s">
        <v>20</v>
      </c>
      <c r="AA14" s="2">
        <f>Tbinnen</f>
        <v>20</v>
      </c>
      <c r="AB14" s="4"/>
    </row>
    <row r="15" spans="1:28" ht="13.5" thickBot="1">
      <c r="A15" s="330" t="s">
        <v>828</v>
      </c>
      <c r="B15" s="330"/>
      <c r="C15" s="330"/>
      <c r="D15" s="330"/>
      <c r="E15" s="330"/>
      <c r="F15" s="330"/>
      <c r="G15" s="365" t="s">
        <v>16</v>
      </c>
      <c r="H15" s="365"/>
      <c r="I15" s="365"/>
      <c r="J15" s="207" t="s">
        <v>20</v>
      </c>
      <c r="Z15" s="38"/>
      <c r="AA15" s="38"/>
      <c r="AB15" s="38"/>
    </row>
    <row r="16" spans="1:28" ht="13.5" thickBot="1">
      <c r="A16" s="330" t="s">
        <v>28</v>
      </c>
      <c r="B16" s="330"/>
      <c r="C16" s="330"/>
      <c r="D16" s="330"/>
      <c r="E16" s="330"/>
      <c r="F16" s="330"/>
      <c r="G16" s="365" t="s">
        <v>16</v>
      </c>
      <c r="H16" s="365"/>
      <c r="I16" s="365"/>
      <c r="J16" s="207" t="s">
        <v>20</v>
      </c>
      <c r="AB16" s="2">
        <f ca="1">Tbinnen-(Tbinnen-Tbuiten)*0.13/Muur_Onder_Rc</f>
        <v>18</v>
      </c>
    </row>
    <row r="17" spans="1:32" ht="13.5" thickBot="1">
      <c r="A17" s="330" t="s">
        <v>29</v>
      </c>
      <c r="B17" s="330"/>
      <c r="C17" s="330"/>
      <c r="D17" s="330"/>
      <c r="E17" s="330"/>
      <c r="F17" s="330"/>
      <c r="G17" s="332"/>
      <c r="H17" s="332"/>
      <c r="I17" s="332"/>
      <c r="Z17" s="210">
        <f ca="1">IF(Vloerverwarming="Ja",24,Tbinnen-Correctie_Kruipruimte*(Tbinnen-Tbuiten)*0.17/Vloer_Rc)</f>
        <v>18.169230769230769</v>
      </c>
      <c r="AD17" s="37"/>
      <c r="AE17" s="37"/>
      <c r="AF17" s="37"/>
    </row>
    <row r="18" spans="1:32" ht="16.5" thickBot="1">
      <c r="A18" s="330" t="s">
        <v>30</v>
      </c>
      <c r="B18" s="330"/>
      <c r="C18" s="330"/>
      <c r="D18" s="330"/>
      <c r="E18" s="330"/>
      <c r="F18" s="330"/>
      <c r="G18" s="332">
        <v>1500</v>
      </c>
      <c r="H18" s="332"/>
      <c r="I18" s="332"/>
      <c r="Y18" s="375" t="s">
        <v>829</v>
      </c>
      <c r="Z18" s="376"/>
      <c r="AA18" s="376"/>
      <c r="AB18" s="376"/>
      <c r="AC18" s="377"/>
      <c r="AD18" s="37"/>
      <c r="AE18" s="37"/>
      <c r="AF18" s="37"/>
    </row>
    <row r="19" spans="1:32" ht="13.5" thickBot="1">
      <c r="A19" s="330" t="s">
        <v>31</v>
      </c>
      <c r="B19" s="330"/>
      <c r="C19" s="330"/>
      <c r="D19" s="330"/>
      <c r="E19" s="330"/>
      <c r="F19" s="330"/>
      <c r="G19" s="332"/>
      <c r="H19" s="332"/>
      <c r="I19" s="332"/>
      <c r="Z19" s="386" t="s">
        <v>32</v>
      </c>
      <c r="AA19" s="387"/>
      <c r="AB19" s="211">
        <f>Tbuiten</f>
        <v>0</v>
      </c>
      <c r="AE19" s="37"/>
      <c r="AF19" s="37"/>
    </row>
    <row r="20" spans="1:32" ht="13.5" thickBot="1">
      <c r="Z20" s="1"/>
      <c r="AA20" s="1"/>
      <c r="AE20" s="37"/>
      <c r="AF20" s="37"/>
    </row>
    <row r="21" spans="1:32">
      <c r="A21" s="337"/>
      <c r="B21" s="338"/>
      <c r="C21" s="338"/>
      <c r="D21" s="338"/>
      <c r="E21" s="338"/>
      <c r="F21" s="339"/>
      <c r="G21" s="343" t="s">
        <v>33</v>
      </c>
      <c r="H21" s="344"/>
      <c r="I21" s="344"/>
      <c r="J21" s="344"/>
      <c r="K21" s="345"/>
      <c r="L21" s="334" t="s">
        <v>34</v>
      </c>
      <c r="M21" s="335"/>
      <c r="N21" s="335"/>
      <c r="O21" s="336"/>
      <c r="P21" s="334" t="s">
        <v>35</v>
      </c>
      <c r="Q21" s="336"/>
      <c r="R21" s="356" t="s">
        <v>36</v>
      </c>
      <c r="S21" s="357"/>
      <c r="T21" s="357"/>
      <c r="U21" s="357"/>
      <c r="V21" s="357"/>
      <c r="W21" s="358"/>
      <c r="Y21" s="31"/>
      <c r="Z21" s="31"/>
      <c r="AA21" s="31"/>
      <c r="AB21" s="31"/>
      <c r="AC21" s="31"/>
    </row>
    <row r="22" spans="1:32" ht="13.5" thickBot="1">
      <c r="A22" s="340"/>
      <c r="B22" s="341"/>
      <c r="C22" s="341"/>
      <c r="D22" s="341"/>
      <c r="E22" s="341"/>
      <c r="F22" s="342"/>
      <c r="G22" s="346"/>
      <c r="H22" s="347"/>
      <c r="I22" s="347"/>
      <c r="J22" s="347"/>
      <c r="K22" s="348"/>
      <c r="L22" s="354" t="s">
        <v>37</v>
      </c>
      <c r="M22" s="355"/>
      <c r="N22" s="354" t="s">
        <v>38</v>
      </c>
      <c r="O22" s="355"/>
      <c r="P22" s="354" t="s">
        <v>39</v>
      </c>
      <c r="Q22" s="355"/>
      <c r="R22" s="359"/>
      <c r="S22" s="360"/>
      <c r="T22" s="360"/>
      <c r="U22" s="360"/>
      <c r="V22" s="360"/>
      <c r="W22" s="361"/>
      <c r="Y22" s="5"/>
      <c r="Z22" s="5"/>
      <c r="AA22" s="5"/>
      <c r="AB22" s="5"/>
    </row>
    <row r="23" spans="1:32" ht="13.5" thickBot="1">
      <c r="A23" s="349" t="s">
        <v>24</v>
      </c>
      <c r="B23" s="349"/>
      <c r="C23" s="349"/>
      <c r="D23" s="349"/>
      <c r="E23" s="349"/>
      <c r="F23" s="349"/>
      <c r="G23" s="373" t="str">
        <f ca="1">CONCATENATE(MROUND(Dak_Opp,1),"m2  Rt=",Dak_Rc,"&gt;&gt;",Dak_Rc_b)</f>
        <v>81m2  Rt=1.3&gt;&gt;6.3</v>
      </c>
      <c r="H23" s="373"/>
      <c r="I23" s="373"/>
      <c r="J23" s="373"/>
      <c r="K23" s="373"/>
      <c r="L23" s="333">
        <f ca="1">MROUND(Dak_Verbruik,10)</f>
        <v>160</v>
      </c>
      <c r="M23" s="333"/>
      <c r="N23" s="333">
        <f ca="1">MROUND(Dak_Verbruik_b,10)</f>
        <v>60</v>
      </c>
      <c r="O23" s="333"/>
      <c r="P23" s="304">
        <f ca="1">L23-N23</f>
        <v>100</v>
      </c>
      <c r="Q23" s="304"/>
      <c r="R23" s="362"/>
      <c r="S23" s="362"/>
      <c r="T23" s="362"/>
      <c r="U23" s="362"/>
      <c r="V23" s="362"/>
      <c r="W23" s="362"/>
      <c r="AB23" s="4"/>
    </row>
    <row r="24" spans="1:32" ht="13.5" thickBot="1">
      <c r="A24" s="309" t="s">
        <v>23</v>
      </c>
      <c r="B24" s="309"/>
      <c r="C24" s="309"/>
      <c r="D24" s="309"/>
      <c r="E24" s="309"/>
      <c r="F24" s="309"/>
      <c r="G24" s="363" t="str">
        <f ca="1">CONCATENATE("Onder: ",MROUND(Glas_Onder_Opp,0.1),"m2  Ug=",MROUND(Glas_Onder_Utot/Glas_Onder_Opp,0.1),"&gt;&gt;",MROUND(Glas_Onder_Utot_b/Glas_Onder_Opp,0.1))</f>
        <v>Onder: 10.6m2  Ug=5.8&gt;&gt;1</v>
      </c>
      <c r="H24" s="363"/>
      <c r="I24" s="363"/>
      <c r="J24" s="363"/>
      <c r="K24" s="363"/>
      <c r="L24" s="303">
        <f ca="1">MROUND(Glas_Verbruik,10)</f>
        <v>600</v>
      </c>
      <c r="M24" s="303"/>
      <c r="N24" s="303">
        <f ca="1">MROUND(Glas_Verbruik_b,10)</f>
        <v>110</v>
      </c>
      <c r="O24" s="303"/>
      <c r="P24" s="303">
        <f ca="1">L24-N24</f>
        <v>490</v>
      </c>
      <c r="Q24" s="303"/>
      <c r="R24" s="350" t="str">
        <f ca="1">CONCATENATE("Boven: ",MROUND(Glas_Boven_Opp,0.1),"m2  Ug=",MROUND(Glas_Boven_Utot/Glas_Boven_Opp,0.1),"&gt;&gt;",MROUND(Glas_Boven_Utot_b/Glas_Boven_Opp,0.1))</f>
        <v>Boven: 7.1m2  Ug=5.8&gt;&gt;1</v>
      </c>
      <c r="S24" s="350"/>
      <c r="T24" s="350"/>
      <c r="U24" s="350"/>
      <c r="V24" s="350"/>
      <c r="W24" s="350"/>
      <c r="AA24" s="41">
        <f ca="1">T_Zolder_b</f>
        <v>13.38509504524062</v>
      </c>
    </row>
    <row r="25" spans="1:32" ht="13.5" thickBot="1">
      <c r="A25" s="327" t="s">
        <v>40</v>
      </c>
      <c r="B25" s="327"/>
      <c r="C25" s="327"/>
      <c r="D25" s="327"/>
      <c r="E25" s="327"/>
      <c r="F25" s="327"/>
      <c r="G25" s="352" t="s">
        <v>857</v>
      </c>
      <c r="H25" s="352"/>
      <c r="I25" s="352"/>
      <c r="J25" s="352"/>
      <c r="K25" s="352"/>
      <c r="L25" s="304">
        <f ca="1">-MROUND(Glas_ZonIn,10)</f>
        <v>-220</v>
      </c>
      <c r="M25" s="304"/>
      <c r="N25" s="304">
        <f ca="1">-MROUND(Glas_ZonIn_b,10)</f>
        <v>-140</v>
      </c>
      <c r="O25" s="304"/>
      <c r="P25" s="304">
        <f ca="1">L25-N25</f>
        <v>-80</v>
      </c>
      <c r="Q25" s="304"/>
      <c r="R25" s="316"/>
      <c r="S25" s="316"/>
      <c r="T25" s="316"/>
      <c r="U25" s="316"/>
      <c r="V25" s="316"/>
      <c r="W25" s="316"/>
    </row>
    <row r="26" spans="1:32" ht="13.5" thickBot="1">
      <c r="A26" s="309" t="s">
        <v>21</v>
      </c>
      <c r="B26" s="309"/>
      <c r="C26" s="309"/>
      <c r="D26" s="309"/>
      <c r="E26" s="309"/>
      <c r="F26" s="309"/>
      <c r="G26" s="363" t="str">
        <f ca="1">CONCATENATE(MROUND(Muur_Onder_Opp+Muur_Boven_Opp+Muur_Zolder_Opp,1),"m2  Rt=",MROUND(Muur_Onder_Rc,0.1),"&gt;&gt;",Muur_Onder_Rc_b)</f>
        <v>115m2  Rt=1.3&gt;&gt;2.1</v>
      </c>
      <c r="H26" s="363"/>
      <c r="I26" s="363"/>
      <c r="J26" s="363"/>
      <c r="K26" s="363"/>
      <c r="L26" s="303">
        <f ca="1">MROUND(Muur_Verbruik,10)</f>
        <v>460</v>
      </c>
      <c r="M26" s="303"/>
      <c r="N26" s="303">
        <f ca="1">MROUND(Muur_Verbruik_b,10)</f>
        <v>340</v>
      </c>
      <c r="O26" s="303"/>
      <c r="P26" s="303">
        <f t="shared" ref="P26:P33" ca="1" si="0">L26-N26</f>
        <v>120</v>
      </c>
      <c r="Q26" s="303"/>
      <c r="R26" s="367"/>
      <c r="S26" s="367"/>
      <c r="T26" s="367"/>
      <c r="U26" s="367"/>
      <c r="V26" s="367"/>
      <c r="W26" s="367"/>
      <c r="AB26" s="41">
        <f ca="1">T_Boven_b-(T_Boven_b-Tbuiten)*0.13*Glas_Boven_Utot_b/Glas_Boven_Opp</f>
        <v>13.067950782784441</v>
      </c>
    </row>
    <row r="27" spans="1:32" ht="13.5" thickBot="1">
      <c r="A27" s="327" t="str">
        <f>IF(Vloerverwarming="Ja","Vloer (Vloerverwarming)","Vloer")</f>
        <v>Vloer</v>
      </c>
      <c r="B27" s="327"/>
      <c r="C27" s="327"/>
      <c r="D27" s="327"/>
      <c r="E27" s="327"/>
      <c r="F27" s="327"/>
      <c r="G27" s="352" t="str">
        <f ca="1">CONCATENATE(Vloer_Opp,"m2  Rt=",MROUND(Vloer_Rc,0.1),"&gt;&gt;",Vloer_Rc_b)</f>
        <v>73.8m2  Rt=1.3&gt;&gt;3.7</v>
      </c>
      <c r="H27" s="352"/>
      <c r="I27" s="352"/>
      <c r="J27" s="352"/>
      <c r="K27" s="352"/>
      <c r="L27" s="304">
        <f ca="1">MROUND(Vloer_Verbruik,10)</f>
        <v>290</v>
      </c>
      <c r="M27" s="304"/>
      <c r="N27" s="304">
        <f ca="1">MROUND(Vloer_Verbruik_b,10)</f>
        <v>100</v>
      </c>
      <c r="O27" s="304"/>
      <c r="P27" s="304">
        <f t="shared" ca="1" si="0"/>
        <v>190</v>
      </c>
      <c r="Q27" s="304"/>
      <c r="R27" s="316"/>
      <c r="S27" s="316"/>
      <c r="T27" s="316"/>
      <c r="U27" s="316"/>
      <c r="V27" s="316"/>
      <c r="W27" s="316"/>
      <c r="X27" s="1"/>
    </row>
    <row r="28" spans="1:32" ht="13.5" thickBot="1">
      <c r="A28" s="309" t="s">
        <v>41</v>
      </c>
      <c r="B28" s="309"/>
      <c r="C28" s="309"/>
      <c r="D28" s="309"/>
      <c r="E28" s="309"/>
      <c r="F28" s="309"/>
      <c r="G28" s="309"/>
      <c r="H28" s="309"/>
      <c r="I28" s="309"/>
      <c r="J28" s="309"/>
      <c r="K28" s="309"/>
      <c r="L28" s="303">
        <f ca="1">MROUND(Kieren_Verbruik,10)</f>
        <v>310</v>
      </c>
      <c r="M28" s="303"/>
      <c r="N28" s="303">
        <f ca="1">MROUND(Kieren_Verbruik_b,10)</f>
        <v>150</v>
      </c>
      <c r="O28" s="303"/>
      <c r="P28" s="303">
        <f t="shared" ca="1" si="0"/>
        <v>160</v>
      </c>
      <c r="Q28" s="303"/>
      <c r="R28" s="351"/>
      <c r="S28" s="351"/>
      <c r="T28" s="351"/>
      <c r="U28" s="351"/>
      <c r="V28" s="351"/>
      <c r="W28" s="351"/>
      <c r="X28" s="1"/>
      <c r="AA28" s="41">
        <f ca="1">T_Boven_b</f>
        <v>15.020633083660277</v>
      </c>
    </row>
    <row r="29" spans="1:32" ht="13.5" thickBot="1">
      <c r="A29" s="327" t="s">
        <v>11</v>
      </c>
      <c r="B29" s="327"/>
      <c r="C29" s="327"/>
      <c r="D29" s="327"/>
      <c r="E29" s="327"/>
      <c r="F29" s="327"/>
      <c r="G29" s="352"/>
      <c r="H29" s="352"/>
      <c r="I29" s="352"/>
      <c r="J29" s="352"/>
      <c r="K29" s="352"/>
      <c r="L29" s="304">
        <f>MROUND(Ventilatie_Verbruik,10)</f>
        <v>120</v>
      </c>
      <c r="M29" s="304"/>
      <c r="N29" s="304">
        <f>MROUND(Ventilatie_Verbruik_b,10)</f>
        <v>20</v>
      </c>
      <c r="O29" s="304"/>
      <c r="P29" s="304">
        <f t="shared" si="0"/>
        <v>100</v>
      </c>
      <c r="Q29" s="304"/>
      <c r="R29" s="316"/>
      <c r="S29" s="316"/>
      <c r="T29" s="316"/>
      <c r="U29" s="316"/>
      <c r="V29" s="316"/>
      <c r="W29" s="316"/>
      <c r="X29" s="1"/>
    </row>
    <row r="30" spans="1:32" ht="13.5" thickBot="1">
      <c r="A30" s="309" t="s">
        <v>42</v>
      </c>
      <c r="B30" s="309"/>
      <c r="C30" s="309"/>
      <c r="D30" s="309"/>
      <c r="E30" s="309"/>
      <c r="F30" s="309"/>
      <c r="G30" s="309"/>
      <c r="H30" s="309"/>
      <c r="I30" s="309"/>
      <c r="J30" s="309"/>
      <c r="K30" s="309"/>
      <c r="L30" s="303">
        <f>WarmWater_Verbruik</f>
        <v>120</v>
      </c>
      <c r="M30" s="303"/>
      <c r="N30" s="303">
        <f>MROUND(Personen*VLOOKUP("Weinig",WarmWater_T,2,FALSE),10)</f>
        <v>60</v>
      </c>
      <c r="O30" s="303"/>
      <c r="P30" s="303">
        <f t="shared" si="0"/>
        <v>60</v>
      </c>
      <c r="Q30" s="303"/>
      <c r="R30" s="351"/>
      <c r="S30" s="351"/>
      <c r="T30" s="351"/>
      <c r="U30" s="351"/>
      <c r="V30" s="351"/>
      <c r="W30" s="351"/>
      <c r="AB30" s="41">
        <f ca="1">T_Boven_b-(T_Boven_b-Tbuiten)*0.13/Muur_Boven_Rc_b</f>
        <v>14.090784368957499</v>
      </c>
    </row>
    <row r="31" spans="1:32" ht="13.5" thickBot="1">
      <c r="A31" s="327" t="s">
        <v>43</v>
      </c>
      <c r="B31" s="327"/>
      <c r="C31" s="327"/>
      <c r="D31" s="327"/>
      <c r="E31" s="327"/>
      <c r="F31" s="327"/>
      <c r="G31" s="327"/>
      <c r="H31" s="327"/>
      <c r="I31" s="327"/>
      <c r="J31" s="327"/>
      <c r="K31" s="327"/>
      <c r="L31" s="304">
        <f ca="1">-MROUND(Interne_Warmtelast,10)</f>
        <v>-150</v>
      </c>
      <c r="M31" s="304"/>
      <c r="N31" s="304">
        <f ca="1">-MROUND(Interne_Warmtelast,10)</f>
        <v>-150</v>
      </c>
      <c r="O31" s="304"/>
      <c r="P31" s="304">
        <f t="shared" ca="1" si="0"/>
        <v>0</v>
      </c>
      <c r="Q31" s="304"/>
      <c r="R31" s="316"/>
      <c r="S31" s="316"/>
      <c r="T31" s="316"/>
      <c r="U31" s="316"/>
      <c r="V31" s="316"/>
      <c r="W31" s="316"/>
      <c r="Z31" s="41">
        <f ca="1">T_Boven_b-(T_Boven_b-Tbinnen)*0.17/Plafond_Rc</f>
        <v>16.713617835215782</v>
      </c>
    </row>
    <row r="32" spans="1:32" ht="13.5" thickBot="1">
      <c r="A32" s="310"/>
      <c r="B32" s="310"/>
      <c r="C32" s="310"/>
      <c r="D32" s="310"/>
      <c r="E32" s="310"/>
      <c r="F32" s="310"/>
      <c r="G32" s="310"/>
      <c r="H32" s="310"/>
      <c r="I32" s="310"/>
      <c r="J32" s="310"/>
      <c r="K32" s="310"/>
      <c r="L32" s="311"/>
      <c r="M32" s="312"/>
      <c r="N32" s="311"/>
      <c r="O32" s="312"/>
      <c r="P32" s="304">
        <f t="shared" ref="P32" si="1">L32-N32</f>
        <v>0</v>
      </c>
      <c r="Q32" s="304"/>
      <c r="R32" s="321"/>
      <c r="S32" s="322"/>
      <c r="T32" s="322"/>
      <c r="U32" s="322"/>
      <c r="V32" s="322"/>
      <c r="W32" s="322"/>
    </row>
    <row r="33" spans="1:29" ht="13.5" thickBot="1">
      <c r="A33" s="391" t="s">
        <v>44</v>
      </c>
      <c r="B33" s="392"/>
      <c r="C33" s="392"/>
      <c r="D33" s="392"/>
      <c r="E33" s="392"/>
      <c r="F33" s="392"/>
      <c r="G33" s="392"/>
      <c r="H33" s="392"/>
      <c r="I33" s="392"/>
      <c r="J33" s="392"/>
      <c r="K33" s="393"/>
      <c r="L33" s="313">
        <f ca="1">SUM(L23:L32)</f>
        <v>1690</v>
      </c>
      <c r="M33" s="314"/>
      <c r="N33" s="313">
        <f ca="1">SUM(N23:N32)</f>
        <v>550</v>
      </c>
      <c r="O33" s="314"/>
      <c r="P33" s="324">
        <f t="shared" ca="1" si="0"/>
        <v>1140</v>
      </c>
      <c r="Q33" s="325"/>
      <c r="R33" s="317"/>
      <c r="S33" s="318"/>
      <c r="T33" s="318"/>
      <c r="U33" s="318"/>
      <c r="V33" s="318"/>
      <c r="W33" s="319"/>
      <c r="AB33" s="41">
        <f ca="1">Tbinnen-(Tbinnen-Tbuiten)*0.13*Glas_Onder_Utot_b/Glas_Onder_Opp</f>
        <v>17.399999999999999</v>
      </c>
    </row>
    <row r="34" spans="1:29" ht="13.5" thickBot="1">
      <c r="A34" s="382" t="str">
        <f>IF(ISBLANK(Huidig_Gasverbruik),"","Huidig Gasverbruik")</f>
        <v>Huidig Gasverbruik</v>
      </c>
      <c r="B34" s="382"/>
      <c r="C34" s="382"/>
      <c r="D34" s="382"/>
      <c r="E34" s="382"/>
      <c r="F34" s="382"/>
      <c r="G34" s="382"/>
      <c r="H34" s="382"/>
      <c r="I34" s="382"/>
      <c r="J34" s="382"/>
      <c r="K34" s="383"/>
      <c r="L34" s="381">
        <f>IF(ISBLANK(Huidig_Gasverbruik),"",Huidig_Gasverbruik)</f>
        <v>1500</v>
      </c>
      <c r="M34" s="381"/>
      <c r="R34" s="323"/>
      <c r="S34" s="323"/>
      <c r="T34" s="323"/>
      <c r="U34" s="323"/>
      <c r="V34" s="323"/>
      <c r="W34" s="323"/>
      <c r="AB34" s="6"/>
    </row>
    <row r="35" spans="1:29" ht="13.5" thickBot="1">
      <c r="A35" s="308"/>
      <c r="B35" s="308"/>
      <c r="C35" s="308"/>
      <c r="D35" s="308"/>
      <c r="E35" s="308"/>
      <c r="F35" s="308"/>
      <c r="G35" s="308"/>
      <c r="H35" s="308"/>
      <c r="I35" s="308"/>
      <c r="J35" s="308"/>
      <c r="K35" s="308"/>
      <c r="L35" s="303">
        <f ca="1">MROUND(Totaal_Verbruik*CO2_m3,10)</f>
        <v>3510</v>
      </c>
      <c r="M35" s="303"/>
      <c r="N35" s="303">
        <f ca="1">MROUND(Totaal_Verbruik_b*CO2_m3,10)</f>
        <v>1140</v>
      </c>
      <c r="O35" s="303"/>
      <c r="P35" s="303">
        <f ca="1">L35-N35</f>
        <v>2370</v>
      </c>
      <c r="Q35" s="303"/>
      <c r="R35" s="309" t="s">
        <v>45</v>
      </c>
      <c r="S35" s="309"/>
      <c r="T35" s="309"/>
      <c r="U35" s="309"/>
      <c r="V35" s="309"/>
      <c r="W35" s="309"/>
      <c r="AA35" s="41">
        <f>Tbinnen</f>
        <v>20</v>
      </c>
      <c r="AB35" s="4"/>
    </row>
    <row r="36" spans="1:29">
      <c r="A36" s="307"/>
      <c r="B36" s="307"/>
      <c r="C36" s="307"/>
      <c r="D36" s="307"/>
      <c r="E36" s="307"/>
      <c r="F36" s="307"/>
      <c r="G36" s="307"/>
      <c r="H36" s="307"/>
      <c r="I36" s="307"/>
      <c r="J36" s="307"/>
      <c r="K36" s="307"/>
      <c r="L36" s="304">
        <f ca="1">Totaal_Verbruik*Bomen_m3</f>
        <v>159.70500000000001</v>
      </c>
      <c r="M36" s="304"/>
      <c r="N36" s="304">
        <f ca="1">Totaal_Verbruik_b*Bomen_m3</f>
        <v>51.975000000000001</v>
      </c>
      <c r="O36" s="304"/>
      <c r="P36" s="304">
        <f ca="1">L36-N36</f>
        <v>107.73000000000002</v>
      </c>
      <c r="Q36" s="304"/>
      <c r="R36" s="327" t="s">
        <v>46</v>
      </c>
      <c r="S36" s="327"/>
      <c r="T36" s="327"/>
      <c r="U36" s="327"/>
      <c r="V36" s="327"/>
      <c r="W36" s="327"/>
      <c r="AB36" s="6"/>
    </row>
    <row r="37" spans="1:29" ht="13.5" thickBot="1">
      <c r="A37" s="308"/>
      <c r="B37" s="308"/>
      <c r="C37" s="308"/>
      <c r="D37" s="308"/>
      <c r="E37" s="308"/>
      <c r="F37" s="308"/>
      <c r="G37" s="308"/>
      <c r="H37" s="308"/>
      <c r="I37" s="308"/>
      <c r="J37" s="308"/>
      <c r="K37" s="308"/>
      <c r="L37" s="303">
        <f ca="1">MROUND(Totaal_Verbruik*Prijs_m3,10)</f>
        <v>2450</v>
      </c>
      <c r="M37" s="303"/>
      <c r="N37" s="303">
        <f ca="1">MROUND(Totaal_Verbruik_b*Prijs_m3,10)</f>
        <v>800</v>
      </c>
      <c r="O37" s="303"/>
      <c r="P37" s="303">
        <f ca="1">L37-N37</f>
        <v>1650</v>
      </c>
      <c r="Q37" s="303"/>
      <c r="R37" s="309" t="s">
        <v>47</v>
      </c>
      <c r="S37" s="309"/>
      <c r="T37" s="309"/>
      <c r="U37" s="309"/>
      <c r="V37" s="309"/>
      <c r="W37" s="309"/>
    </row>
    <row r="38" spans="1:29" ht="13.5" thickBot="1">
      <c r="A38" s="307" t="s">
        <v>48</v>
      </c>
      <c r="B38" s="307"/>
      <c r="C38" s="307"/>
      <c r="D38" s="307"/>
      <c r="E38" s="307"/>
      <c r="F38" s="307"/>
      <c r="G38" s="307"/>
      <c r="H38" s="307"/>
      <c r="I38" s="307"/>
      <c r="J38" s="307"/>
      <c r="K38" s="307"/>
      <c r="L38" s="304">
        <f ca="1">(Totaal_Verbruik-WarmWater_Verbruik)*kWh_m3*Ketel_Rendement/Opp</f>
        <v>88.60501355013551</v>
      </c>
      <c r="M38" s="304"/>
      <c r="N38" s="304">
        <f ca="1">(Totaal_Verbruik_b-WarmWater_Verbruik_b)*kWh_m3*Ketel_Rendement/Opp</f>
        <v>27.653794037940379</v>
      </c>
      <c r="O38" s="304"/>
      <c r="P38" s="328" t="s">
        <v>49</v>
      </c>
      <c r="Q38" s="328"/>
      <c r="R38" s="328"/>
      <c r="S38" s="328"/>
      <c r="T38" s="328"/>
      <c r="U38" s="328"/>
      <c r="V38" s="328"/>
      <c r="W38" s="328"/>
      <c r="AB38" s="41">
        <f ca="1">Tbinnen-(Tbinnen-Tbuiten)*0.13/Muur_Onder_Rc_b</f>
        <v>18.761904761904763</v>
      </c>
    </row>
    <row r="39" spans="1:29" ht="13.5" thickBot="1">
      <c r="A39" s="308" t="s">
        <v>50</v>
      </c>
      <c r="B39" s="308"/>
      <c r="C39" s="308"/>
      <c r="D39" s="308"/>
      <c r="E39" s="308"/>
      <c r="F39" s="308"/>
      <c r="G39" s="308"/>
      <c r="H39" s="308"/>
      <c r="I39" s="308"/>
      <c r="J39" s="308"/>
      <c r="K39" s="308"/>
      <c r="L39" s="329">
        <f ca="1">Warmtepomp_beta*(Totaal_Verbruik-WarmWater_Verbruik)/Warmtepomp_m3</f>
        <v>7.85</v>
      </c>
      <c r="M39" s="329"/>
      <c r="N39" s="329">
        <f ca="1">Warmtepomp_beta*(Totaal_Verbruik_b-WarmWater_Verbruik_b)/Warmtepomp_m3</f>
        <v>2.4500000000000002</v>
      </c>
      <c r="O39" s="329"/>
      <c r="P39" s="305" t="s">
        <v>1086</v>
      </c>
      <c r="Q39" s="305"/>
      <c r="R39" s="305"/>
      <c r="S39" s="305"/>
      <c r="T39" s="305"/>
      <c r="U39" s="305"/>
      <c r="V39" s="305"/>
      <c r="W39" s="305"/>
      <c r="Z39" s="212">
        <f>IF(Vloerverwarming="Ja",24,Tbinnen-Correctie_Kruipruimte*(Tbinnen-Tbuiten)*0.17/Vloer_Rc_b)</f>
        <v>19.356756756756756</v>
      </c>
    </row>
    <row r="40" spans="1:29" ht="16.5" thickBot="1">
      <c r="A40" s="307" t="s">
        <v>1079</v>
      </c>
      <c r="B40" s="307"/>
      <c r="C40" s="307"/>
      <c r="D40" s="307"/>
      <c r="E40" s="307"/>
      <c r="F40" s="307"/>
      <c r="G40" s="307"/>
      <c r="H40" s="307"/>
      <c r="I40" s="307"/>
      <c r="J40" s="307"/>
      <c r="K40" s="307"/>
      <c r="L40" s="304">
        <f ca="1">MROUND(Totaal_Verbruik*kWh_m3*Ketel_Rendement/Warmtepomp_SCOP,10)</f>
        <v>3130</v>
      </c>
      <c r="M40" s="304"/>
      <c r="N40" s="304">
        <f ca="1">MROUND(Totaal_Verbruik_b*kWh_m3*Ketel_Rendement/Warmtepomp_SCOP,10)</f>
        <v>1020</v>
      </c>
      <c r="O40" s="304"/>
      <c r="P40" s="36" t="str">
        <f>CONCATENATE("Bij een SCOP van ", MROUND(Warmtepomp_SCOP,0.1))</f>
        <v>Bij een SCOP van 4.5</v>
      </c>
      <c r="Q40" s="36"/>
      <c r="R40" s="209"/>
      <c r="S40" s="209"/>
      <c r="T40" s="209"/>
      <c r="U40" s="209"/>
      <c r="V40" s="209"/>
      <c r="W40" s="209"/>
      <c r="Y40" s="388" t="s">
        <v>830</v>
      </c>
      <c r="Z40" s="389"/>
      <c r="AA40" s="389"/>
      <c r="AB40" s="389"/>
      <c r="AC40" s="390"/>
    </row>
    <row r="41" spans="1:29" ht="13.5" thickBot="1">
      <c r="A41" s="308" t="s">
        <v>51</v>
      </c>
      <c r="B41" s="308"/>
      <c r="C41" s="308"/>
      <c r="D41" s="308"/>
      <c r="E41" s="308"/>
      <c r="F41" s="308"/>
      <c r="G41" s="308"/>
      <c r="H41" s="308"/>
      <c r="I41" s="308"/>
      <c r="J41" s="308"/>
      <c r="K41" s="308"/>
      <c r="L41" s="303">
        <f ca="1">ROUNDUP(L40,1)/Zonnepaneel_Opbrengst</f>
        <v>11.592592592592593</v>
      </c>
      <c r="M41" s="303"/>
      <c r="N41" s="303">
        <f ca="1">ROUNDUP(N40,1)/Zonnepaneel_Opbrengst</f>
        <v>3.7777777777777777</v>
      </c>
      <c r="O41" s="303"/>
      <c r="P41" s="305" t="str">
        <f>CONCATENATE("Bij  ",MROUND(Zonnepaneel_Opbrengst,1)," kWh per paneel per jaar")</f>
        <v>Bij  270 kWh per paneel per jaar</v>
      </c>
      <c r="Q41" s="305"/>
      <c r="R41" s="305"/>
      <c r="S41" s="305"/>
      <c r="T41" s="305"/>
      <c r="U41" s="305"/>
      <c r="V41" s="305"/>
      <c r="W41" s="305"/>
      <c r="Z41" s="386" t="s">
        <v>32</v>
      </c>
      <c r="AA41" s="387"/>
      <c r="AB41" s="213">
        <f>Tbuiten</f>
        <v>0</v>
      </c>
    </row>
    <row r="42" spans="1:29">
      <c r="B42" s="306" t="s">
        <v>52</v>
      </c>
      <c r="C42" s="306"/>
      <c r="D42" s="306"/>
      <c r="E42" s="306"/>
      <c r="F42" s="306"/>
      <c r="G42" s="306"/>
      <c r="H42" s="306"/>
      <c r="I42" s="306"/>
      <c r="J42" s="306"/>
      <c r="K42" s="306"/>
      <c r="L42" s="306"/>
      <c r="M42" s="306"/>
      <c r="N42" s="306"/>
      <c r="O42" s="306"/>
      <c r="P42" s="306"/>
      <c r="Q42" s="306"/>
      <c r="R42" s="306"/>
      <c r="S42" s="306"/>
      <c r="T42" s="306"/>
      <c r="U42" s="306"/>
      <c r="V42" s="306"/>
    </row>
    <row r="43" spans="1:29">
      <c r="A43" s="308" t="s">
        <v>53</v>
      </c>
      <c r="B43" s="308"/>
      <c r="C43" s="308"/>
      <c r="D43" s="308"/>
      <c r="E43" s="308"/>
      <c r="F43" s="308"/>
      <c r="G43" s="308"/>
      <c r="H43" s="308"/>
      <c r="I43" s="308"/>
      <c r="J43" s="308"/>
      <c r="K43" s="308"/>
      <c r="L43" s="394">
        <f ca="1">Verbruik_Gevel-Verbruik_Gevel_1</f>
        <v>143.71098484734512</v>
      </c>
      <c r="M43" s="394"/>
      <c r="N43" s="394">
        <f ca="1">Verbruik_Gevel_b-Verbruik_Gevel_1_b</f>
        <v>58.576122140564962</v>
      </c>
      <c r="O43" s="394"/>
      <c r="P43" s="303"/>
      <c r="Q43" s="303"/>
      <c r="R43" s="374"/>
      <c r="S43" s="374"/>
      <c r="T43" s="374"/>
      <c r="U43" s="374"/>
      <c r="V43" s="374"/>
      <c r="W43" s="374"/>
    </row>
    <row r="48" spans="1:29" ht="15">
      <c r="A48" s="315" t="s">
        <v>54</v>
      </c>
      <c r="B48" s="315"/>
      <c r="C48" s="315"/>
      <c r="D48" s="315"/>
      <c r="E48" s="315"/>
      <c r="F48" s="183"/>
      <c r="G48"/>
      <c r="J48" s="315" t="s">
        <v>55</v>
      </c>
      <c r="K48" s="315"/>
      <c r="L48" s="315"/>
      <c r="M48" s="315"/>
      <c r="N48" s="315"/>
      <c r="R48" s="315" t="s">
        <v>56</v>
      </c>
      <c r="S48" s="315"/>
      <c r="T48" s="315"/>
      <c r="U48" s="315"/>
      <c r="V48" s="315"/>
    </row>
    <row r="49" spans="1:22">
      <c r="A49" s="330" t="s">
        <v>2</v>
      </c>
      <c r="B49" s="330"/>
      <c r="C49" s="330"/>
      <c r="D49" s="320">
        <f ca="1">Bouwjaar_BAG</f>
        <v>1988</v>
      </c>
      <c r="E49" s="320"/>
      <c r="F49" s="320"/>
      <c r="G49"/>
      <c r="J49" s="330" t="s">
        <v>57</v>
      </c>
      <c r="K49" s="330"/>
      <c r="L49" s="330"/>
      <c r="M49" s="320">
        <f>WarmteProductie_pp</f>
        <v>130</v>
      </c>
      <c r="N49" s="320"/>
      <c r="R49" s="330" t="s">
        <v>58</v>
      </c>
      <c r="S49" s="330"/>
      <c r="T49" s="330"/>
      <c r="U49" s="320">
        <f>GD</f>
        <v>2500</v>
      </c>
      <c r="V49" s="320"/>
    </row>
    <row r="50" spans="1:22">
      <c r="A50" s="330" t="s">
        <v>59</v>
      </c>
      <c r="B50" s="330"/>
      <c r="C50" s="330"/>
      <c r="D50" s="320" t="str">
        <f ca="1">Woonplaats</f>
        <v>Molenhoek</v>
      </c>
      <c r="E50" s="320"/>
      <c r="F50" s="320"/>
      <c r="G50"/>
      <c r="J50" s="330" t="s">
        <v>60</v>
      </c>
      <c r="K50" s="330"/>
      <c r="L50" s="330"/>
      <c r="M50" s="331">
        <f>Aanwezigheid</f>
        <v>0.5</v>
      </c>
      <c r="N50" s="331"/>
      <c r="R50" s="330" t="s">
        <v>61</v>
      </c>
      <c r="S50" s="330"/>
      <c r="T50" s="330"/>
      <c r="U50" s="331">
        <f>Ketel_Rendement</f>
        <v>0.85</v>
      </c>
      <c r="V50" s="331"/>
    </row>
    <row r="51" spans="1:22">
      <c r="A51" s="330" t="s">
        <v>62</v>
      </c>
      <c r="B51" s="330"/>
      <c r="C51" s="330"/>
      <c r="D51" s="320" t="str">
        <f ca="1">PostCode</f>
        <v>6584AJ</v>
      </c>
      <c r="E51" s="320"/>
      <c r="F51" s="320"/>
      <c r="G51"/>
      <c r="J51" s="330" t="s">
        <v>63</v>
      </c>
      <c r="K51" s="330"/>
      <c r="L51" s="330"/>
      <c r="M51" s="320">
        <f>Apparatuur_Productie</f>
        <v>2000</v>
      </c>
      <c r="N51" s="320"/>
      <c r="R51" s="330" t="s">
        <v>64</v>
      </c>
      <c r="S51" s="330"/>
      <c r="T51" s="330"/>
      <c r="U51" s="320">
        <f>kWh_m3</f>
        <v>9.8000000000000007</v>
      </c>
      <c r="V51" s="320"/>
    </row>
    <row r="52" spans="1:22">
      <c r="A52" s="330" t="s">
        <v>65</v>
      </c>
      <c r="B52" s="330"/>
      <c r="C52" s="330"/>
      <c r="D52" s="372">
        <f ca="1">Opp</f>
        <v>147.6</v>
      </c>
      <c r="E52" s="372"/>
      <c r="F52" s="372"/>
      <c r="G52">
        <f ca="1">Opp_BAG</f>
        <v>164</v>
      </c>
      <c r="J52" s="330"/>
      <c r="K52" s="330"/>
      <c r="L52" s="330"/>
      <c r="M52" s="372"/>
      <c r="N52" s="372"/>
      <c r="R52" s="330" t="s">
        <v>66</v>
      </c>
      <c r="S52" s="330"/>
      <c r="T52" s="330"/>
      <c r="U52" s="326">
        <f>Correctie_Kruipruimte</f>
        <v>0.7</v>
      </c>
      <c r="V52" s="326"/>
    </row>
    <row r="53" spans="1:22">
      <c r="A53" s="330" t="s">
        <v>67</v>
      </c>
      <c r="B53" s="330"/>
      <c r="C53" s="330"/>
      <c r="D53" s="326">
        <f ca="1">Breedte</f>
        <v>6.8725541103726506</v>
      </c>
      <c r="E53" s="326"/>
      <c r="F53" s="326"/>
      <c r="G53"/>
      <c r="J53" s="330" t="s">
        <v>68</v>
      </c>
      <c r="K53" s="330"/>
      <c r="L53" s="330"/>
      <c r="M53" s="326">
        <f>Plafond_Rc</f>
        <v>0.5</v>
      </c>
      <c r="N53" s="326"/>
      <c r="R53" s="330" t="s">
        <v>69</v>
      </c>
      <c r="S53" s="330"/>
      <c r="T53" s="330"/>
      <c r="U53" s="326">
        <f>Correctie_Vloerverwarming</f>
        <v>1</v>
      </c>
      <c r="V53" s="326"/>
    </row>
    <row r="54" spans="1:22">
      <c r="A54" s="330" t="s">
        <v>70</v>
      </c>
      <c r="B54" s="330"/>
      <c r="C54" s="330"/>
      <c r="D54" s="326">
        <f ca="1">Diepte</f>
        <v>10.738365797457263</v>
      </c>
      <c r="E54" s="326"/>
      <c r="F54" s="326"/>
      <c r="G54"/>
      <c r="J54" s="330" t="s">
        <v>71</v>
      </c>
      <c r="K54" s="330"/>
      <c r="L54" s="330"/>
      <c r="M54" s="326">
        <f>Zoldervloer_Rc</f>
        <v>0.5</v>
      </c>
      <c r="N54" s="326"/>
      <c r="R54" s="330"/>
      <c r="S54" s="330"/>
      <c r="T54" s="330"/>
      <c r="U54" s="320"/>
      <c r="V54" s="320"/>
    </row>
    <row r="55" spans="1:22">
      <c r="K55" s="31"/>
    </row>
    <row r="58" spans="1:22">
      <c r="C58" s="31"/>
    </row>
  </sheetData>
  <sheetProtection algorithmName="SHA-512" hashValue="hXSjCxiHM/s7ru3Ds+g+QSyJkT9CNcqSEJwb8DKkZMdQh+sDAw/4abO8LJv2e+Fubexa9Z8NWI1y7+cEXIJEiw==" saltValue="1yeKj0bfnmwjL5epkYzI5g==" spinCount="100000" sheet="1" objects="1" scenarios="1"/>
  <mergeCells count="196">
    <mergeCell ref="Y40:AC40"/>
    <mergeCell ref="A33:K33"/>
    <mergeCell ref="Z41:AA41"/>
    <mergeCell ref="J54:L54"/>
    <mergeCell ref="M54:N54"/>
    <mergeCell ref="J49:L49"/>
    <mergeCell ref="M49:N49"/>
    <mergeCell ref="J50:L50"/>
    <mergeCell ref="M50:N50"/>
    <mergeCell ref="J51:L51"/>
    <mergeCell ref="M51:N51"/>
    <mergeCell ref="J52:L52"/>
    <mergeCell ref="M52:N52"/>
    <mergeCell ref="J53:L53"/>
    <mergeCell ref="M53:N53"/>
    <mergeCell ref="R53:T53"/>
    <mergeCell ref="U53:V53"/>
    <mergeCell ref="R54:T54"/>
    <mergeCell ref="U54:V54"/>
    <mergeCell ref="P43:Q43"/>
    <mergeCell ref="L43:M43"/>
    <mergeCell ref="N43:O43"/>
    <mergeCell ref="A54:C54"/>
    <mergeCell ref="U52:V52"/>
    <mergeCell ref="Y18:AC18"/>
    <mergeCell ref="A2:F2"/>
    <mergeCell ref="G2:L2"/>
    <mergeCell ref="A17:F17"/>
    <mergeCell ref="G17:I17"/>
    <mergeCell ref="A18:F18"/>
    <mergeCell ref="G18:I18"/>
    <mergeCell ref="L34:M34"/>
    <mergeCell ref="A34:K34"/>
    <mergeCell ref="A15:F15"/>
    <mergeCell ref="A5:F5"/>
    <mergeCell ref="A6:F6"/>
    <mergeCell ref="A7:F7"/>
    <mergeCell ref="A8:F8"/>
    <mergeCell ref="A9:F9"/>
    <mergeCell ref="G5:I5"/>
    <mergeCell ref="G6:I6"/>
    <mergeCell ref="G7:I7"/>
    <mergeCell ref="G13:I13"/>
    <mergeCell ref="G14:I14"/>
    <mergeCell ref="G8:I8"/>
    <mergeCell ref="G9:I9"/>
    <mergeCell ref="Z19:AA19"/>
    <mergeCell ref="R30:W30"/>
    <mergeCell ref="A1:F1"/>
    <mergeCell ref="A4:F4"/>
    <mergeCell ref="A49:C49"/>
    <mergeCell ref="A52:C52"/>
    <mergeCell ref="A51:C51"/>
    <mergeCell ref="R49:T49"/>
    <mergeCell ref="R50:T50"/>
    <mergeCell ref="R51:T51"/>
    <mergeCell ref="A13:F13"/>
    <mergeCell ref="A14:F14"/>
    <mergeCell ref="D49:F49"/>
    <mergeCell ref="D50:F50"/>
    <mergeCell ref="D51:F51"/>
    <mergeCell ref="D52:F52"/>
    <mergeCell ref="A48:E48"/>
    <mergeCell ref="R48:V48"/>
    <mergeCell ref="A50:C50"/>
    <mergeCell ref="G10:I10"/>
    <mergeCell ref="G12:I12"/>
    <mergeCell ref="G11:I11"/>
    <mergeCell ref="G24:K24"/>
    <mergeCell ref="G23:K23"/>
    <mergeCell ref="A31:K31"/>
    <mergeCell ref="R43:W43"/>
    <mergeCell ref="W1:X1"/>
    <mergeCell ref="L22:M22"/>
    <mergeCell ref="N22:O22"/>
    <mergeCell ref="P22:Q22"/>
    <mergeCell ref="P21:Q21"/>
    <mergeCell ref="R21:W22"/>
    <mergeCell ref="R23:W23"/>
    <mergeCell ref="G26:K26"/>
    <mergeCell ref="G25:K25"/>
    <mergeCell ref="G1:L1"/>
    <mergeCell ref="M1:Q1"/>
    <mergeCell ref="R26:W26"/>
    <mergeCell ref="G4:I4"/>
    <mergeCell ref="L26:M26"/>
    <mergeCell ref="L25:M25"/>
    <mergeCell ref="G15:I15"/>
    <mergeCell ref="G16:I16"/>
    <mergeCell ref="R1:S1"/>
    <mergeCell ref="R2:S2"/>
    <mergeCell ref="T1:U1"/>
    <mergeCell ref="T2:U2"/>
    <mergeCell ref="G3:I3"/>
    <mergeCell ref="L24:M24"/>
    <mergeCell ref="L23:M23"/>
    <mergeCell ref="R24:W24"/>
    <mergeCell ref="R25:W25"/>
    <mergeCell ref="A25:F25"/>
    <mergeCell ref="A26:F26"/>
    <mergeCell ref="A27:F27"/>
    <mergeCell ref="A28:F28"/>
    <mergeCell ref="A29:F29"/>
    <mergeCell ref="G28:K28"/>
    <mergeCell ref="R27:W27"/>
    <mergeCell ref="R28:W28"/>
    <mergeCell ref="R29:W29"/>
    <mergeCell ref="L27:M27"/>
    <mergeCell ref="G29:K29"/>
    <mergeCell ref="G27:K27"/>
    <mergeCell ref="P28:Q28"/>
    <mergeCell ref="P29:Q29"/>
    <mergeCell ref="P26:Q26"/>
    <mergeCell ref="P27:Q27"/>
    <mergeCell ref="A10:F10"/>
    <mergeCell ref="A12:F12"/>
    <mergeCell ref="L30:M30"/>
    <mergeCell ref="N31:O31"/>
    <mergeCell ref="A19:F19"/>
    <mergeCell ref="G19:I19"/>
    <mergeCell ref="A11:F11"/>
    <mergeCell ref="N23:O23"/>
    <mergeCell ref="N24:O24"/>
    <mergeCell ref="N25:O25"/>
    <mergeCell ref="L29:M29"/>
    <mergeCell ref="L28:M28"/>
    <mergeCell ref="A30:K30"/>
    <mergeCell ref="L21:O21"/>
    <mergeCell ref="N26:O26"/>
    <mergeCell ref="N27:O27"/>
    <mergeCell ref="N28:O28"/>
    <mergeCell ref="N29:O29"/>
    <mergeCell ref="N30:O30"/>
    <mergeCell ref="A16:F16"/>
    <mergeCell ref="A21:F22"/>
    <mergeCell ref="G21:K22"/>
    <mergeCell ref="A23:F23"/>
    <mergeCell ref="A24:F24"/>
    <mergeCell ref="D54:F54"/>
    <mergeCell ref="R36:W36"/>
    <mergeCell ref="A38:K38"/>
    <mergeCell ref="P38:W38"/>
    <mergeCell ref="L39:M39"/>
    <mergeCell ref="N39:O39"/>
    <mergeCell ref="P37:Q37"/>
    <mergeCell ref="R37:W37"/>
    <mergeCell ref="A39:K39"/>
    <mergeCell ref="R52:T52"/>
    <mergeCell ref="L36:M36"/>
    <mergeCell ref="N36:O36"/>
    <mergeCell ref="A36:K36"/>
    <mergeCell ref="A53:C53"/>
    <mergeCell ref="A37:K37"/>
    <mergeCell ref="L37:M37"/>
    <mergeCell ref="N37:O37"/>
    <mergeCell ref="U50:V50"/>
    <mergeCell ref="U51:V51"/>
    <mergeCell ref="D53:F53"/>
    <mergeCell ref="N33:O33"/>
    <mergeCell ref="J48:N48"/>
    <mergeCell ref="A43:K43"/>
    <mergeCell ref="L35:M35"/>
    <mergeCell ref="R31:W31"/>
    <mergeCell ref="R33:W33"/>
    <mergeCell ref="L33:M33"/>
    <mergeCell ref="L31:M31"/>
    <mergeCell ref="U49:V49"/>
    <mergeCell ref="R32:W32"/>
    <mergeCell ref="R34:W34"/>
    <mergeCell ref="A35:K35"/>
    <mergeCell ref="P31:Q31"/>
    <mergeCell ref="P33:Q33"/>
    <mergeCell ref="A3:F3"/>
    <mergeCell ref="L41:M41"/>
    <mergeCell ref="P36:Q36"/>
    <mergeCell ref="L38:M38"/>
    <mergeCell ref="N38:O38"/>
    <mergeCell ref="N41:O41"/>
    <mergeCell ref="P39:W39"/>
    <mergeCell ref="B42:V42"/>
    <mergeCell ref="A40:K40"/>
    <mergeCell ref="L40:M40"/>
    <mergeCell ref="N40:O40"/>
    <mergeCell ref="A41:K41"/>
    <mergeCell ref="P41:W41"/>
    <mergeCell ref="N35:O35"/>
    <mergeCell ref="P35:Q35"/>
    <mergeCell ref="R35:W35"/>
    <mergeCell ref="A32:K32"/>
    <mergeCell ref="L32:M32"/>
    <mergeCell ref="N32:O32"/>
    <mergeCell ref="P32:Q32"/>
    <mergeCell ref="P30:Q30"/>
    <mergeCell ref="P23:Q23"/>
    <mergeCell ref="P24:Q24"/>
    <mergeCell ref="P25:Q25"/>
  </mergeCells>
  <conditionalFormatting sqref="AB27:AB30">
    <cfRule type="expression" dxfId="37" priority="26">
      <formula>P12=0</formula>
    </cfRule>
  </conditionalFormatting>
  <conditionalFormatting sqref="M1">
    <cfRule type="expression" dxfId="36" priority="24">
      <formula>_xlfn.IFNA(PostCode,TRUE)</formula>
    </cfRule>
  </conditionalFormatting>
  <conditionalFormatting sqref="Z29:AB30">
    <cfRule type="expression" dxfId="35" priority="53">
      <formula>L14=0</formula>
    </cfRule>
  </conditionalFormatting>
  <conditionalFormatting sqref="Z9:AB9">
    <cfRule type="expression" dxfId="34" priority="54">
      <formula>P15=0</formula>
    </cfRule>
  </conditionalFormatting>
  <conditionalFormatting sqref="AD20:AE46 AD54:AE1048576 AD47:AG53 A20:AC31 A33:AC1048576 A32 L32 N32 X32:AC32 A1:AE19 P32:R32">
    <cfRule type="expression" dxfId="33" priority="16">
      <formula>CELL("protect",A1)=8</formula>
    </cfRule>
  </conditionalFormatting>
  <conditionalFormatting sqref="R1:U3">
    <cfRule type="expression" dxfId="32" priority="15">
      <formula>NOT(ISNA(PostCode))</formula>
    </cfRule>
  </conditionalFormatting>
  <conditionalFormatting sqref="J13">
    <cfRule type="expression" dxfId="31" priority="14">
      <formula>Muur_Detail&lt;&gt;""</formula>
    </cfRule>
  </conditionalFormatting>
  <conditionalFormatting sqref="J12">
    <cfRule type="expression" dxfId="30" priority="11">
      <formula>Vloer_Detail</formula>
    </cfRule>
  </conditionalFormatting>
  <conditionalFormatting sqref="J14">
    <cfRule type="expression" dxfId="29" priority="10">
      <formula>Dak_Detail</formula>
    </cfRule>
  </conditionalFormatting>
  <conditionalFormatting sqref="J15">
    <cfRule type="expression" dxfId="28" priority="9">
      <formula>Glas_Detail</formula>
    </cfRule>
  </conditionalFormatting>
  <conditionalFormatting sqref="J16">
    <cfRule type="expression" dxfId="27" priority="8">
      <formula>Kieren_Detail</formula>
    </cfRule>
  </conditionalFormatting>
  <conditionalFormatting sqref="J9">
    <cfRule type="expression" dxfId="26" priority="7">
      <formula>Ventilatie_Detail</formula>
    </cfRule>
  </conditionalFormatting>
  <conditionalFormatting sqref="J11">
    <cfRule type="expression" dxfId="25" priority="6">
      <formula>Tapwater_Detail</formula>
    </cfRule>
  </conditionalFormatting>
  <conditionalFormatting sqref="P31:Q31">
    <cfRule type="expression" dxfId="24" priority="5">
      <formula>$P$31&lt;10</formula>
    </cfRule>
  </conditionalFormatting>
  <conditionalFormatting sqref="P32:Q32">
    <cfRule type="expression" dxfId="23" priority="4">
      <formula>$P$32&lt;10</formula>
    </cfRule>
  </conditionalFormatting>
  <conditionalFormatting sqref="P23">
    <cfRule type="expression" dxfId="22" priority="3">
      <formula>$P$23&lt;10</formula>
    </cfRule>
  </conditionalFormatting>
  <conditionalFormatting sqref="P30:Q30">
    <cfRule type="expression" dxfId="21" priority="2">
      <formula>$P$30&lt;10</formula>
    </cfRule>
  </conditionalFormatting>
  <conditionalFormatting sqref="P24:Q24">
    <cfRule type="expression" dxfId="20" priority="1">
      <formula>$P$24&lt;10</formula>
    </cfRule>
  </conditionalFormatting>
  <dataValidations count="8">
    <dataValidation type="list" allowBlank="1" showInputMessage="1" showErrorMessage="1" sqref="G5" xr:uid="{461BA2DD-51EE-44A7-8829-39F6CD1EC1B3}">
      <formula1>WoningType_L</formula1>
    </dataValidation>
    <dataValidation type="list" allowBlank="1" showInputMessage="1" showErrorMessage="1" sqref="G6" xr:uid="{87ED4132-DDB1-4096-BBF5-EF1006C459FE}">
      <formula1>Glas_Maat_L</formula1>
    </dataValidation>
    <dataValidation type="list" allowBlank="1" showInputMessage="1" showErrorMessage="1" sqref="G9" xr:uid="{63869D5F-21C2-4735-ADCB-647EA709BE2D}">
      <formula1>Ventilatie_List</formula1>
    </dataValidation>
    <dataValidation type="list" allowBlank="1" showInputMessage="1" showErrorMessage="1" sqref="G7:I8 G13:I13 G3:I3" xr:uid="{25F4A6F9-B28A-43BE-8E6A-CA0188FEAA98}">
      <formula1>JaNee_L</formula1>
    </dataValidation>
    <dataValidation type="list" allowBlank="1" showInputMessage="1" showErrorMessage="1" sqref="G10:I10 G12:I12 G14:I16" xr:uid="{36DD11DA-A423-4814-956B-E71301923589}">
      <formula1>JaNee2_L</formula1>
    </dataValidation>
    <dataValidation allowBlank="1" showInputMessage="1" showErrorMessage="1" sqref="T1:U1" xr:uid="{C0482794-704C-4DCE-95DE-EAAE9E9B556E}"/>
    <dataValidation type="list" allowBlank="1" showInputMessage="1" showErrorMessage="1" sqref="G11:I11" xr:uid="{56DBDFD4-1346-4B58-B26F-B3359580FE67}">
      <formula1>WarmWater_L</formula1>
    </dataValidation>
    <dataValidation type="list" allowBlank="1" showInputMessage="1" showErrorMessage="1" sqref="G1:L1" xr:uid="{F4851650-7A0A-4DB2-AC04-3326483B95B8}">
      <formula1>AdresTabel</formula1>
    </dataValidation>
  </dataValidations>
  <pageMargins left="0.23622047244094491" right="0.23622047244094491" top="0.27559055118110237" bottom="0.23622047244094491" header="0.31496062992125984" footer="0.31496062992125984"/>
  <pageSetup paperSize="9" scale="95"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F5BF-46D8-4DBC-8800-5F0E2D7E4191}">
  <sheetPr codeName="Sheet4">
    <pageSetUpPr fitToPage="1"/>
  </sheetPr>
  <dimension ref="B2:AE107"/>
  <sheetViews>
    <sheetView topLeftCell="B1" workbookViewId="0">
      <selection activeCell="AF41" sqref="AF41"/>
    </sheetView>
  </sheetViews>
  <sheetFormatPr defaultRowHeight="12.75"/>
  <cols>
    <col min="1" max="1" width="9.7109375" customWidth="1"/>
    <col min="2" max="2" width="9.7109375" style="31" customWidth="1"/>
    <col min="3" max="3" width="9.7109375" style="3" customWidth="1"/>
    <col min="4" max="4" width="9.7109375" style="37" customWidth="1"/>
    <col min="5" max="5" width="9.7109375" style="39" customWidth="1"/>
    <col min="6" max="33" width="9.7109375" customWidth="1"/>
    <col min="34" max="36" width="6.7109375" customWidth="1"/>
  </cols>
  <sheetData>
    <row r="2" spans="2:31">
      <c r="B2"/>
      <c r="C2"/>
      <c r="D2"/>
      <c r="E2"/>
    </row>
    <row r="3" spans="2:31">
      <c r="C3" s="3" t="s">
        <v>24</v>
      </c>
      <c r="D3" s="234">
        <f ca="1">Besparing_Dak</f>
        <v>100</v>
      </c>
      <c r="E3" s="3" t="s">
        <v>24</v>
      </c>
      <c r="G3" t="s">
        <v>1034</v>
      </c>
      <c r="H3" s="9">
        <f ca="1">MAX(D3:D6)</f>
        <v>490</v>
      </c>
    </row>
    <row r="4" spans="2:31">
      <c r="C4" s="3" t="s">
        <v>23</v>
      </c>
      <c r="D4" s="234">
        <f ca="1">Besparing_Glas</f>
        <v>490</v>
      </c>
      <c r="E4" s="3" t="s">
        <v>23</v>
      </c>
      <c r="G4" t="s">
        <v>777</v>
      </c>
      <c r="H4" s="31" t="str">
        <f ca="1">VLOOKUP(H3,Besparings_Tabel,2)</f>
        <v>Glas</v>
      </c>
    </row>
    <row r="5" spans="2:31">
      <c r="C5" s="3" t="s">
        <v>21</v>
      </c>
      <c r="D5" s="234">
        <f ca="1">Besparing_Muren</f>
        <v>120</v>
      </c>
      <c r="E5" s="3" t="s">
        <v>21</v>
      </c>
    </row>
    <row r="6" spans="2:31">
      <c r="C6" s="3" t="s">
        <v>17</v>
      </c>
      <c r="D6" s="234">
        <f ca="1">Besparing_Vloer</f>
        <v>190</v>
      </c>
      <c r="E6" s="3" t="s">
        <v>17</v>
      </c>
    </row>
    <row r="9" spans="2:31">
      <c r="B9"/>
      <c r="C9"/>
      <c r="D9"/>
      <c r="E9"/>
      <c r="J9" s="31"/>
    </row>
    <row r="10" spans="2:31" ht="13.5" thickBot="1"/>
    <row r="11" spans="2:31" ht="34.5" customHeight="1" thickBot="1">
      <c r="B11" s="433" t="s">
        <v>172</v>
      </c>
      <c r="C11" s="434"/>
      <c r="D11" s="434"/>
      <c r="E11" s="434"/>
      <c r="F11" s="434"/>
      <c r="G11" s="434"/>
      <c r="H11" s="434"/>
      <c r="I11" s="434"/>
      <c r="J11" s="434"/>
      <c r="K11" s="434"/>
      <c r="L11" s="434"/>
      <c r="M11" s="434"/>
      <c r="N11" s="434"/>
      <c r="O11" s="435"/>
      <c r="R11" s="433" t="s">
        <v>173</v>
      </c>
      <c r="S11" s="434"/>
      <c r="T11" s="434"/>
      <c r="U11" s="434"/>
      <c r="V11" s="434"/>
      <c r="W11" s="434"/>
      <c r="X11" s="434"/>
      <c r="Y11" s="434"/>
      <c r="Z11" s="434"/>
      <c r="AA11" s="434"/>
      <c r="AB11" s="434"/>
      <c r="AC11" s="434"/>
      <c r="AD11" s="434"/>
      <c r="AE11" s="435"/>
    </row>
    <row r="12" spans="2:31" ht="13.5" thickBot="1">
      <c r="B12" s="116"/>
      <c r="E12" s="8"/>
      <c r="F12" s="39"/>
      <c r="G12" s="39"/>
      <c r="I12" s="1"/>
      <c r="R12" s="116"/>
      <c r="S12" s="3"/>
      <c r="T12" s="37"/>
      <c r="U12" s="8"/>
      <c r="V12" s="39"/>
      <c r="W12" s="39"/>
      <c r="Y12" s="1"/>
    </row>
    <row r="13" spans="2:31" ht="14.25" customHeight="1" thickTop="1" thickBot="1">
      <c r="B13" s="127">
        <f>Tbinnen</f>
        <v>20</v>
      </c>
      <c r="C13" s="106"/>
      <c r="D13" s="110" t="s">
        <v>17</v>
      </c>
      <c r="E13" s="123">
        <f ca="1">Correctie_Kruipruimte*Correctie_Vloerverwarming*Vloer_Opp/Vloer_Rc</f>
        <v>39.738461538461536</v>
      </c>
      <c r="F13" s="8" t="s">
        <v>174</v>
      </c>
      <c r="G13" s="3"/>
      <c r="H13" s="31"/>
      <c r="I13" s="1"/>
      <c r="J13" s="31"/>
      <c r="K13" s="31"/>
      <c r="L13" s="31"/>
      <c r="M13" s="31"/>
      <c r="N13" s="31"/>
      <c r="O13" s="127">
        <f>Tbuiten</f>
        <v>0</v>
      </c>
      <c r="P13" s="31"/>
      <c r="Q13" s="31"/>
      <c r="R13" s="127">
        <f>Tbinnen</f>
        <v>20</v>
      </c>
      <c r="S13" s="106"/>
      <c r="T13" s="110" t="s">
        <v>17</v>
      </c>
      <c r="U13" s="123">
        <f ca="1">Correctie_Kruipruimte*Correctie_Vloerverwarming*Vloer_Opp/Vloer_Rc_b</f>
        <v>13.96216216216216</v>
      </c>
      <c r="V13" s="8" t="s">
        <v>174</v>
      </c>
      <c r="W13" s="3"/>
      <c r="X13" s="31"/>
      <c r="Y13" s="1"/>
      <c r="Z13" s="31"/>
      <c r="AA13" s="31"/>
      <c r="AB13" s="31"/>
      <c r="AC13" s="31"/>
      <c r="AD13" s="31"/>
      <c r="AE13" s="127">
        <f>Tbuiten</f>
        <v>0</v>
      </c>
    </row>
    <row r="14" spans="2:31" ht="14.25" thickTop="1" thickBot="1">
      <c r="B14" s="436" t="s">
        <v>106</v>
      </c>
      <c r="D14" s="9"/>
      <c r="E14" s="8"/>
      <c r="F14" s="111"/>
      <c r="H14" s="31"/>
      <c r="I14" s="1"/>
      <c r="J14" s="31"/>
      <c r="K14" s="31"/>
      <c r="L14" s="31"/>
      <c r="M14" s="31"/>
      <c r="N14" s="31"/>
      <c r="O14" s="436" t="s">
        <v>109</v>
      </c>
      <c r="P14" s="31"/>
      <c r="Q14" s="31"/>
      <c r="R14" s="436" t="s">
        <v>106</v>
      </c>
      <c r="S14" s="3"/>
      <c r="T14" s="9"/>
      <c r="U14" s="8"/>
      <c r="V14" s="111"/>
      <c r="X14" s="31"/>
      <c r="Y14" s="1"/>
      <c r="Z14" s="31"/>
      <c r="AA14" s="31"/>
      <c r="AB14" s="31"/>
      <c r="AC14" s="31"/>
      <c r="AD14" s="31"/>
      <c r="AE14" s="436" t="s">
        <v>109</v>
      </c>
    </row>
    <row r="15" spans="2:31" ht="14.25" thickTop="1" thickBot="1">
      <c r="B15" s="436"/>
      <c r="C15" s="106"/>
      <c r="D15" s="110" t="s">
        <v>76</v>
      </c>
      <c r="E15" s="123">
        <f ca="1">Muur_Onder_Opp/Muur_Onder_Rc</f>
        <v>38.908834650389544</v>
      </c>
      <c r="F15" s="125">
        <f ca="1">E13+E15+E17</f>
        <v>140.28505618885106</v>
      </c>
      <c r="G15" s="106"/>
      <c r="H15" s="106"/>
      <c r="I15" s="113"/>
      <c r="J15" s="106"/>
      <c r="K15" s="106"/>
      <c r="L15" s="106"/>
      <c r="M15" s="106"/>
      <c r="N15" s="106"/>
      <c r="O15" s="436"/>
      <c r="P15" s="31"/>
      <c r="Q15" s="31"/>
      <c r="R15" s="436"/>
      <c r="S15" s="106"/>
      <c r="T15" s="110" t="s">
        <v>76</v>
      </c>
      <c r="U15" s="123">
        <f ca="1">Muur_Onder_Opp/Muur_Onder_Rc_b</f>
        <v>24.086421450241147</v>
      </c>
      <c r="V15" s="125">
        <f ca="1">U13+U15+U17</f>
        <v>48.675783612403308</v>
      </c>
      <c r="W15" s="106"/>
      <c r="X15" s="106"/>
      <c r="Y15" s="113"/>
      <c r="Z15" s="106"/>
      <c r="AA15" s="106"/>
      <c r="AB15" s="106"/>
      <c r="AC15" s="106"/>
      <c r="AD15" s="106"/>
      <c r="AE15" s="436"/>
    </row>
    <row r="16" spans="2:31" ht="14.25" thickTop="1" thickBot="1">
      <c r="B16" s="436"/>
      <c r="D16" s="9"/>
      <c r="E16" s="8"/>
      <c r="F16" s="111"/>
      <c r="H16" s="31"/>
      <c r="I16" s="1"/>
      <c r="J16" s="31"/>
      <c r="K16" s="31"/>
      <c r="L16" s="31"/>
      <c r="M16" s="31"/>
      <c r="N16" s="31"/>
      <c r="O16" s="436"/>
      <c r="P16" s="31"/>
      <c r="Q16" s="31"/>
      <c r="R16" s="436"/>
      <c r="S16" s="3"/>
      <c r="T16" s="9"/>
      <c r="U16" s="8"/>
      <c r="V16" s="111"/>
      <c r="X16" s="31"/>
      <c r="Y16" s="1"/>
      <c r="Z16" s="31"/>
      <c r="AA16" s="31"/>
      <c r="AB16" s="31"/>
      <c r="AC16" s="31"/>
      <c r="AD16" s="31"/>
      <c r="AE16" s="436"/>
    </row>
    <row r="17" spans="2:31" ht="14.25" thickTop="1" thickBot="1">
      <c r="B17" s="436"/>
      <c r="C17" s="106"/>
      <c r="D17" s="110" t="s">
        <v>23</v>
      </c>
      <c r="E17" s="123">
        <f ca="1">Glas_Onder_Utot</f>
        <v>61.637759999999986</v>
      </c>
      <c r="F17" s="114"/>
      <c r="H17" s="31"/>
      <c r="I17" s="1"/>
      <c r="J17" s="31"/>
      <c r="K17" s="31"/>
      <c r="L17" s="31"/>
      <c r="M17" s="31"/>
      <c r="N17" s="31"/>
      <c r="O17" s="436"/>
      <c r="P17" s="31"/>
      <c r="Q17" s="31"/>
      <c r="R17" s="436"/>
      <c r="S17" s="106"/>
      <c r="T17" s="110" t="s">
        <v>23</v>
      </c>
      <c r="U17" s="123">
        <f ca="1">Glas_Onder_Utot_b</f>
        <v>10.627199999999998</v>
      </c>
      <c r="V17" s="114"/>
      <c r="X17" s="31"/>
      <c r="Y17" s="1"/>
      <c r="Z17" s="31"/>
      <c r="AA17" s="31"/>
      <c r="AB17" s="31"/>
      <c r="AC17" s="31"/>
      <c r="AD17" s="31"/>
      <c r="AE17" s="436"/>
    </row>
    <row r="18" spans="2:31" ht="14.25" thickTop="1" thickBot="1">
      <c r="B18" s="436"/>
      <c r="D18" s="9"/>
      <c r="E18" s="8"/>
      <c r="F18" s="129">
        <f ca="1">O13+(B13-O13)/(1+(J21+J31)/E20)</f>
        <v>10.610641818401884</v>
      </c>
      <c r="G18" s="3"/>
      <c r="H18" s="31"/>
      <c r="I18" s="1"/>
      <c r="J18" s="31"/>
      <c r="K18" s="31"/>
      <c r="L18" s="31"/>
      <c r="M18" s="31"/>
      <c r="N18" s="31"/>
      <c r="O18" s="436"/>
      <c r="P18" s="31"/>
      <c r="Q18" s="31"/>
      <c r="R18" s="436"/>
      <c r="S18" s="3"/>
      <c r="T18" s="9"/>
      <c r="U18" s="8"/>
      <c r="V18" s="129">
        <f ca="1">AE13+(R13-AE13)/(1+(Z21+Z31)/U20)</f>
        <v>15.020633083660277</v>
      </c>
      <c r="W18" s="3"/>
      <c r="X18" s="31"/>
      <c r="Y18" s="1"/>
      <c r="Z18" s="31"/>
      <c r="AA18" s="31"/>
      <c r="AB18" s="31"/>
      <c r="AC18" s="31"/>
      <c r="AD18" s="31"/>
      <c r="AE18" s="436"/>
    </row>
    <row r="19" spans="2:31" ht="14.25" thickTop="1" thickBot="1">
      <c r="B19" s="436"/>
      <c r="D19" s="9"/>
      <c r="E19" s="8"/>
      <c r="F19" s="128">
        <f ca="1">IF(Verwarming_1="Ja",Tboven_set,IF(Verwarming_1="half",Tbinnen-3,F18))</f>
        <v>10.610641818401884</v>
      </c>
      <c r="G19" s="3"/>
      <c r="H19" s="31"/>
      <c r="I19" s="1"/>
      <c r="J19" s="31"/>
      <c r="K19" s="31"/>
      <c r="L19" s="31"/>
      <c r="M19" s="31"/>
      <c r="N19" s="31"/>
      <c r="O19" s="436"/>
      <c r="P19" s="31"/>
      <c r="Q19" s="31"/>
      <c r="R19" s="436"/>
      <c r="S19" s="3"/>
      <c r="T19" s="9"/>
      <c r="U19" s="8"/>
      <c r="V19" s="128">
        <f ca="1">IF(Verwarming_1="Ja",Tboven_set,IF(Verwarming_1="half",Tbinnen-3,V18))</f>
        <v>15.020633083660277</v>
      </c>
      <c r="W19" s="3"/>
      <c r="X19" s="31"/>
      <c r="Y19" s="1"/>
      <c r="Z19" s="31"/>
      <c r="AA19" s="31"/>
      <c r="AB19" s="31"/>
      <c r="AC19" s="31"/>
      <c r="AD19" s="31"/>
      <c r="AE19" s="436"/>
    </row>
    <row r="20" spans="2:31" ht="14.25" thickTop="1" thickBot="1">
      <c r="B20" s="436"/>
      <c r="C20" s="106"/>
      <c r="D20" s="110" t="s">
        <v>175</v>
      </c>
      <c r="E20" s="123">
        <f ca="1">Vloer_Opp/Plafond_Rc</f>
        <v>147.6</v>
      </c>
      <c r="F20" s="438" t="s">
        <v>176</v>
      </c>
      <c r="G20" s="107"/>
      <c r="H20" s="110" t="s">
        <v>76</v>
      </c>
      <c r="I20" s="123">
        <f ca="1">Muur_Boven_Opp/Muur_Boven_Rc</f>
        <v>41.63375772731262</v>
      </c>
      <c r="L20" s="31"/>
      <c r="M20" s="31"/>
      <c r="N20" s="31"/>
      <c r="O20" s="436"/>
      <c r="P20" s="31"/>
      <c r="Q20" s="31"/>
      <c r="R20" s="436"/>
      <c r="S20" s="106"/>
      <c r="T20" s="110" t="s">
        <v>175</v>
      </c>
      <c r="U20" s="123">
        <f ca="1">Vloer_Opp/Plafond_Rc</f>
        <v>147.6</v>
      </c>
      <c r="V20" s="438" t="s">
        <v>177</v>
      </c>
      <c r="W20" s="107"/>
      <c r="X20" s="110" t="s">
        <v>76</v>
      </c>
      <c r="Y20" s="123">
        <f ca="1">Muur_Boven_Opp/Muur_Boven_Rc_b</f>
        <v>25.773278593098286</v>
      </c>
      <c r="AB20" s="31"/>
      <c r="AC20" s="31"/>
      <c r="AD20" s="31"/>
      <c r="AE20" s="436"/>
    </row>
    <row r="21" spans="2:31" ht="14.25" thickTop="1" thickBot="1">
      <c r="B21" s="436"/>
      <c r="D21" s="9"/>
      <c r="E21" s="120"/>
      <c r="F21" s="438"/>
      <c r="G21" s="31"/>
      <c r="H21" s="31"/>
      <c r="I21" s="1"/>
      <c r="J21" s="125">
        <f ca="1">I20+I22</f>
        <v>82.725597727312618</v>
      </c>
      <c r="K21" s="107"/>
      <c r="L21" s="107"/>
      <c r="M21" s="107"/>
      <c r="N21" s="106"/>
      <c r="O21" s="436"/>
      <c r="P21" s="31"/>
      <c r="Q21" s="31"/>
      <c r="R21" s="436"/>
      <c r="S21" s="3"/>
      <c r="T21" s="9"/>
      <c r="U21" s="120"/>
      <c r="V21" s="438"/>
      <c r="W21" s="31"/>
      <c r="X21" s="31"/>
      <c r="Y21" s="1"/>
      <c r="Z21" s="125">
        <f ca="1">Y20+Y22</f>
        <v>32.858078593098284</v>
      </c>
      <c r="AA21" s="107"/>
      <c r="AB21" s="107"/>
      <c r="AC21" s="107"/>
      <c r="AD21" s="106"/>
      <c r="AE21" s="436"/>
    </row>
    <row r="22" spans="2:31" ht="14.25" thickTop="1" thickBot="1">
      <c r="B22" s="436"/>
      <c r="D22" s="9"/>
      <c r="E22" s="8"/>
      <c r="F22" s="438"/>
      <c r="G22" s="112"/>
      <c r="H22" s="110" t="s">
        <v>23</v>
      </c>
      <c r="I22" s="123">
        <f ca="1">Glas_Boven_Utot</f>
        <v>41.091839999999998</v>
      </c>
      <c r="J22" s="111"/>
      <c r="L22" s="31"/>
      <c r="M22" s="31"/>
      <c r="N22" s="31"/>
      <c r="O22" s="436"/>
      <c r="P22" s="31"/>
      <c r="Q22" s="31"/>
      <c r="R22" s="436"/>
      <c r="S22" s="3"/>
      <c r="T22" s="9"/>
      <c r="U22" s="8"/>
      <c r="V22" s="438"/>
      <c r="W22" s="112"/>
      <c r="X22" s="110" t="s">
        <v>23</v>
      </c>
      <c r="Y22" s="123">
        <f ca="1">Glas_Boven_Utot_b</f>
        <v>7.0847999999999995</v>
      </c>
      <c r="Z22" s="111"/>
      <c r="AB22" s="31"/>
      <c r="AC22" s="31"/>
      <c r="AD22" s="31"/>
      <c r="AE22" s="436"/>
    </row>
    <row r="23" spans="2:31" ht="14.25" thickTop="1" thickBot="1">
      <c r="B23" s="436"/>
      <c r="D23" s="9"/>
      <c r="E23" s="8"/>
      <c r="F23" s="438"/>
      <c r="G23" s="31"/>
      <c r="H23" s="31"/>
      <c r="I23" s="1"/>
      <c r="J23" s="129">
        <f ca="1">O13+(F19-O13)/(1+N26/I25)</f>
        <v>7.1682462838072585</v>
      </c>
      <c r="K23" s="31"/>
      <c r="L23" s="31"/>
      <c r="M23" s="31"/>
      <c r="N23" s="31"/>
      <c r="O23" s="436"/>
      <c r="P23" s="31"/>
      <c r="Q23" s="31"/>
      <c r="R23" s="436"/>
      <c r="S23" s="3"/>
      <c r="T23" s="9"/>
      <c r="U23" s="8"/>
      <c r="V23" s="438"/>
      <c r="W23" s="31"/>
      <c r="X23" s="31"/>
      <c r="Y23" s="1"/>
      <c r="Z23" s="129">
        <f ca="1">AE13+(V19-AE13)/(1+AD26/Y25)</f>
        <v>13.38509504524062</v>
      </c>
      <c r="AA23" s="31"/>
      <c r="AB23" s="31"/>
      <c r="AC23" s="31"/>
      <c r="AD23" s="31"/>
      <c r="AE23" s="436"/>
    </row>
    <row r="24" spans="2:31" ht="14.25" thickTop="1" thickBot="1">
      <c r="B24" s="436"/>
      <c r="D24" s="9"/>
      <c r="E24" s="8"/>
      <c r="F24" s="438"/>
      <c r="G24" s="31"/>
      <c r="H24" s="31"/>
      <c r="I24" s="1"/>
      <c r="J24" s="128">
        <f ca="1">T_Zolder_x</f>
        <v>7.1682462838072585</v>
      </c>
      <c r="K24" s="31"/>
      <c r="L24" s="31"/>
      <c r="M24" s="31"/>
      <c r="N24" s="31"/>
      <c r="O24" s="436"/>
      <c r="P24" s="31"/>
      <c r="Q24" s="31"/>
      <c r="R24" s="436"/>
      <c r="S24" s="3"/>
      <c r="T24" s="9"/>
      <c r="U24" s="8"/>
      <c r="V24" s="438"/>
      <c r="W24" s="31"/>
      <c r="X24" s="31"/>
      <c r="Y24" s="1"/>
      <c r="Z24" s="128">
        <f ca="1">T_Zolder_x_b</f>
        <v>13.38509504524062</v>
      </c>
      <c r="AA24" s="31"/>
      <c r="AB24" s="31"/>
      <c r="AC24" s="31"/>
      <c r="AD24" s="31"/>
      <c r="AE24" s="436"/>
    </row>
    <row r="25" spans="2:31" ht="14.25" thickTop="1" thickBot="1">
      <c r="B25" s="436"/>
      <c r="D25" s="9"/>
      <c r="E25" s="8"/>
      <c r="F25" s="438"/>
      <c r="G25" s="112"/>
      <c r="H25" s="110" t="s">
        <v>178</v>
      </c>
      <c r="I25" s="124">
        <f ca="1">Vloer_Opp/Zoldervloer_Rc</f>
        <v>147.6</v>
      </c>
      <c r="J25" s="440" t="s">
        <v>108</v>
      </c>
      <c r="K25" s="107"/>
      <c r="L25" s="110" t="s">
        <v>24</v>
      </c>
      <c r="M25" s="123">
        <f ca="1">Dak_Opp/Dak_Rc</f>
        <v>62.62143232937305</v>
      </c>
      <c r="N25" s="31"/>
      <c r="O25" s="436"/>
      <c r="P25" s="31"/>
      <c r="Q25" s="31"/>
      <c r="R25" s="436"/>
      <c r="S25" s="3"/>
      <c r="T25" s="9"/>
      <c r="U25" s="8"/>
      <c r="V25" s="438"/>
      <c r="W25" s="112"/>
      <c r="X25" s="110" t="s">
        <v>178</v>
      </c>
      <c r="Y25" s="124">
        <f ca="1">Vloer_Opp/Zoldervloer_Rc</f>
        <v>147.6</v>
      </c>
      <c r="Z25" s="440" t="s">
        <v>108</v>
      </c>
      <c r="AA25" s="107"/>
      <c r="AB25" s="110" t="s">
        <v>24</v>
      </c>
      <c r="AC25" s="123">
        <f ca="1">Dak_Opp/Dak_Rc_b</f>
        <v>12.921882861616661</v>
      </c>
      <c r="AD25" s="31"/>
      <c r="AE25" s="436"/>
    </row>
    <row r="26" spans="2:31" ht="14.25" thickTop="1" thickBot="1">
      <c r="B26" s="436"/>
      <c r="D26" s="9"/>
      <c r="E26" s="8"/>
      <c r="F26" s="438"/>
      <c r="G26" s="3"/>
      <c r="H26" s="31"/>
      <c r="I26" s="1"/>
      <c r="J26" s="436"/>
      <c r="K26" s="31"/>
      <c r="L26" s="31"/>
      <c r="M26" s="1"/>
      <c r="N26" s="125">
        <f ca="1">M25+M27</f>
        <v>70.881713712032479</v>
      </c>
      <c r="O26" s="436"/>
      <c r="P26" s="31"/>
      <c r="Q26" s="31"/>
      <c r="R26" s="436"/>
      <c r="S26" s="3"/>
      <c r="T26" s="9"/>
      <c r="U26" s="8"/>
      <c r="V26" s="438"/>
      <c r="W26" s="3"/>
      <c r="X26" s="31"/>
      <c r="Y26" s="1"/>
      <c r="Z26" s="436"/>
      <c r="AA26" s="31"/>
      <c r="AB26" s="31"/>
      <c r="AC26" s="1"/>
      <c r="AD26" s="125">
        <f ca="1">AC25+AC27</f>
        <v>18.035390384215358</v>
      </c>
      <c r="AE26" s="436"/>
    </row>
    <row r="27" spans="2:31" ht="14.25" thickTop="1" thickBot="1">
      <c r="B27" s="436"/>
      <c r="D27" s="9"/>
      <c r="E27" s="8"/>
      <c r="F27" s="438"/>
      <c r="G27" s="3"/>
      <c r="H27" s="31"/>
      <c r="I27" s="1"/>
      <c r="J27" s="436"/>
      <c r="K27" s="112"/>
      <c r="L27" s="110" t="s">
        <v>179</v>
      </c>
      <c r="M27" s="123">
        <f ca="1">Muur_Zolder_Opp/Muur_Zolder_Rc</f>
        <v>8.2602813826594321</v>
      </c>
      <c r="N27" s="111"/>
      <c r="O27" s="436"/>
      <c r="P27" s="31"/>
      <c r="Q27" s="31"/>
      <c r="R27" s="436"/>
      <c r="S27" s="3"/>
      <c r="T27" s="9"/>
      <c r="U27" s="8"/>
      <c r="V27" s="438"/>
      <c r="W27" s="3"/>
      <c r="X27" s="31"/>
      <c r="Y27" s="1"/>
      <c r="Z27" s="436"/>
      <c r="AA27" s="112"/>
      <c r="AB27" s="110" t="s">
        <v>179</v>
      </c>
      <c r="AC27" s="123">
        <f ca="1">Muur_Zolder_Opp/Muur_Zolder_Rc_b</f>
        <v>5.1135075225986961</v>
      </c>
      <c r="AD27" s="111"/>
      <c r="AE27" s="436"/>
    </row>
    <row r="28" spans="2:31" ht="13.5" thickTop="1">
      <c r="B28" s="436"/>
      <c r="D28" s="9"/>
      <c r="E28" s="8"/>
      <c r="F28" s="438"/>
      <c r="G28" s="3"/>
      <c r="H28" s="31"/>
      <c r="I28" s="1"/>
      <c r="J28" s="436"/>
      <c r="K28" s="31"/>
      <c r="L28" s="31"/>
      <c r="M28" s="1"/>
      <c r="N28" s="31"/>
      <c r="O28" s="436"/>
      <c r="P28" s="31"/>
      <c r="Q28" s="31"/>
      <c r="R28" s="436"/>
      <c r="S28" s="3"/>
      <c r="T28" s="9"/>
      <c r="U28" s="8"/>
      <c r="V28" s="438"/>
      <c r="W28" s="3"/>
      <c r="X28" s="31"/>
      <c r="Y28" s="1"/>
      <c r="Z28" s="436"/>
      <c r="AA28" s="31"/>
      <c r="AB28" s="31"/>
      <c r="AC28" s="1"/>
      <c r="AD28" s="31"/>
      <c r="AE28" s="436"/>
    </row>
    <row r="29" spans="2:31" ht="13.5" thickBot="1">
      <c r="B29" s="437"/>
      <c r="D29" s="9"/>
      <c r="E29" s="8"/>
      <c r="F29" s="439"/>
      <c r="G29" s="3"/>
      <c r="H29" s="31"/>
      <c r="I29" s="1"/>
      <c r="J29" s="437"/>
      <c r="K29" s="31"/>
      <c r="L29" s="31"/>
      <c r="M29" s="1"/>
      <c r="N29" s="31"/>
      <c r="O29" s="437"/>
      <c r="P29" s="31"/>
      <c r="Q29" s="31"/>
      <c r="R29" s="437"/>
      <c r="S29" s="3"/>
      <c r="T29" s="9"/>
      <c r="U29" s="8"/>
      <c r="V29" s="439"/>
      <c r="W29" s="3"/>
      <c r="X29" s="31"/>
      <c r="Y29" s="1"/>
      <c r="Z29" s="437"/>
      <c r="AA29" s="31"/>
      <c r="AB29" s="31"/>
      <c r="AC29" s="1"/>
      <c r="AD29" s="31"/>
      <c r="AE29" s="437"/>
    </row>
    <row r="30" spans="2:31" ht="14.25" thickTop="1" thickBot="1">
      <c r="D30" s="9"/>
      <c r="E30" s="3"/>
      <c r="F30" s="3"/>
      <c r="G30" s="3"/>
      <c r="H30" s="31"/>
      <c r="I30" s="31"/>
      <c r="J30" s="31"/>
      <c r="K30" s="31"/>
      <c r="L30" s="31"/>
      <c r="M30" s="31"/>
      <c r="N30" s="31"/>
      <c r="O30" s="31"/>
      <c r="P30" s="31"/>
      <c r="Q30" s="31"/>
      <c r="R30" s="31"/>
      <c r="S30" s="3"/>
      <c r="T30" s="9"/>
      <c r="U30" s="3"/>
      <c r="V30" s="3"/>
      <c r="W30" s="3"/>
      <c r="X30" s="31"/>
      <c r="Y30" s="31"/>
      <c r="Z30" s="31"/>
      <c r="AA30" s="31"/>
      <c r="AB30" s="31"/>
      <c r="AC30" s="31"/>
      <c r="AD30" s="31"/>
      <c r="AE30" s="31"/>
    </row>
    <row r="31" spans="2:31" ht="14.25" thickTop="1" thickBot="1">
      <c r="D31" s="9"/>
      <c r="E31" s="3"/>
      <c r="F31" s="3"/>
      <c r="G31" s="121"/>
      <c r="H31" s="121"/>
      <c r="I31" s="121"/>
      <c r="J31" s="126">
        <f ca="1">1/(1/I25+1/N26)</f>
        <v>47.885659473018919</v>
      </c>
      <c r="K31" s="121"/>
      <c r="L31" s="121"/>
      <c r="M31" s="121"/>
      <c r="N31" s="121"/>
      <c r="O31" s="31"/>
      <c r="P31" s="31"/>
      <c r="Q31" s="31"/>
      <c r="R31" s="31"/>
      <c r="S31" s="3"/>
      <c r="T31" s="9"/>
      <c r="U31" s="3"/>
      <c r="V31" s="3"/>
      <c r="W31" s="121"/>
      <c r="X31" s="121"/>
      <c r="Y31" s="121"/>
      <c r="Z31" s="126">
        <f ca="1">1/(1/Y25+1/AD26)</f>
        <v>16.07158720449317</v>
      </c>
      <c r="AA31" s="121"/>
      <c r="AB31" s="121"/>
      <c r="AC31" s="121"/>
      <c r="AD31" s="121"/>
      <c r="AE31" s="31"/>
    </row>
    <row r="32" spans="2:31">
      <c r="D32" s="9"/>
      <c r="E32" s="3"/>
      <c r="F32" s="3"/>
      <c r="G32" s="31"/>
      <c r="H32" s="31"/>
      <c r="I32" s="31"/>
      <c r="J32" s="9"/>
      <c r="K32" s="31"/>
      <c r="L32" s="31"/>
      <c r="M32" s="31"/>
      <c r="N32" s="31"/>
      <c r="O32" s="31"/>
      <c r="P32" s="31"/>
      <c r="Q32" s="31"/>
      <c r="R32" s="31"/>
      <c r="S32" s="3"/>
      <c r="T32" s="9"/>
      <c r="U32" s="3"/>
      <c r="V32" s="3"/>
      <c r="W32" s="31"/>
      <c r="X32" s="31"/>
      <c r="Y32" s="31"/>
      <c r="Z32" s="9"/>
      <c r="AA32" s="31"/>
      <c r="AB32" s="31"/>
      <c r="AC32" s="31"/>
      <c r="AD32" s="31"/>
      <c r="AE32" s="31"/>
    </row>
    <row r="33" spans="2:31">
      <c r="D33" s="9"/>
      <c r="E33" s="3"/>
      <c r="F33" s="3"/>
      <c r="G33" s="31"/>
      <c r="H33" s="31"/>
      <c r="I33" s="31"/>
      <c r="J33" s="9"/>
      <c r="K33" s="31"/>
      <c r="L33" s="31"/>
      <c r="M33" s="31"/>
      <c r="N33" s="31"/>
      <c r="O33" s="31"/>
      <c r="P33" s="31"/>
      <c r="Q33" s="31"/>
      <c r="R33" s="31"/>
      <c r="S33" s="3"/>
      <c r="T33" s="9"/>
      <c r="U33" s="3"/>
      <c r="V33" s="3"/>
      <c r="W33" s="31"/>
      <c r="X33" s="31"/>
      <c r="Y33" s="31"/>
      <c r="Z33" s="9"/>
      <c r="AA33" s="31"/>
      <c r="AB33" s="31"/>
      <c r="AC33" s="31"/>
      <c r="AD33" s="31"/>
      <c r="AE33" s="31"/>
    </row>
    <row r="34" spans="2:31" ht="13.5" thickBot="1">
      <c r="D34" s="9"/>
      <c r="E34" s="3"/>
      <c r="F34" s="31"/>
      <c r="G34" s="31"/>
      <c r="H34" s="31"/>
      <c r="I34" s="31"/>
      <c r="J34" s="31"/>
      <c r="K34" s="31"/>
      <c r="L34" s="31"/>
      <c r="M34" s="31"/>
      <c r="N34" s="31"/>
      <c r="O34" s="31"/>
      <c r="P34" s="31"/>
      <c r="Q34" s="31"/>
      <c r="R34" s="31"/>
      <c r="S34" s="3"/>
      <c r="T34" s="9"/>
      <c r="U34" s="3"/>
      <c r="V34" s="31"/>
      <c r="W34" s="31"/>
      <c r="X34" s="31"/>
      <c r="Y34" s="31"/>
      <c r="Z34" s="31"/>
      <c r="AA34" s="31"/>
      <c r="AB34" s="31"/>
      <c r="AC34" s="31"/>
      <c r="AD34" s="31"/>
      <c r="AE34" s="31"/>
    </row>
    <row r="35" spans="2:31" ht="14.25" thickTop="1" thickBot="1">
      <c r="C35" s="121"/>
      <c r="D35" s="121"/>
      <c r="E35" s="121"/>
      <c r="F35" s="122">
        <f ca="1">1/(1/E20+1/(J21+J31))</f>
        <v>69.293463380194098</v>
      </c>
      <c r="G35" s="121"/>
      <c r="H35" s="121"/>
      <c r="I35" s="121"/>
      <c r="J35" s="121"/>
      <c r="K35" s="121"/>
      <c r="L35" s="121"/>
      <c r="M35" s="121"/>
      <c r="N35" s="121"/>
      <c r="O35" s="31"/>
      <c r="R35" s="31"/>
      <c r="S35" s="121"/>
      <c r="T35" s="121"/>
      <c r="U35" s="121"/>
      <c r="V35" s="122">
        <f ca="1">1/(1/U20+1/(Z21+Z31))</f>
        <v>36.747727842587146</v>
      </c>
      <c r="W35" s="121"/>
      <c r="X35" s="121"/>
      <c r="Y35" s="121"/>
      <c r="Z35" s="121"/>
      <c r="AA35" s="121"/>
      <c r="AB35" s="121"/>
      <c r="AC35" s="121"/>
      <c r="AD35" s="121"/>
      <c r="AE35" s="31"/>
    </row>
    <row r="36" spans="2:31">
      <c r="D36" s="9"/>
      <c r="E36" s="3"/>
      <c r="F36" s="31"/>
      <c r="G36" s="31"/>
      <c r="H36" s="31"/>
      <c r="I36" s="31"/>
      <c r="K36" s="31"/>
      <c r="L36" s="31"/>
      <c r="M36" s="31"/>
      <c r="N36" s="31"/>
    </row>
    <row r="39" spans="2:31">
      <c r="B39" s="31" t="s">
        <v>180</v>
      </c>
    </row>
    <row r="40" spans="2:31">
      <c r="R40" s="31"/>
      <c r="S40" s="3"/>
      <c r="T40" s="37"/>
      <c r="U40" s="39"/>
    </row>
    <row r="41" spans="2:31" s="45" customFormat="1" ht="38.25">
      <c r="B41" s="46"/>
      <c r="C41" s="132" t="s">
        <v>181</v>
      </c>
      <c r="D41" s="133" t="s">
        <v>182</v>
      </c>
      <c r="E41" s="134" t="s">
        <v>183</v>
      </c>
      <c r="R41" s="46"/>
      <c r="S41" s="132" t="s">
        <v>181</v>
      </c>
      <c r="T41" s="133" t="s">
        <v>182</v>
      </c>
      <c r="U41" s="134" t="s">
        <v>183</v>
      </c>
    </row>
    <row r="42" spans="2:31" ht="12.75" customHeight="1">
      <c r="B42" s="1" t="s">
        <v>17</v>
      </c>
      <c r="C42" s="3">
        <f ca="1">E13*V_m2_Rc</f>
        <v>286.2314156431803</v>
      </c>
      <c r="D42" s="3">
        <f ca="1">E13*(B13-O13)</f>
        <v>794.76923076923072</v>
      </c>
      <c r="E42" s="130">
        <f ca="1">D42/C42</f>
        <v>2.7766666666666668</v>
      </c>
      <c r="F42" s="432" t="s">
        <v>184</v>
      </c>
      <c r="G42" s="432"/>
      <c r="H42" s="432"/>
      <c r="I42" s="432"/>
      <c r="J42" s="432"/>
      <c r="K42" s="432"/>
      <c r="L42" s="432"/>
      <c r="M42" s="432"/>
      <c r="N42" s="432"/>
      <c r="O42" s="432"/>
      <c r="R42" s="1" t="s">
        <v>17</v>
      </c>
      <c r="S42" s="3">
        <f ca="1">U13*V_m2_Rc</f>
        <v>100.56779468544173</v>
      </c>
      <c r="T42" s="3">
        <f ca="1">U13*(R13-AE13)</f>
        <v>279.24324324324323</v>
      </c>
      <c r="U42" s="130">
        <f ca="1">T42/S42</f>
        <v>2.7766666666666668</v>
      </c>
    </row>
    <row r="43" spans="2:31">
      <c r="B43" s="1" t="s">
        <v>185</v>
      </c>
      <c r="C43" s="3">
        <f ca="1">E15*V_m2_Rc</f>
        <v>280.25571176751168</v>
      </c>
      <c r="D43" s="3">
        <f ca="1">E15*(B13-O13)</f>
        <v>778.17669300779085</v>
      </c>
      <c r="E43" s="130">
        <f t="shared" ref="E43:E45" ca="1" si="0">D43/C43</f>
        <v>2.7766666666666668</v>
      </c>
      <c r="F43" s="432"/>
      <c r="G43" s="432"/>
      <c r="H43" s="432"/>
      <c r="I43" s="432"/>
      <c r="J43" s="432"/>
      <c r="K43" s="432"/>
      <c r="L43" s="432"/>
      <c r="M43" s="432"/>
      <c r="N43" s="432"/>
      <c r="O43" s="432"/>
      <c r="R43" s="1" t="s">
        <v>185</v>
      </c>
      <c r="S43" s="3">
        <f ca="1">U15*V_m2_Rc</f>
        <v>173.49163109417393</v>
      </c>
      <c r="T43" s="3">
        <f ca="1">U15*(R13-AE13)</f>
        <v>481.72842900482294</v>
      </c>
      <c r="U43" s="130">
        <f t="shared" ref="U43:U45" ca="1" si="1">T43/S43</f>
        <v>2.7766666666666668</v>
      </c>
    </row>
    <row r="44" spans="2:31">
      <c r="B44" s="1" t="s">
        <v>186</v>
      </c>
      <c r="C44" s="3">
        <f ca="1">E17*V_m2_Rc</f>
        <v>443.96945978391341</v>
      </c>
      <c r="D44" s="3">
        <f ca="1">E17*(B13-O13)</f>
        <v>1232.7551999999996</v>
      </c>
      <c r="E44" s="130">
        <f t="shared" ca="1" si="0"/>
        <v>2.7766666666666668</v>
      </c>
      <c r="F44" s="432"/>
      <c r="G44" s="432"/>
      <c r="H44" s="432"/>
      <c r="I44" s="432"/>
      <c r="J44" s="432"/>
      <c r="K44" s="432"/>
      <c r="L44" s="432"/>
      <c r="M44" s="432"/>
      <c r="N44" s="432"/>
      <c r="O44" s="432"/>
      <c r="R44" s="1" t="s">
        <v>186</v>
      </c>
      <c r="S44" s="3">
        <f ca="1">U17*V_m2_Rc</f>
        <v>76.546458583433363</v>
      </c>
      <c r="T44" s="3">
        <f ca="1">U17*(R13-AE13)</f>
        <v>212.54399999999998</v>
      </c>
      <c r="U44" s="130">
        <f t="shared" ca="1" si="1"/>
        <v>2.7766666666666668</v>
      </c>
    </row>
    <row r="45" spans="2:31">
      <c r="B45" s="1" t="s">
        <v>175</v>
      </c>
      <c r="C45" s="3">
        <f ca="1">F35*V_m2_Rc</f>
        <v>499.11258136994547</v>
      </c>
      <c r="D45" s="3">
        <f ca="1">F35*(B13-O13)</f>
        <v>1385.869267603882</v>
      </c>
      <c r="E45" s="130">
        <f t="shared" ca="1" si="0"/>
        <v>2.7766666666666668</v>
      </c>
      <c r="F45" s="432"/>
      <c r="G45" s="432"/>
      <c r="H45" s="432"/>
      <c r="I45" s="432"/>
      <c r="J45" s="432"/>
      <c r="K45" s="432"/>
      <c r="L45" s="432"/>
      <c r="M45" s="432"/>
      <c r="N45" s="432"/>
      <c r="O45" s="432"/>
      <c r="R45" s="1" t="s">
        <v>175</v>
      </c>
      <c r="S45" s="3">
        <f ca="1">V35*V_m2_Rc</f>
        <v>264.68951627313669</v>
      </c>
      <c r="T45" s="3">
        <f ca="1">V35*(R13-AE13)</f>
        <v>734.95455685174295</v>
      </c>
      <c r="U45" s="130">
        <f t="shared" ca="1" si="1"/>
        <v>2.7766666666666668</v>
      </c>
    </row>
    <row r="46" spans="2:31">
      <c r="F46" s="432"/>
      <c r="G46" s="432"/>
      <c r="H46" s="432"/>
      <c r="I46" s="432"/>
      <c r="J46" s="432"/>
      <c r="K46" s="432"/>
      <c r="L46" s="432"/>
      <c r="M46" s="432"/>
      <c r="N46" s="432"/>
      <c r="O46" s="432"/>
      <c r="R46" s="31"/>
      <c r="S46" s="3"/>
      <c r="T46" s="37"/>
      <c r="U46" s="39"/>
    </row>
    <row r="47" spans="2:31">
      <c r="B47" s="31" t="s">
        <v>187</v>
      </c>
      <c r="C47" s="3">
        <f ca="1">D47/$E$42</f>
        <v>159.09755971139347</v>
      </c>
      <c r="D47" s="3">
        <f ca="1">I20*(F19-O13)</f>
        <v>441.7608907986359</v>
      </c>
      <c r="F47" s="432" t="s">
        <v>188</v>
      </c>
      <c r="G47" s="432"/>
      <c r="H47" s="432"/>
      <c r="I47" s="432"/>
      <c r="J47" s="432"/>
      <c r="K47" s="432"/>
      <c r="L47" s="432"/>
      <c r="M47" s="432"/>
      <c r="N47" s="432"/>
      <c r="O47" s="432"/>
      <c r="R47" s="31" t="s">
        <v>187</v>
      </c>
      <c r="S47" s="3">
        <f ca="1">T47/Vermogen_Verbruik</f>
        <v>139.42291516562497</v>
      </c>
      <c r="T47" s="3">
        <f ca="1">Y20*(V19-AE13)</f>
        <v>387.13096110988533</v>
      </c>
      <c r="U47" s="39"/>
    </row>
    <row r="48" spans="2:31">
      <c r="B48" s="31" t="s">
        <v>189</v>
      </c>
      <c r="C48" s="3">
        <f t="shared" ref="C48:C50" ca="1" si="2">D48/$E$42</f>
        <v>157.02669720254954</v>
      </c>
      <c r="D48" s="3">
        <f ca="1">I22*(F19-O13)</f>
        <v>436.01079589907926</v>
      </c>
      <c r="F48" s="432"/>
      <c r="G48" s="432"/>
      <c r="H48" s="432"/>
      <c r="I48" s="432"/>
      <c r="J48" s="432"/>
      <c r="K48" s="432"/>
      <c r="L48" s="432"/>
      <c r="M48" s="432"/>
      <c r="N48" s="432"/>
      <c r="O48" s="432"/>
      <c r="R48" s="31" t="s">
        <v>189</v>
      </c>
      <c r="S48" s="3">
        <f ca="1">T48/Vermogen_Verbruik</f>
        <v>38.325875607845013</v>
      </c>
      <c r="T48" s="3">
        <f ca="1">Y22*(V19-AE13)</f>
        <v>106.41818127111632</v>
      </c>
      <c r="U48" s="39"/>
    </row>
    <row r="49" spans="2:31">
      <c r="B49" s="31" t="s">
        <v>24</v>
      </c>
      <c r="C49" s="3">
        <f t="shared" ca="1" si="2"/>
        <v>161.66357127792895</v>
      </c>
      <c r="D49" s="3">
        <f ca="1">M25*(T_Zolder_x-O13)</f>
        <v>448.88584958171606</v>
      </c>
      <c r="F49" s="432"/>
      <c r="G49" s="432"/>
      <c r="H49" s="432"/>
      <c r="I49" s="432"/>
      <c r="J49" s="432"/>
      <c r="K49" s="432"/>
      <c r="L49" s="432"/>
      <c r="M49" s="432"/>
      <c r="N49" s="432"/>
      <c r="O49" s="432"/>
      <c r="R49" s="31" t="s">
        <v>24</v>
      </c>
      <c r="S49" s="3">
        <f ca="1">T49/Vermogen_Verbruik</f>
        <v>62.290743193110984</v>
      </c>
      <c r="T49" s="3">
        <f ca="1">AC25*(T_Zolder_x_b-AE13)</f>
        <v>172.96063026620484</v>
      </c>
      <c r="U49" s="39"/>
    </row>
    <row r="50" spans="2:31">
      <c r="B50" s="31" t="s">
        <v>190</v>
      </c>
      <c r="C50" s="3">
        <f t="shared" ca="1" si="2"/>
        <v>21.3247531780735</v>
      </c>
      <c r="D50" s="3">
        <f ca="1">M27*(T_Zolder_x-O13)</f>
        <v>59.21173132445076</v>
      </c>
      <c r="F50" s="432"/>
      <c r="G50" s="432"/>
      <c r="H50" s="432"/>
      <c r="I50" s="432"/>
      <c r="J50" s="432"/>
      <c r="K50" s="432"/>
      <c r="L50" s="432"/>
      <c r="M50" s="432"/>
      <c r="N50" s="432"/>
      <c r="O50" s="432"/>
      <c r="R50" s="31" t="s">
        <v>190</v>
      </c>
      <c r="S50" s="3">
        <f ca="1">T50/Vermogen_Verbruik</f>
        <v>24.649982306555742</v>
      </c>
      <c r="T50" s="3">
        <f ca="1">AC27*(T_Zolder_x_b-AE13)</f>
        <v>68.444784204536447</v>
      </c>
      <c r="U50" s="39"/>
    </row>
    <row r="51" spans="2:31">
      <c r="F51" s="432"/>
      <c r="G51" s="432"/>
      <c r="H51" s="432"/>
      <c r="I51" s="432"/>
      <c r="J51" s="432"/>
      <c r="K51" s="432"/>
      <c r="L51" s="432"/>
      <c r="M51" s="432"/>
      <c r="N51" s="432"/>
      <c r="O51" s="432"/>
      <c r="R51" s="31"/>
      <c r="S51" s="3"/>
      <c r="T51" s="37"/>
      <c r="U51" s="39"/>
    </row>
    <row r="52" spans="2:31">
      <c r="C52" s="3">
        <f ca="1">SUM(C42:C50)-C45</f>
        <v>1509.5691685645506</v>
      </c>
      <c r="R52" s="31"/>
      <c r="S52" s="3">
        <f ca="1">SUM(S42:S50)-S45</f>
        <v>615.29540063618583</v>
      </c>
      <c r="T52" s="37"/>
      <c r="U52" s="39"/>
    </row>
    <row r="54" spans="2:31" ht="13.5" thickBot="1"/>
    <row r="55" spans="2:31" ht="34.5" customHeight="1" thickBot="1">
      <c r="B55" s="433" t="s">
        <v>1082</v>
      </c>
      <c r="C55" s="434"/>
      <c r="D55" s="434"/>
      <c r="E55" s="434"/>
      <c r="F55" s="434"/>
      <c r="G55" s="434"/>
      <c r="H55" s="434"/>
      <c r="I55" s="434"/>
      <c r="J55" s="434"/>
      <c r="K55" s="434"/>
      <c r="L55" s="434"/>
      <c r="M55" s="434"/>
      <c r="N55" s="434"/>
      <c r="O55" s="435"/>
      <c r="R55" s="433" t="s">
        <v>1083</v>
      </c>
      <c r="S55" s="434"/>
      <c r="T55" s="434"/>
      <c r="U55" s="434"/>
      <c r="V55" s="434"/>
      <c r="W55" s="434"/>
      <c r="X55" s="434"/>
      <c r="Y55" s="434"/>
      <c r="Z55" s="434"/>
      <c r="AA55" s="434"/>
      <c r="AB55" s="434"/>
      <c r="AC55" s="434"/>
      <c r="AD55" s="434"/>
      <c r="AE55" s="435"/>
    </row>
    <row r="56" spans="2:31" ht="13.5" thickBot="1">
      <c r="B56" s="116"/>
      <c r="E56" s="8"/>
      <c r="F56" s="39"/>
      <c r="G56" s="39"/>
      <c r="I56" s="1"/>
      <c r="R56" s="116"/>
      <c r="S56" s="3"/>
      <c r="T56" s="37"/>
      <c r="U56" s="8"/>
      <c r="V56" s="39"/>
      <c r="W56" s="39"/>
      <c r="Y56" s="1"/>
    </row>
    <row r="57" spans="2:31" ht="14.25" customHeight="1" thickTop="1" thickBot="1">
      <c r="B57" s="127">
        <f>Tbinnen-1</f>
        <v>19</v>
      </c>
      <c r="C57" s="106"/>
      <c r="D57" s="110" t="s">
        <v>17</v>
      </c>
      <c r="E57" s="123">
        <f ca="1">Correctie_Kruipruimte*Correctie_Vloerverwarming*Vloer_Opp/Vloer_Rc</f>
        <v>39.738461538461536</v>
      </c>
      <c r="F57" s="8" t="s">
        <v>174</v>
      </c>
      <c r="G57" s="3"/>
      <c r="H57" s="31"/>
      <c r="I57" s="1"/>
      <c r="J57" s="31"/>
      <c r="K57" s="31"/>
      <c r="L57" s="31"/>
      <c r="M57" s="31"/>
      <c r="N57" s="31"/>
      <c r="O57" s="127">
        <f>Tbuiten</f>
        <v>0</v>
      </c>
      <c r="P57" s="31"/>
      <c r="Q57" s="31"/>
      <c r="R57" s="127">
        <f>Tbinnen-1</f>
        <v>19</v>
      </c>
      <c r="S57" s="106"/>
      <c r="T57" s="110" t="s">
        <v>17</v>
      </c>
      <c r="U57" s="123">
        <f ca="1">Correctie_Kruipruimte*Correctie_Vloerverwarming*Vloer_Opp/Vloer_Rc_b</f>
        <v>13.96216216216216</v>
      </c>
      <c r="V57" s="8" t="s">
        <v>174</v>
      </c>
      <c r="W57" s="3"/>
      <c r="X57" s="31"/>
      <c r="Y57" s="1"/>
      <c r="Z57" s="31"/>
      <c r="AA57" s="31"/>
      <c r="AB57" s="31"/>
      <c r="AC57" s="31"/>
      <c r="AD57" s="31"/>
      <c r="AE57" s="127">
        <f>Tbuiten</f>
        <v>0</v>
      </c>
    </row>
    <row r="58" spans="2:31" ht="14.25" thickTop="1" thickBot="1">
      <c r="B58" s="436" t="s">
        <v>106</v>
      </c>
      <c r="D58" s="9"/>
      <c r="E58" s="8"/>
      <c r="F58" s="111"/>
      <c r="H58" s="31"/>
      <c r="I58" s="1"/>
      <c r="J58" s="31"/>
      <c r="K58" s="31"/>
      <c r="L58" s="31"/>
      <c r="M58" s="31"/>
      <c r="N58" s="31"/>
      <c r="O58" s="436" t="s">
        <v>109</v>
      </c>
      <c r="P58" s="31"/>
      <c r="Q58" s="31"/>
      <c r="R58" s="436" t="s">
        <v>106</v>
      </c>
      <c r="S58" s="3"/>
      <c r="T58" s="9"/>
      <c r="U58" s="8"/>
      <c r="V58" s="111"/>
      <c r="X58" s="31"/>
      <c r="Y58" s="1"/>
      <c r="Z58" s="31"/>
      <c r="AA58" s="31"/>
      <c r="AB58" s="31"/>
      <c r="AC58" s="31"/>
      <c r="AD58" s="31"/>
      <c r="AE58" s="436" t="s">
        <v>109</v>
      </c>
    </row>
    <row r="59" spans="2:31" ht="14.25" thickTop="1" thickBot="1">
      <c r="B59" s="436"/>
      <c r="C59" s="106"/>
      <c r="D59" s="110" t="s">
        <v>76</v>
      </c>
      <c r="E59" s="123">
        <f ca="1">Muur_Onder_Opp/Muur_Onder_Rc</f>
        <v>38.908834650389544</v>
      </c>
      <c r="F59" s="125">
        <f ca="1">E57+E59+E61</f>
        <v>140.28505618885106</v>
      </c>
      <c r="G59" s="106"/>
      <c r="H59" s="106"/>
      <c r="I59" s="113"/>
      <c r="J59" s="106"/>
      <c r="K59" s="106"/>
      <c r="L59" s="106"/>
      <c r="M59" s="106"/>
      <c r="N59" s="106"/>
      <c r="O59" s="436"/>
      <c r="P59" s="31"/>
      <c r="Q59" s="31"/>
      <c r="R59" s="436"/>
      <c r="S59" s="106"/>
      <c r="T59" s="110" t="s">
        <v>76</v>
      </c>
      <c r="U59" s="123">
        <f ca="1">Muur_Onder_Opp/Muur_Onder_Rc_b</f>
        <v>24.086421450241147</v>
      </c>
      <c r="V59" s="125">
        <f ca="1">U57+U59+U61</f>
        <v>48.675783612403308</v>
      </c>
      <c r="W59" s="106"/>
      <c r="X59" s="106"/>
      <c r="Y59" s="113"/>
      <c r="Z59" s="106"/>
      <c r="AA59" s="106"/>
      <c r="AB59" s="106"/>
      <c r="AC59" s="106"/>
      <c r="AD59" s="106"/>
      <c r="AE59" s="436"/>
    </row>
    <row r="60" spans="2:31" ht="14.25" thickTop="1" thickBot="1">
      <c r="B60" s="436"/>
      <c r="D60" s="9"/>
      <c r="E60" s="8"/>
      <c r="F60" s="111"/>
      <c r="H60" s="31"/>
      <c r="I60" s="1"/>
      <c r="J60" s="31"/>
      <c r="K60" s="31"/>
      <c r="L60" s="31"/>
      <c r="M60" s="31"/>
      <c r="N60" s="31"/>
      <c r="O60" s="436"/>
      <c r="P60" s="31"/>
      <c r="Q60" s="31"/>
      <c r="R60" s="436"/>
      <c r="S60" s="3"/>
      <c r="T60" s="9"/>
      <c r="U60" s="8"/>
      <c r="V60" s="111"/>
      <c r="X60" s="31"/>
      <c r="Y60" s="1"/>
      <c r="Z60" s="31"/>
      <c r="AA60" s="31"/>
      <c r="AB60" s="31"/>
      <c r="AC60" s="31"/>
      <c r="AD60" s="31"/>
      <c r="AE60" s="436"/>
    </row>
    <row r="61" spans="2:31" ht="14.25" thickTop="1" thickBot="1">
      <c r="B61" s="436"/>
      <c r="C61" s="106"/>
      <c r="D61" s="110" t="s">
        <v>23</v>
      </c>
      <c r="E61" s="123">
        <f ca="1">Glas_Onder_Utot</f>
        <v>61.637759999999986</v>
      </c>
      <c r="F61" s="114"/>
      <c r="H61" s="31"/>
      <c r="I61" s="1"/>
      <c r="J61" s="31"/>
      <c r="K61" s="31"/>
      <c r="L61" s="31"/>
      <c r="M61" s="31"/>
      <c r="N61" s="31"/>
      <c r="O61" s="436"/>
      <c r="P61" s="31"/>
      <c r="Q61" s="31"/>
      <c r="R61" s="436"/>
      <c r="S61" s="106"/>
      <c r="T61" s="110" t="s">
        <v>23</v>
      </c>
      <c r="U61" s="123">
        <f ca="1">Glas_Onder_Utot_b</f>
        <v>10.627199999999998</v>
      </c>
      <c r="V61" s="114"/>
      <c r="X61" s="31"/>
      <c r="Y61" s="1"/>
      <c r="Z61" s="31"/>
      <c r="AA61" s="31"/>
      <c r="AB61" s="31"/>
      <c r="AC61" s="31"/>
      <c r="AD61" s="31"/>
      <c r="AE61" s="436"/>
    </row>
    <row r="62" spans="2:31" ht="14.25" thickTop="1" thickBot="1">
      <c r="B62" s="436"/>
      <c r="D62" s="9"/>
      <c r="E62" s="8"/>
      <c r="F62" s="129">
        <f ca="1">O57+(B57-O57)/(1+(J65+J75)/E64)</f>
        <v>10.080109727481791</v>
      </c>
      <c r="G62" s="3"/>
      <c r="H62" s="31"/>
      <c r="I62" s="1"/>
      <c r="J62" s="31"/>
      <c r="K62" s="31"/>
      <c r="L62" s="31"/>
      <c r="M62" s="31"/>
      <c r="N62" s="31"/>
      <c r="O62" s="436"/>
      <c r="P62" s="31"/>
      <c r="Q62" s="31"/>
      <c r="R62" s="436"/>
      <c r="S62" s="3"/>
      <c r="T62" s="9"/>
      <c r="U62" s="8"/>
      <c r="V62" s="129">
        <f ca="1">AE57+(R57-AE57)/(1+(Z65+Z75)/U64)</f>
        <v>14.269601429477264</v>
      </c>
      <c r="W62" s="3"/>
      <c r="X62" s="31"/>
      <c r="Y62" s="1"/>
      <c r="Z62" s="31"/>
      <c r="AA62" s="31"/>
      <c r="AB62" s="31"/>
      <c r="AC62" s="31"/>
      <c r="AD62" s="31"/>
      <c r="AE62" s="436"/>
    </row>
    <row r="63" spans="2:31" ht="14.25" thickTop="1" thickBot="1">
      <c r="B63" s="436"/>
      <c r="D63" s="9"/>
      <c r="E63" s="8"/>
      <c r="F63" s="128">
        <f ca="1">IF(Verwarming_1="Ja",Tboven_set-1,IF(Verwarming_1="half",Tbinnen-4,F62))</f>
        <v>10.080109727481791</v>
      </c>
      <c r="G63" s="3"/>
      <c r="H63" s="31"/>
      <c r="I63" s="1"/>
      <c r="J63" s="31"/>
      <c r="K63" s="31"/>
      <c r="L63" s="31"/>
      <c r="M63" s="31"/>
      <c r="N63" s="31"/>
      <c r="O63" s="436"/>
      <c r="P63" s="31"/>
      <c r="Q63" s="31"/>
      <c r="R63" s="436"/>
      <c r="S63" s="3"/>
      <c r="T63" s="9"/>
      <c r="U63" s="8"/>
      <c r="V63" s="128">
        <f ca="1">IF(Verwarming_1="Ja",Tboven_set-1,IF(Verwarming_1="half",Tbinnen-4,V62))</f>
        <v>14.269601429477264</v>
      </c>
      <c r="W63" s="3"/>
      <c r="X63" s="31"/>
      <c r="Y63" s="1"/>
      <c r="Z63" s="31"/>
      <c r="AA63" s="31"/>
      <c r="AB63" s="31"/>
      <c r="AC63" s="31"/>
      <c r="AD63" s="31"/>
      <c r="AE63" s="436"/>
    </row>
    <row r="64" spans="2:31" ht="14.25" thickTop="1" thickBot="1">
      <c r="B64" s="436"/>
      <c r="C64" s="106"/>
      <c r="D64" s="110" t="s">
        <v>175</v>
      </c>
      <c r="E64" s="123">
        <f ca="1">Vloer_Opp/Plafond_Rc</f>
        <v>147.6</v>
      </c>
      <c r="F64" s="438" t="s">
        <v>176</v>
      </c>
      <c r="G64" s="107"/>
      <c r="H64" s="110" t="s">
        <v>76</v>
      </c>
      <c r="I64" s="123">
        <f ca="1">Muur_Boven_Opp/Muur_Boven_Rc</f>
        <v>41.63375772731262</v>
      </c>
      <c r="L64" s="31"/>
      <c r="M64" s="31"/>
      <c r="N64" s="31"/>
      <c r="O64" s="436"/>
      <c r="P64" s="31"/>
      <c r="Q64" s="31"/>
      <c r="R64" s="436"/>
      <c r="S64" s="106"/>
      <c r="T64" s="110" t="s">
        <v>175</v>
      </c>
      <c r="U64" s="123">
        <f ca="1">Vloer_Opp/Plafond_Rc</f>
        <v>147.6</v>
      </c>
      <c r="V64" s="438" t="s">
        <v>177</v>
      </c>
      <c r="W64" s="107"/>
      <c r="X64" s="110" t="s">
        <v>76</v>
      </c>
      <c r="Y64" s="123">
        <f ca="1">Muur_Boven_Opp/Muur_Boven_Rc_b</f>
        <v>25.773278593098286</v>
      </c>
      <c r="AB64" s="31"/>
      <c r="AC64" s="31"/>
      <c r="AD64" s="31"/>
      <c r="AE64" s="436"/>
    </row>
    <row r="65" spans="2:31" ht="14.25" thickTop="1" thickBot="1">
      <c r="B65" s="436"/>
      <c r="D65" s="9"/>
      <c r="E65" s="120"/>
      <c r="F65" s="438"/>
      <c r="G65" s="31"/>
      <c r="H65" s="31"/>
      <c r="I65" s="1"/>
      <c r="J65" s="125">
        <f ca="1">I64+I66</f>
        <v>82.725597727312618</v>
      </c>
      <c r="K65" s="107"/>
      <c r="L65" s="107"/>
      <c r="M65" s="107"/>
      <c r="N65" s="106"/>
      <c r="O65" s="436"/>
      <c r="P65" s="31"/>
      <c r="Q65" s="31"/>
      <c r="R65" s="436"/>
      <c r="S65" s="3"/>
      <c r="T65" s="9"/>
      <c r="U65" s="120"/>
      <c r="V65" s="438"/>
      <c r="W65" s="31"/>
      <c r="X65" s="31"/>
      <c r="Y65" s="1"/>
      <c r="Z65" s="125">
        <f ca="1">Y64+Y66</f>
        <v>32.858078593098284</v>
      </c>
      <c r="AA65" s="107"/>
      <c r="AB65" s="107"/>
      <c r="AC65" s="107"/>
      <c r="AD65" s="106"/>
      <c r="AE65" s="436"/>
    </row>
    <row r="66" spans="2:31" ht="14.25" thickTop="1" thickBot="1">
      <c r="B66" s="436"/>
      <c r="D66" s="9"/>
      <c r="E66" s="8"/>
      <c r="F66" s="438"/>
      <c r="G66" s="112"/>
      <c r="H66" s="110" t="s">
        <v>23</v>
      </c>
      <c r="I66" s="123">
        <f ca="1">Glas_Boven_Utot</f>
        <v>41.091839999999998</v>
      </c>
      <c r="J66" s="111"/>
      <c r="L66" s="31"/>
      <c r="M66" s="31"/>
      <c r="N66" s="31"/>
      <c r="O66" s="436"/>
      <c r="P66" s="31"/>
      <c r="Q66" s="31"/>
      <c r="R66" s="436"/>
      <c r="S66" s="3"/>
      <c r="T66" s="9"/>
      <c r="U66" s="8"/>
      <c r="V66" s="438"/>
      <c r="W66" s="112"/>
      <c r="X66" s="110" t="s">
        <v>23</v>
      </c>
      <c r="Y66" s="123">
        <f ca="1">Glas_Boven_Utot_b</f>
        <v>7.0847999999999995</v>
      </c>
      <c r="Z66" s="111"/>
      <c r="AB66" s="31"/>
      <c r="AC66" s="31"/>
      <c r="AD66" s="31"/>
      <c r="AE66" s="436"/>
    </row>
    <row r="67" spans="2:31" ht="14.25" thickTop="1" thickBot="1">
      <c r="B67" s="436"/>
      <c r="D67" s="9"/>
      <c r="E67" s="8"/>
      <c r="F67" s="438"/>
      <c r="G67" s="31"/>
      <c r="H67" s="31"/>
      <c r="I67" s="1"/>
      <c r="J67" s="129">
        <f ca="1">O57+(F63-O57)/(1+N70/I69)</f>
        <v>6.8098339696168955</v>
      </c>
      <c r="K67" s="31"/>
      <c r="L67" s="31"/>
      <c r="M67" s="31"/>
      <c r="N67" s="31"/>
      <c r="O67" s="436"/>
      <c r="P67" s="31"/>
      <c r="Q67" s="31"/>
      <c r="R67" s="436"/>
      <c r="S67" s="3"/>
      <c r="T67" s="9"/>
      <c r="U67" s="8"/>
      <c r="V67" s="438"/>
      <c r="W67" s="31"/>
      <c r="X67" s="31"/>
      <c r="Y67" s="1"/>
      <c r="Z67" s="129">
        <f ca="1">AE57+(V63-AE57)/(1+AD70/Y69)</f>
        <v>12.715840292978591</v>
      </c>
      <c r="AA67" s="31"/>
      <c r="AB67" s="31"/>
      <c r="AC67" s="31"/>
      <c r="AD67" s="31"/>
      <c r="AE67" s="436"/>
    </row>
    <row r="68" spans="2:31" ht="14.25" thickTop="1" thickBot="1">
      <c r="B68" s="436"/>
      <c r="D68" s="9"/>
      <c r="E68" s="8"/>
      <c r="F68" s="438"/>
      <c r="G68" s="31"/>
      <c r="H68" s="31"/>
      <c r="I68" s="1"/>
      <c r="J68" s="128">
        <f ca="1">T_Zolder_x_lager</f>
        <v>6.8098339696168955</v>
      </c>
      <c r="K68" s="31"/>
      <c r="L68" s="31"/>
      <c r="M68" s="31"/>
      <c r="N68" s="31"/>
      <c r="O68" s="436"/>
      <c r="P68" s="31"/>
      <c r="Q68" s="31"/>
      <c r="R68" s="436"/>
      <c r="S68" s="3"/>
      <c r="T68" s="9"/>
      <c r="U68" s="8"/>
      <c r="V68" s="438"/>
      <c r="W68" s="31"/>
      <c r="X68" s="31"/>
      <c r="Y68" s="1"/>
      <c r="Z68" s="128">
        <f ca="1">T_Zolder_x_b_lager</f>
        <v>12.715840292978591</v>
      </c>
      <c r="AA68" s="31"/>
      <c r="AB68" s="31"/>
      <c r="AC68" s="31"/>
      <c r="AD68" s="31"/>
      <c r="AE68" s="436"/>
    </row>
    <row r="69" spans="2:31" ht="14.25" thickTop="1" thickBot="1">
      <c r="B69" s="436"/>
      <c r="D69" s="9"/>
      <c r="E69" s="8"/>
      <c r="F69" s="438"/>
      <c r="G69" s="112"/>
      <c r="H69" s="110" t="s">
        <v>178</v>
      </c>
      <c r="I69" s="124">
        <f ca="1">Vloer_Opp/Zoldervloer_Rc</f>
        <v>147.6</v>
      </c>
      <c r="J69" s="440" t="s">
        <v>108</v>
      </c>
      <c r="K69" s="107"/>
      <c r="L69" s="110" t="s">
        <v>24</v>
      </c>
      <c r="M69" s="123">
        <f ca="1">Dak_Opp/Dak_Rc</f>
        <v>62.62143232937305</v>
      </c>
      <c r="N69" s="31"/>
      <c r="O69" s="436"/>
      <c r="P69" s="31"/>
      <c r="Q69" s="31"/>
      <c r="R69" s="436"/>
      <c r="S69" s="3"/>
      <c r="T69" s="9"/>
      <c r="U69" s="8"/>
      <c r="V69" s="438"/>
      <c r="W69" s="112"/>
      <c r="X69" s="110" t="s">
        <v>178</v>
      </c>
      <c r="Y69" s="124">
        <f ca="1">Vloer_Opp/Zoldervloer_Rc</f>
        <v>147.6</v>
      </c>
      <c r="Z69" s="440" t="s">
        <v>108</v>
      </c>
      <c r="AA69" s="107"/>
      <c r="AB69" s="110" t="s">
        <v>24</v>
      </c>
      <c r="AC69" s="123">
        <f ca="1">Dak_Opp/Dak_Rc_b</f>
        <v>12.921882861616661</v>
      </c>
      <c r="AD69" s="31"/>
      <c r="AE69" s="436"/>
    </row>
    <row r="70" spans="2:31" ht="14.25" thickTop="1" thickBot="1">
      <c r="B70" s="436"/>
      <c r="D70" s="9"/>
      <c r="E70" s="8"/>
      <c r="F70" s="438"/>
      <c r="G70" s="3"/>
      <c r="H70" s="31"/>
      <c r="I70" s="1"/>
      <c r="J70" s="436"/>
      <c r="K70" s="31"/>
      <c r="L70" s="31"/>
      <c r="M70" s="1"/>
      <c r="N70" s="125">
        <f ca="1">M69+M71</f>
        <v>70.881713712032479</v>
      </c>
      <c r="O70" s="436"/>
      <c r="P70" s="31"/>
      <c r="Q70" s="31"/>
      <c r="R70" s="436"/>
      <c r="S70" s="3"/>
      <c r="T70" s="9"/>
      <c r="U70" s="8"/>
      <c r="V70" s="438"/>
      <c r="W70" s="3"/>
      <c r="X70" s="31"/>
      <c r="Y70" s="1"/>
      <c r="Z70" s="436"/>
      <c r="AA70" s="31"/>
      <c r="AB70" s="31"/>
      <c r="AC70" s="1"/>
      <c r="AD70" s="125">
        <f ca="1">AC69+AC71</f>
        <v>18.035390384215358</v>
      </c>
      <c r="AE70" s="436"/>
    </row>
    <row r="71" spans="2:31" ht="14.25" thickTop="1" thickBot="1">
      <c r="B71" s="436"/>
      <c r="D71" s="9"/>
      <c r="E71" s="8"/>
      <c r="F71" s="438"/>
      <c r="G71" s="3"/>
      <c r="H71" s="31"/>
      <c r="I71" s="1"/>
      <c r="J71" s="436"/>
      <c r="K71" s="112"/>
      <c r="L71" s="110" t="s">
        <v>179</v>
      </c>
      <c r="M71" s="123">
        <f ca="1">Muur_Zolder_Opp/Muur_Zolder_Rc</f>
        <v>8.2602813826594321</v>
      </c>
      <c r="N71" s="111"/>
      <c r="O71" s="436"/>
      <c r="P71" s="31"/>
      <c r="Q71" s="31"/>
      <c r="R71" s="436"/>
      <c r="S71" s="3"/>
      <c r="T71" s="9"/>
      <c r="U71" s="8"/>
      <c r="V71" s="438"/>
      <c r="W71" s="3"/>
      <c r="X71" s="31"/>
      <c r="Y71" s="1"/>
      <c r="Z71" s="436"/>
      <c r="AA71" s="112"/>
      <c r="AB71" s="110" t="s">
        <v>179</v>
      </c>
      <c r="AC71" s="123">
        <f ca="1">Muur_Zolder_Opp/Muur_Zolder_Rc_b</f>
        <v>5.1135075225986961</v>
      </c>
      <c r="AD71" s="111"/>
      <c r="AE71" s="436"/>
    </row>
    <row r="72" spans="2:31" ht="13.5" thickTop="1">
      <c r="B72" s="436"/>
      <c r="D72" s="9"/>
      <c r="E72" s="8"/>
      <c r="F72" s="438"/>
      <c r="G72" s="3"/>
      <c r="H72" s="31"/>
      <c r="I72" s="1"/>
      <c r="J72" s="436"/>
      <c r="K72" s="31"/>
      <c r="L72" s="31"/>
      <c r="M72" s="1"/>
      <c r="N72" s="31"/>
      <c r="O72" s="436"/>
      <c r="P72" s="31"/>
      <c r="Q72" s="31"/>
      <c r="R72" s="436"/>
      <c r="S72" s="3"/>
      <c r="T72" s="9"/>
      <c r="U72" s="8"/>
      <c r="V72" s="438"/>
      <c r="W72" s="3"/>
      <c r="X72" s="31"/>
      <c r="Y72" s="1"/>
      <c r="Z72" s="436"/>
      <c r="AA72" s="31"/>
      <c r="AB72" s="31"/>
      <c r="AC72" s="1"/>
      <c r="AD72" s="31"/>
      <c r="AE72" s="436"/>
    </row>
    <row r="73" spans="2:31" ht="13.5" thickBot="1">
      <c r="B73" s="437"/>
      <c r="D73" s="9"/>
      <c r="E73" s="8"/>
      <c r="F73" s="439"/>
      <c r="G73" s="3"/>
      <c r="H73" s="31"/>
      <c r="I73" s="1"/>
      <c r="J73" s="437"/>
      <c r="K73" s="31"/>
      <c r="L73" s="31"/>
      <c r="M73" s="1"/>
      <c r="N73" s="31"/>
      <c r="O73" s="437"/>
      <c r="P73" s="31"/>
      <c r="Q73" s="31"/>
      <c r="R73" s="437"/>
      <c r="S73" s="3"/>
      <c r="T73" s="9"/>
      <c r="U73" s="8"/>
      <c r="V73" s="439"/>
      <c r="W73" s="3"/>
      <c r="X73" s="31"/>
      <c r="Y73" s="1"/>
      <c r="Z73" s="437"/>
      <c r="AA73" s="31"/>
      <c r="AB73" s="31"/>
      <c r="AC73" s="1"/>
      <c r="AD73" s="31"/>
      <c r="AE73" s="437"/>
    </row>
    <row r="74" spans="2:31" ht="14.25" thickTop="1" thickBot="1">
      <c r="D74" s="9"/>
      <c r="E74" s="3"/>
      <c r="F74" s="3"/>
      <c r="G74" s="3"/>
      <c r="H74" s="31"/>
      <c r="I74" s="31"/>
      <c r="J74" s="31"/>
      <c r="K74" s="31"/>
      <c r="L74" s="31"/>
      <c r="M74" s="31"/>
      <c r="N74" s="31"/>
      <c r="O74" s="31"/>
      <c r="P74" s="31"/>
      <c r="Q74" s="31"/>
      <c r="R74" s="31"/>
      <c r="S74" s="3"/>
      <c r="T74" s="9"/>
      <c r="U74" s="3"/>
      <c r="V74" s="3"/>
      <c r="W74" s="3"/>
      <c r="X74" s="31"/>
      <c r="Y74" s="31"/>
      <c r="Z74" s="31"/>
      <c r="AA74" s="31"/>
      <c r="AB74" s="31"/>
      <c r="AC74" s="31"/>
      <c r="AD74" s="31"/>
      <c r="AE74" s="31"/>
    </row>
    <row r="75" spans="2:31" ht="14.25" thickTop="1" thickBot="1">
      <c r="D75" s="9"/>
      <c r="E75" s="3"/>
      <c r="F75" s="3"/>
      <c r="G75" s="121"/>
      <c r="H75" s="121"/>
      <c r="I75" s="121"/>
      <c r="J75" s="126">
        <f ca="1">1/(1/I69+1/N70)</f>
        <v>47.885659473018919</v>
      </c>
      <c r="K75" s="121"/>
      <c r="L75" s="121"/>
      <c r="M75" s="121"/>
      <c r="N75" s="121"/>
      <c r="O75" s="31"/>
      <c r="P75" s="31"/>
      <c r="Q75" s="31"/>
      <c r="R75" s="31"/>
      <c r="S75" s="3"/>
      <c r="T75" s="9"/>
      <c r="U75" s="3"/>
      <c r="V75" s="3"/>
      <c r="W75" s="121"/>
      <c r="X75" s="121"/>
      <c r="Y75" s="121"/>
      <c r="Z75" s="126">
        <f ca="1">1/(1/Y69+1/AD70)</f>
        <v>16.07158720449317</v>
      </c>
      <c r="AA75" s="121"/>
      <c r="AB75" s="121"/>
      <c r="AC75" s="121"/>
      <c r="AD75" s="121"/>
      <c r="AE75" s="31"/>
    </row>
    <row r="76" spans="2:31" ht="13.5" thickBot="1">
      <c r="D76" s="9"/>
      <c r="E76" s="3"/>
      <c r="F76" s="31"/>
      <c r="G76" s="31"/>
      <c r="H76" s="31"/>
      <c r="I76" s="31"/>
      <c r="J76" s="31"/>
      <c r="K76" s="31"/>
      <c r="L76" s="31"/>
      <c r="M76" s="31"/>
      <c r="N76" s="31"/>
      <c r="O76" s="31"/>
      <c r="P76" s="31"/>
      <c r="Q76" s="31"/>
      <c r="R76" s="31"/>
      <c r="S76" s="3"/>
      <c r="T76" s="9"/>
      <c r="U76" s="3"/>
      <c r="V76" s="31"/>
      <c r="W76" s="31"/>
      <c r="X76" s="31"/>
      <c r="Y76" s="31"/>
      <c r="Z76" s="31"/>
      <c r="AA76" s="31"/>
      <c r="AB76" s="31"/>
      <c r="AC76" s="31"/>
      <c r="AD76" s="31"/>
      <c r="AE76" s="31"/>
    </row>
    <row r="77" spans="2:31" ht="14.25" thickTop="1" thickBot="1">
      <c r="C77" s="121"/>
      <c r="D77" s="121"/>
      <c r="E77" s="121"/>
      <c r="F77" s="122">
        <f ca="1">1/(1/E64+1/(J65+J75))</f>
        <v>69.293463380194098</v>
      </c>
      <c r="G77" s="121"/>
      <c r="H77" s="121"/>
      <c r="I77" s="121"/>
      <c r="J77" s="121"/>
      <c r="K77" s="121"/>
      <c r="L77" s="121"/>
      <c r="M77" s="121"/>
      <c r="N77" s="121"/>
      <c r="O77" s="31"/>
      <c r="R77" s="31"/>
      <c r="S77" s="121"/>
      <c r="T77" s="121"/>
      <c r="U77" s="121"/>
      <c r="V77" s="122">
        <f ca="1">1/(1/U64+1/(Z65+Z75))</f>
        <v>36.747727842587146</v>
      </c>
      <c r="W77" s="121"/>
      <c r="X77" s="121"/>
      <c r="Y77" s="121"/>
      <c r="Z77" s="121"/>
      <c r="AA77" s="121"/>
      <c r="AB77" s="121"/>
      <c r="AC77" s="121"/>
      <c r="AD77" s="121"/>
      <c r="AE77" s="31"/>
    </row>
    <row r="78" spans="2:31">
      <c r="B78" s="31" t="s">
        <v>191</v>
      </c>
    </row>
    <row r="79" spans="2:31">
      <c r="R79" s="31"/>
      <c r="S79" s="3"/>
      <c r="T79" s="37"/>
      <c r="U79" s="39"/>
    </row>
    <row r="80" spans="2:31" s="45" customFormat="1" ht="38.25">
      <c r="B80" s="46"/>
      <c r="C80" s="132" t="s">
        <v>181</v>
      </c>
      <c r="D80" s="133" t="s">
        <v>182</v>
      </c>
      <c r="E80" s="134" t="s">
        <v>183</v>
      </c>
      <c r="R80" s="46"/>
      <c r="S80" s="132" t="s">
        <v>181</v>
      </c>
      <c r="T80" s="133" t="s">
        <v>182</v>
      </c>
      <c r="U80" s="134" t="s">
        <v>183</v>
      </c>
    </row>
    <row r="81" spans="2:21" ht="12.75" customHeight="1">
      <c r="B81" s="1" t="s">
        <v>17</v>
      </c>
      <c r="C81" s="3">
        <f ca="1">E57*V_m2_Rc_lager</f>
        <v>258.98218487394956</v>
      </c>
      <c r="D81" s="3">
        <f ca="1">E57*(B57-O57)</f>
        <v>755.03076923076924</v>
      </c>
      <c r="E81" s="130">
        <f ca="1">D81/C81</f>
        <v>2.9153772472737991</v>
      </c>
      <c r="F81" s="432" t="s">
        <v>184</v>
      </c>
      <c r="G81" s="432"/>
      <c r="H81" s="432"/>
      <c r="I81" s="432"/>
      <c r="J81" s="432"/>
      <c r="K81" s="432"/>
      <c r="L81" s="432"/>
      <c r="M81" s="432"/>
      <c r="N81" s="432"/>
      <c r="O81" s="432"/>
      <c r="R81" s="1" t="s">
        <v>17</v>
      </c>
      <c r="S81" s="3">
        <f ca="1">U57*V_m2_Rc_lager</f>
        <v>90.993740631387681</v>
      </c>
      <c r="T81" s="3">
        <f ca="1">U57*(R57-AE57)</f>
        <v>265.28108108108103</v>
      </c>
      <c r="U81" s="130">
        <f ca="1">T81/S81</f>
        <v>2.9153772472737987</v>
      </c>
    </row>
    <row r="82" spans="2:21">
      <c r="B82" s="1" t="s">
        <v>185</v>
      </c>
      <c r="C82" s="3">
        <f ca="1">E59*V_m2_Rc_lager</f>
        <v>253.57536800724461</v>
      </c>
      <c r="D82" s="3">
        <f ca="1">E59*(B57-O57)</f>
        <v>739.26785835740134</v>
      </c>
      <c r="E82" s="130">
        <f t="shared" ref="E82:E84" ca="1" si="3">D82/C82</f>
        <v>2.9153772472737991</v>
      </c>
      <c r="F82" s="432"/>
      <c r="G82" s="432"/>
      <c r="H82" s="432"/>
      <c r="I82" s="432"/>
      <c r="J82" s="432"/>
      <c r="K82" s="432"/>
      <c r="L82" s="432"/>
      <c r="M82" s="432"/>
      <c r="N82" s="432"/>
      <c r="O82" s="432"/>
      <c r="R82" s="1" t="s">
        <v>185</v>
      </c>
      <c r="S82" s="3">
        <f ca="1">U59*V_m2_Rc_lager</f>
        <v>156.97522781400858</v>
      </c>
      <c r="T82" s="3">
        <f ca="1">U59*(R57-AE57)</f>
        <v>457.64200755458182</v>
      </c>
      <c r="U82" s="130">
        <f t="shared" ref="U82:U84" ca="1" si="4">T82/S82</f>
        <v>2.9153772472737991</v>
      </c>
    </row>
    <row r="83" spans="2:21">
      <c r="B83" s="1" t="s">
        <v>186</v>
      </c>
      <c r="C83" s="3">
        <f ca="1">E61*V_m2_Rc_lager</f>
        <v>401.70356721248493</v>
      </c>
      <c r="D83" s="3">
        <f ca="1">E61*(B57-O57)</f>
        <v>1171.1174399999998</v>
      </c>
      <c r="E83" s="130">
        <f t="shared" ca="1" si="3"/>
        <v>2.9153772472737991</v>
      </c>
      <c r="F83" s="432"/>
      <c r="G83" s="432"/>
      <c r="H83" s="432"/>
      <c r="I83" s="432"/>
      <c r="J83" s="432"/>
      <c r="K83" s="432"/>
      <c r="L83" s="432"/>
      <c r="M83" s="432"/>
      <c r="N83" s="432"/>
      <c r="O83" s="432"/>
      <c r="R83" s="1" t="s">
        <v>186</v>
      </c>
      <c r="S83" s="3">
        <f ca="1">U61*V_m2_Rc_lager</f>
        <v>69.259235726290513</v>
      </c>
      <c r="T83" s="3">
        <f ca="1">U61*(R57-AE57)</f>
        <v>201.91679999999997</v>
      </c>
      <c r="U83" s="130">
        <f t="shared" ca="1" si="4"/>
        <v>2.9153772472737987</v>
      </c>
    </row>
    <row r="84" spans="2:21">
      <c r="B84" s="1" t="s">
        <v>175</v>
      </c>
      <c r="C84" s="3">
        <f ca="1">F77*V_m2_Rc_lager</f>
        <v>451.59706362352671</v>
      </c>
      <c r="D84" s="3">
        <f ca="1">F77*(B57-O57)</f>
        <v>1316.5758042236878</v>
      </c>
      <c r="E84" s="130">
        <f t="shared" ca="1" si="3"/>
        <v>2.9153772472737987</v>
      </c>
      <c r="F84" s="432"/>
      <c r="G84" s="432"/>
      <c r="H84" s="432"/>
      <c r="I84" s="432"/>
      <c r="J84" s="432"/>
      <c r="K84" s="432"/>
      <c r="L84" s="432"/>
      <c r="M84" s="432"/>
      <c r="N84" s="432"/>
      <c r="O84" s="432"/>
      <c r="R84" s="1" t="s">
        <v>175</v>
      </c>
      <c r="S84" s="3">
        <f ca="1">V77*V_m2_Rc_lager</f>
        <v>239.4910743239341</v>
      </c>
      <c r="T84" s="3">
        <f ca="1">V77*(R57-AE57)</f>
        <v>698.20682900915574</v>
      </c>
      <c r="U84" s="130">
        <f t="shared" ca="1" si="4"/>
        <v>2.9153772472737987</v>
      </c>
    </row>
    <row r="85" spans="2:21">
      <c r="F85" s="432"/>
      <c r="G85" s="432"/>
      <c r="H85" s="432"/>
      <c r="I85" s="432"/>
      <c r="J85" s="432"/>
      <c r="K85" s="432"/>
      <c r="L85" s="432"/>
      <c r="M85" s="432"/>
      <c r="N85" s="432"/>
      <c r="O85" s="432"/>
      <c r="R85" s="31"/>
      <c r="S85" s="3"/>
      <c r="T85" s="37"/>
      <c r="U85" s="39"/>
    </row>
    <row r="86" spans="2:21">
      <c r="B86" s="31" t="s">
        <v>187</v>
      </c>
      <c r="C86" s="3">
        <f ca="1">D86/Vermogen_Verbruik_lager</f>
        <v>143.95147202686883</v>
      </c>
      <c r="D86" s="3">
        <f ca="1">I64*(F63-O57)</f>
        <v>419.67284625870411</v>
      </c>
      <c r="F86" s="432" t="s">
        <v>188</v>
      </c>
      <c r="G86" s="432"/>
      <c r="H86" s="432"/>
      <c r="I86" s="432"/>
      <c r="J86" s="432"/>
      <c r="K86" s="432"/>
      <c r="L86" s="432"/>
      <c r="M86" s="432"/>
      <c r="N86" s="432"/>
      <c r="O86" s="432"/>
      <c r="R86" s="31" t="s">
        <v>187</v>
      </c>
      <c r="S86" s="3">
        <f ca="1">T86/Vermogen_Verbruik_lager</f>
        <v>126.14985364185746</v>
      </c>
      <c r="T86" s="3">
        <f ca="1">Y64*(V63-AE57)</f>
        <v>367.77441305439106</v>
      </c>
      <c r="U86" s="39"/>
    </row>
    <row r="87" spans="2:21">
      <c r="B87" s="31" t="s">
        <v>189</v>
      </c>
      <c r="C87" s="3">
        <f ca="1">D87/Vermogen_Verbruik_lager</f>
        <v>142.07775562886684</v>
      </c>
      <c r="D87" s="3">
        <f ca="1">I66*(F63-O57)</f>
        <v>414.21025610412534</v>
      </c>
      <c r="F87" s="432"/>
      <c r="G87" s="432"/>
      <c r="H87" s="432"/>
      <c r="I87" s="432"/>
      <c r="J87" s="432"/>
      <c r="K87" s="432"/>
      <c r="L87" s="432"/>
      <c r="M87" s="432"/>
      <c r="N87" s="432"/>
      <c r="O87" s="432"/>
      <c r="R87" s="31" t="s">
        <v>189</v>
      </c>
      <c r="S87" s="3">
        <f ca="1">T87/Vermogen_Verbruik_lager</f>
        <v>34.677252249978167</v>
      </c>
      <c r="T87" s="3">
        <f ca="1">Y66*(V63-AE57)</f>
        <v>101.09727220756051</v>
      </c>
      <c r="U87" s="39"/>
    </row>
    <row r="88" spans="2:21">
      <c r="B88" s="31" t="s">
        <v>24</v>
      </c>
      <c r="C88" s="3">
        <f ca="1">D88/Vermogen_Verbruik_lager</f>
        <v>146.27319929227011</v>
      </c>
      <c r="D88" s="3">
        <f ca="1">M69*(T_Zolder_x_lager-O57)</f>
        <v>426.44155710263027</v>
      </c>
      <c r="F88" s="432"/>
      <c r="G88" s="432"/>
      <c r="H88" s="432"/>
      <c r="I88" s="432"/>
      <c r="J88" s="432"/>
      <c r="K88" s="432"/>
      <c r="L88" s="432"/>
      <c r="M88" s="432"/>
      <c r="N88" s="432"/>
      <c r="O88" s="432"/>
      <c r="R88" s="31" t="s">
        <v>24</v>
      </c>
      <c r="S88" s="3">
        <f ca="1">T88/Vermogen_Verbruik_lager</f>
        <v>56.360664441126836</v>
      </c>
      <c r="T88" s="3">
        <f ca="1">AC69*(T_Zolder_x_b_lager-AE57)</f>
        <v>164.31259875289464</v>
      </c>
      <c r="U88" s="39"/>
    </row>
    <row r="89" spans="2:21">
      <c r="B89" s="31" t="s">
        <v>190</v>
      </c>
      <c r="C89" s="3">
        <f ca="1">D89/Vermogen_Verbruik_lager</f>
        <v>19.294636675520906</v>
      </c>
      <c r="D89" s="3">
        <f ca="1">M71*(T_Zolder_x_lager-O57)</f>
        <v>56.251144758228222</v>
      </c>
      <c r="F89" s="432"/>
      <c r="G89" s="432"/>
      <c r="H89" s="432"/>
      <c r="I89" s="432"/>
      <c r="J89" s="432"/>
      <c r="K89" s="432"/>
      <c r="L89" s="432"/>
      <c r="M89" s="432"/>
      <c r="N89" s="432"/>
      <c r="O89" s="432"/>
      <c r="R89" s="31" t="s">
        <v>190</v>
      </c>
      <c r="S89" s="3">
        <f ca="1">T89/Vermogen_Verbruik_lager</f>
        <v>22.303303990971635</v>
      </c>
      <c r="T89" s="3">
        <f ca="1">AC71*(T_Zolder_x_b_lager-AE57)</f>
        <v>65.022544994309627</v>
      </c>
      <c r="U89" s="39"/>
    </row>
    <row r="90" spans="2:21">
      <c r="F90" s="432"/>
      <c r="G90" s="432"/>
      <c r="H90" s="432"/>
      <c r="I90" s="432"/>
      <c r="J90" s="432"/>
      <c r="K90" s="432"/>
      <c r="L90" s="432"/>
      <c r="M90" s="432"/>
      <c r="N90" s="432"/>
      <c r="O90" s="432"/>
      <c r="R90" s="31"/>
      <c r="S90" s="3"/>
      <c r="T90" s="37"/>
      <c r="U90" s="39"/>
    </row>
    <row r="91" spans="2:21">
      <c r="C91" s="3">
        <f ca="1">SUM(C81:C89)-C84</f>
        <v>1365.8581837172055</v>
      </c>
      <c r="R91" s="31"/>
      <c r="S91" s="3">
        <f ca="1">SUM(S81:S89)-S84</f>
        <v>556.71927849562087</v>
      </c>
      <c r="T91" s="37"/>
      <c r="U91" s="39"/>
    </row>
    <row r="97" spans="2:10">
      <c r="B97"/>
      <c r="C97" s="31"/>
      <c r="D97"/>
      <c r="E97"/>
    </row>
    <row r="98" spans="2:10" ht="13.5" thickBot="1">
      <c r="B98"/>
      <c r="C98" s="108"/>
      <c r="D98"/>
      <c r="E98"/>
    </row>
    <row r="99" spans="2:10" ht="13.5" thickTop="1">
      <c r="B99"/>
      <c r="C99" s="31"/>
      <c r="D99"/>
      <c r="E99"/>
    </row>
    <row r="100" spans="2:10" ht="13.5" thickBot="1">
      <c r="B100"/>
      <c r="C100" s="109"/>
      <c r="D100"/>
      <c r="E100"/>
    </row>
    <row r="101" spans="2:10" ht="14.25" thickTop="1" thickBot="1">
      <c r="B101"/>
      <c r="C101" s="31"/>
      <c r="D101"/>
      <c r="E101"/>
    </row>
    <row r="102" spans="2:10" ht="14.25" thickTop="1" thickBot="1">
      <c r="B102"/>
      <c r="C102" s="110"/>
      <c r="D102"/>
      <c r="E102"/>
    </row>
    <row r="103" spans="2:10" ht="13.5" thickTop="1">
      <c r="B103"/>
      <c r="C103"/>
      <c r="D103"/>
      <c r="E103"/>
      <c r="J103" s="31"/>
    </row>
    <row r="104" spans="2:10">
      <c r="B104"/>
      <c r="C104" s="111"/>
      <c r="D104"/>
      <c r="E104"/>
    </row>
    <row r="105" spans="2:10">
      <c r="B105"/>
      <c r="C105" s="31"/>
      <c r="D105"/>
      <c r="E105"/>
    </row>
    <row r="106" spans="2:10" ht="13.5" thickBot="1">
      <c r="B106"/>
      <c r="C106" s="121"/>
      <c r="D106"/>
      <c r="E106"/>
    </row>
    <row r="107" spans="2:10">
      <c r="B107"/>
      <c r="C107" s="31"/>
      <c r="D107"/>
      <c r="E107"/>
    </row>
  </sheetData>
  <mergeCells count="24">
    <mergeCell ref="F42:O46"/>
    <mergeCell ref="F47:O51"/>
    <mergeCell ref="R11:AE11"/>
    <mergeCell ref="R14:R29"/>
    <mergeCell ref="AE14:AE29"/>
    <mergeCell ref="V20:V29"/>
    <mergeCell ref="Z25:Z29"/>
    <mergeCell ref="B11:O11"/>
    <mergeCell ref="B14:B29"/>
    <mergeCell ref="O14:O29"/>
    <mergeCell ref="F20:F29"/>
    <mergeCell ref="J25:J29"/>
    <mergeCell ref="F81:O85"/>
    <mergeCell ref="F86:O90"/>
    <mergeCell ref="B55:O55"/>
    <mergeCell ref="R55:AE55"/>
    <mergeCell ref="B58:B73"/>
    <mergeCell ref="O58:O73"/>
    <mergeCell ref="R58:R73"/>
    <mergeCell ref="AE58:AE73"/>
    <mergeCell ref="F64:F73"/>
    <mergeCell ref="V64:V73"/>
    <mergeCell ref="J69:J73"/>
    <mergeCell ref="Z69:Z73"/>
  </mergeCells>
  <pageMargins left="0.7" right="0.7" top="0.75" bottom="0.75" header="0.3" footer="0.3"/>
  <pageSetup paperSize="9" scale="43" orientation="landscape" horizontalDpi="0"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C166"/>
  <sheetViews>
    <sheetView workbookViewId="0">
      <selection activeCell="J151" sqref="J151"/>
    </sheetView>
  </sheetViews>
  <sheetFormatPr defaultColWidth="9.140625" defaultRowHeight="12.75"/>
  <cols>
    <col min="1" max="1" width="9.140625" style="137"/>
    <col min="2" max="2" width="11.140625" style="137" customWidth="1"/>
    <col min="3" max="10" width="9.140625" style="137"/>
    <col min="11" max="11" width="16.42578125" style="137" customWidth="1"/>
    <col min="12" max="12" width="7.42578125" style="137" customWidth="1"/>
    <col min="13" max="16384" width="9.140625" style="137"/>
  </cols>
  <sheetData>
    <row r="1" spans="2:17" ht="13.5" thickBot="1"/>
    <row r="2" spans="2:17" ht="16.5" customHeight="1" thickBot="1">
      <c r="B2" s="395" t="s">
        <v>192</v>
      </c>
      <c r="C2" s="396"/>
      <c r="D2" s="396"/>
      <c r="E2" s="397"/>
      <c r="I2" s="441" t="s">
        <v>193</v>
      </c>
      <c r="J2" s="441"/>
      <c r="K2" s="441"/>
      <c r="L2" s="441"/>
      <c r="M2" s="441"/>
      <c r="N2" s="441"/>
      <c r="O2" s="137" t="s">
        <v>194</v>
      </c>
      <c r="P2" s="137" t="s">
        <v>195</v>
      </c>
      <c r="Q2" s="137" t="s">
        <v>196</v>
      </c>
    </row>
    <row r="3" spans="2:17" ht="15" customHeight="1">
      <c r="B3" s="141" t="s">
        <v>197</v>
      </c>
      <c r="C3" s="141" t="s">
        <v>17</v>
      </c>
      <c r="D3" s="141" t="s">
        <v>76</v>
      </c>
      <c r="E3" s="141" t="s">
        <v>24</v>
      </c>
      <c r="F3" s="144" t="s">
        <v>23</v>
      </c>
      <c r="G3" s="144" t="s">
        <v>198</v>
      </c>
      <c r="I3" s="441"/>
      <c r="J3" s="441"/>
      <c r="K3" s="441"/>
      <c r="L3" s="441"/>
      <c r="M3" s="441"/>
      <c r="N3" s="441"/>
      <c r="O3" s="137">
        <v>0.5</v>
      </c>
      <c r="P3" s="137">
        <v>1092</v>
      </c>
      <c r="Q3" s="137">
        <v>9</v>
      </c>
    </row>
    <row r="4" spans="2:17" ht="13.5" thickBot="1">
      <c r="B4" s="142">
        <v>1800</v>
      </c>
      <c r="C4" s="144">
        <v>0.65</v>
      </c>
      <c r="D4" s="144">
        <v>0.65</v>
      </c>
      <c r="E4" s="196">
        <v>0.3</v>
      </c>
      <c r="F4" s="196">
        <f>1/5.8</f>
        <v>0.17241379310344829</v>
      </c>
      <c r="G4" s="196">
        <v>1.9</v>
      </c>
      <c r="I4" s="441"/>
      <c r="J4" s="441"/>
      <c r="K4" s="441"/>
      <c r="L4" s="441"/>
      <c r="M4" s="441"/>
      <c r="N4" s="441"/>
      <c r="O4" s="137">
        <v>0.4</v>
      </c>
      <c r="P4" s="137">
        <v>1144</v>
      </c>
      <c r="Q4" s="137">
        <v>10.1</v>
      </c>
    </row>
    <row r="5" spans="2:17" ht="13.5" thickBot="1">
      <c r="B5" s="142">
        <v>1975</v>
      </c>
      <c r="C5" s="144">
        <v>0.65</v>
      </c>
      <c r="D5" s="142">
        <v>1.3</v>
      </c>
      <c r="E5" s="197">
        <v>1.3</v>
      </c>
      <c r="F5" s="197">
        <f t="shared" ref="F5:F6" si="0">1/5.8</f>
        <v>0.17241379310344829</v>
      </c>
      <c r="G5" s="197">
        <v>2.1</v>
      </c>
      <c r="I5" s="192"/>
      <c r="J5" s="191">
        <v>1988</v>
      </c>
      <c r="K5" s="187"/>
      <c r="L5" s="187"/>
      <c r="M5" s="187"/>
      <c r="N5" s="187"/>
      <c r="O5" s="137">
        <v>0.3</v>
      </c>
      <c r="P5" s="137">
        <v>1211</v>
      </c>
      <c r="Q5" s="137">
        <v>11.5</v>
      </c>
    </row>
    <row r="6" spans="2:17">
      <c r="B6" s="142">
        <v>1983</v>
      </c>
      <c r="C6" s="144">
        <v>1.3</v>
      </c>
      <c r="D6" s="142">
        <v>1.3</v>
      </c>
      <c r="E6" s="197">
        <v>1.3</v>
      </c>
      <c r="F6" s="197">
        <f t="shared" si="0"/>
        <v>0.17241379310344829</v>
      </c>
      <c r="G6" s="197">
        <v>2.1</v>
      </c>
      <c r="I6" s="142" t="s">
        <v>17</v>
      </c>
      <c r="J6" s="193">
        <f>VLOOKUP($J$5,Rc_Bouwbesluit,2)</f>
        <v>1.3</v>
      </c>
      <c r="K6" s="187"/>
      <c r="L6" s="187"/>
      <c r="M6" s="187"/>
      <c r="N6" s="187"/>
      <c r="O6" s="137">
        <v>0.2</v>
      </c>
      <c r="P6" s="137">
        <v>1299</v>
      </c>
      <c r="Q6" s="137">
        <v>13.4</v>
      </c>
    </row>
    <row r="7" spans="2:17">
      <c r="B7" s="142">
        <v>1988</v>
      </c>
      <c r="C7" s="144">
        <v>1.3</v>
      </c>
      <c r="D7" s="142">
        <v>2</v>
      </c>
      <c r="E7" s="197">
        <v>2</v>
      </c>
      <c r="F7" s="197">
        <f>1/2.8</f>
        <v>0.35714285714285715</v>
      </c>
      <c r="G7" s="197">
        <v>2.4</v>
      </c>
      <c r="I7" s="142" t="s">
        <v>76</v>
      </c>
      <c r="J7" s="188">
        <f>VLOOKUP($J$5,Rc_Bouwbesluit,3)</f>
        <v>2</v>
      </c>
      <c r="K7" s="198">
        <f>VLOOKUP($J$5,Rc_Bouwbesluit,6)</f>
        <v>2.4</v>
      </c>
      <c r="L7" s="187"/>
      <c r="M7" s="187"/>
      <c r="N7" s="187"/>
      <c r="O7" s="137">
        <v>0.1</v>
      </c>
      <c r="P7" s="137">
        <v>1422</v>
      </c>
      <c r="Q7" s="137">
        <v>16.100000000000001</v>
      </c>
    </row>
    <row r="8" spans="2:17">
      <c r="B8" s="142">
        <v>1992</v>
      </c>
      <c r="C8" s="144">
        <v>2.5</v>
      </c>
      <c r="D8" s="142">
        <v>2.5</v>
      </c>
      <c r="E8" s="197">
        <v>2.5</v>
      </c>
      <c r="F8" s="197">
        <f>1/2.8</f>
        <v>0.35714285714285715</v>
      </c>
      <c r="G8" s="197">
        <v>2.9</v>
      </c>
      <c r="I8" s="142" t="s">
        <v>24</v>
      </c>
      <c r="J8" s="188">
        <f>VLOOKUP($J$5,Rc_Bouwbesluit,4)</f>
        <v>2</v>
      </c>
      <c r="K8" s="187"/>
      <c r="L8" s="187"/>
      <c r="M8" s="187"/>
      <c r="N8" s="187"/>
      <c r="O8" s="137">
        <v>0.05</v>
      </c>
      <c r="P8" s="137">
        <v>1504</v>
      </c>
      <c r="Q8" s="137">
        <v>17.8</v>
      </c>
    </row>
    <row r="9" spans="2:17">
      <c r="B9" s="142">
        <v>2014</v>
      </c>
      <c r="C9" s="144">
        <v>3.5</v>
      </c>
      <c r="D9" s="142">
        <v>3.5</v>
      </c>
      <c r="E9" s="197">
        <v>3.5</v>
      </c>
      <c r="F9" s="197">
        <f>1/1.2</f>
        <v>0.83333333333333337</v>
      </c>
      <c r="G9" s="197">
        <v>3.9</v>
      </c>
      <c r="I9" s="142" t="s">
        <v>23</v>
      </c>
      <c r="J9" s="188">
        <f>VLOOKUP($J$5,Rc_Bouwbesluit,5)</f>
        <v>0.35714285714285715</v>
      </c>
      <c r="O9" s="137">
        <v>0.02</v>
      </c>
      <c r="P9" s="137">
        <v>1562</v>
      </c>
      <c r="Q9" s="137">
        <v>19.100000000000001</v>
      </c>
    </row>
    <row r="10" spans="2:17">
      <c r="B10" s="142">
        <v>2015</v>
      </c>
      <c r="C10" s="144">
        <v>3.5</v>
      </c>
      <c r="D10" s="142">
        <v>4.5</v>
      </c>
      <c r="E10" s="197">
        <v>6</v>
      </c>
      <c r="F10" s="197">
        <f>1/1.2</f>
        <v>0.83333333333333337</v>
      </c>
      <c r="G10" s="197">
        <v>4.5</v>
      </c>
      <c r="O10" s="137">
        <v>0.01</v>
      </c>
      <c r="P10" s="137">
        <v>1583</v>
      </c>
      <c r="Q10" s="137">
        <v>19.5</v>
      </c>
    </row>
    <row r="11" spans="2:17">
      <c r="B11" s="142">
        <v>2021</v>
      </c>
      <c r="C11" s="144">
        <v>3.7</v>
      </c>
      <c r="D11" s="142">
        <v>4.7</v>
      </c>
      <c r="E11" s="197">
        <v>6.3</v>
      </c>
      <c r="F11" s="197">
        <v>1</v>
      </c>
      <c r="G11" s="197">
        <v>4.7</v>
      </c>
    </row>
    <row r="12" spans="2:17">
      <c r="B12" s="142">
        <v>2030</v>
      </c>
      <c r="C12" s="144">
        <v>3.7</v>
      </c>
      <c r="D12" s="142">
        <v>4.7</v>
      </c>
      <c r="E12" s="197">
        <v>6.3</v>
      </c>
      <c r="F12" s="197">
        <v>2</v>
      </c>
      <c r="G12" s="197">
        <v>4.7</v>
      </c>
    </row>
    <row r="13" spans="2:17">
      <c r="C13" s="179"/>
    </row>
    <row r="14" spans="2:17" ht="13.5" thickBot="1">
      <c r="C14" s="179"/>
      <c r="F14" s="180"/>
    </row>
    <row r="15" spans="2:17" ht="16.5" thickBot="1">
      <c r="B15" s="138" t="s">
        <v>199</v>
      </c>
      <c r="C15" s="139" t="s">
        <v>200</v>
      </c>
      <c r="F15" s="446" t="s">
        <v>201</v>
      </c>
      <c r="G15" s="447"/>
      <c r="I15" s="446" t="s">
        <v>202</v>
      </c>
      <c r="J15" s="447"/>
    </row>
    <row r="16" spans="2:17">
      <c r="B16" s="142" t="s">
        <v>203</v>
      </c>
      <c r="C16" s="143">
        <v>1</v>
      </c>
      <c r="F16" s="140" t="s">
        <v>16</v>
      </c>
      <c r="G16" s="181">
        <v>0</v>
      </c>
      <c r="I16" s="140" t="s">
        <v>16</v>
      </c>
      <c r="J16" s="182">
        <v>0</v>
      </c>
    </row>
    <row r="17" spans="2:10">
      <c r="B17" s="142" t="s">
        <v>204</v>
      </c>
      <c r="C17" s="143">
        <v>0</v>
      </c>
      <c r="F17" s="142" t="s">
        <v>13</v>
      </c>
      <c r="G17" s="143">
        <v>1</v>
      </c>
      <c r="I17" s="142" t="s">
        <v>205</v>
      </c>
      <c r="J17" s="143">
        <v>0.5</v>
      </c>
    </row>
    <row r="18" spans="2:10">
      <c r="B18" s="142" t="s">
        <v>7</v>
      </c>
      <c r="C18" s="143">
        <v>2</v>
      </c>
      <c r="F18" s="180"/>
      <c r="I18" s="142" t="s">
        <v>13</v>
      </c>
      <c r="J18" s="143">
        <v>1</v>
      </c>
    </row>
    <row r="19" spans="2:10">
      <c r="C19" s="179"/>
      <c r="F19" s="180"/>
    </row>
    <row r="20" spans="2:10" ht="13.5" thickBot="1">
      <c r="C20" s="179"/>
      <c r="F20" s="180"/>
    </row>
    <row r="21" spans="2:10" ht="13.5" thickBot="1">
      <c r="B21" s="184" t="s">
        <v>206</v>
      </c>
      <c r="C21" s="185" t="s">
        <v>207</v>
      </c>
      <c r="D21" s="185" t="s">
        <v>208</v>
      </c>
      <c r="E21" s="185" t="s">
        <v>209</v>
      </c>
      <c r="G21" s="142"/>
      <c r="H21" s="191" t="s">
        <v>24</v>
      </c>
    </row>
    <row r="22" spans="2:10">
      <c r="B22" s="140" t="s">
        <v>24</v>
      </c>
      <c r="C22" s="189">
        <v>0.1</v>
      </c>
      <c r="D22" s="189">
        <v>0.04</v>
      </c>
      <c r="E22" s="189">
        <v>0.14000000000000001</v>
      </c>
      <c r="G22" s="140" t="s">
        <v>207</v>
      </c>
      <c r="H22" s="189">
        <f>VLOOKUP($H$21,Rsie_T,2)</f>
        <v>0.1</v>
      </c>
      <c r="I22" s="137" t="s">
        <v>210</v>
      </c>
    </row>
    <row r="23" spans="2:10">
      <c r="B23" s="142" t="s">
        <v>76</v>
      </c>
      <c r="C23" s="190">
        <v>0.13</v>
      </c>
      <c r="D23" s="189">
        <v>0.04</v>
      </c>
      <c r="E23" s="189">
        <v>0.17</v>
      </c>
      <c r="G23" s="142" t="s">
        <v>208</v>
      </c>
      <c r="H23" s="189">
        <f>VLOOKUP($H$21,Rsie_T,3)</f>
        <v>0.04</v>
      </c>
    </row>
    <row r="24" spans="2:10">
      <c r="B24" s="142" t="s">
        <v>17</v>
      </c>
      <c r="C24" s="190">
        <v>0.17</v>
      </c>
      <c r="D24" s="189">
        <v>0.17</v>
      </c>
      <c r="E24" s="189">
        <v>0.34</v>
      </c>
      <c r="G24" s="142" t="s">
        <v>209</v>
      </c>
      <c r="H24" s="189">
        <f>VLOOKUP($H$21,Rsie_T,4)</f>
        <v>0.14000000000000001</v>
      </c>
    </row>
    <row r="27" spans="2:10" ht="15.75">
      <c r="B27" s="145" t="s">
        <v>211</v>
      </c>
      <c r="C27" s="450" t="s">
        <v>212</v>
      </c>
      <c r="D27" s="450"/>
    </row>
    <row r="28" spans="2:10">
      <c r="B28" s="146">
        <v>-1000</v>
      </c>
      <c r="C28" s="147" t="s">
        <v>213</v>
      </c>
    </row>
    <row r="29" spans="2:10">
      <c r="B29" s="146">
        <v>0</v>
      </c>
      <c r="C29" s="146" t="s">
        <v>214</v>
      </c>
    </row>
    <row r="30" spans="2:10">
      <c r="B30" s="146">
        <v>50</v>
      </c>
      <c r="C30" s="146" t="s">
        <v>215</v>
      </c>
    </row>
    <row r="31" spans="2:10" ht="13.5" thickBot="1">
      <c r="B31" s="146">
        <v>75</v>
      </c>
      <c r="C31" s="146" t="s">
        <v>216</v>
      </c>
    </row>
    <row r="32" spans="2:10" ht="13.5" thickBot="1">
      <c r="B32" s="146">
        <v>105</v>
      </c>
      <c r="C32" s="146" t="s">
        <v>217</v>
      </c>
      <c r="E32" s="191">
        <v>47</v>
      </c>
    </row>
    <row r="33" spans="2:13">
      <c r="B33" s="146">
        <v>160</v>
      </c>
      <c r="C33" s="146" t="s">
        <v>218</v>
      </c>
      <c r="E33" s="148" t="str">
        <f>VLOOKUP($E$32,EnergieLabel_T,2)</f>
        <v>A+++</v>
      </c>
    </row>
    <row r="34" spans="2:13">
      <c r="B34" s="146">
        <v>190</v>
      </c>
      <c r="C34" s="146" t="s">
        <v>219</v>
      </c>
      <c r="E34" s="137" t="s">
        <v>220</v>
      </c>
    </row>
    <row r="35" spans="2:13">
      <c r="B35" s="146">
        <v>250</v>
      </c>
      <c r="C35" s="146" t="s">
        <v>20</v>
      </c>
    </row>
    <row r="36" spans="2:13">
      <c r="B36" s="146">
        <v>290</v>
      </c>
      <c r="C36" s="146" t="s">
        <v>221</v>
      </c>
    </row>
    <row r="37" spans="2:13">
      <c r="B37" s="146">
        <v>335</v>
      </c>
      <c r="C37" s="146" t="s">
        <v>222</v>
      </c>
    </row>
    <row r="38" spans="2:13">
      <c r="B38" s="146">
        <v>380</v>
      </c>
      <c r="C38" s="146" t="s">
        <v>223</v>
      </c>
    </row>
    <row r="40" spans="2:13" ht="13.5" thickBot="1"/>
    <row r="41" spans="2:13" ht="16.5" thickBot="1">
      <c r="B41" s="451" t="s">
        <v>224</v>
      </c>
      <c r="C41" s="452"/>
      <c r="D41" s="453"/>
      <c r="M41" s="137" t="s">
        <v>225</v>
      </c>
    </row>
    <row r="42" spans="2:13">
      <c r="B42" s="142"/>
      <c r="C42" s="143" t="s">
        <v>136</v>
      </c>
      <c r="D42" s="143" t="s">
        <v>137</v>
      </c>
    </row>
    <row r="43" spans="2:13">
      <c r="B43" s="142" t="s">
        <v>226</v>
      </c>
      <c r="C43" s="143">
        <v>5.8</v>
      </c>
      <c r="D43" s="143">
        <v>0.77</v>
      </c>
    </row>
    <row r="44" spans="2:13">
      <c r="B44" s="142" t="s">
        <v>227</v>
      </c>
      <c r="C44" s="143">
        <v>2.8</v>
      </c>
      <c r="D44" s="143"/>
    </row>
    <row r="45" spans="2:13">
      <c r="B45" s="142" t="s">
        <v>228</v>
      </c>
      <c r="C45" s="143">
        <v>1.85</v>
      </c>
      <c r="D45" s="143"/>
    </row>
    <row r="46" spans="2:13">
      <c r="B46" s="142" t="s">
        <v>229</v>
      </c>
      <c r="C46" s="143">
        <v>1.45</v>
      </c>
      <c r="D46" s="143"/>
    </row>
    <row r="47" spans="2:13">
      <c r="B47" s="142" t="s">
        <v>230</v>
      </c>
      <c r="C47" s="143">
        <v>1</v>
      </c>
      <c r="D47" s="143"/>
    </row>
    <row r="48" spans="2:13">
      <c r="B48" s="142" t="s">
        <v>231</v>
      </c>
      <c r="C48" s="143">
        <v>0.6</v>
      </c>
      <c r="D48" s="143">
        <v>0.47</v>
      </c>
    </row>
    <row r="50" spans="2:18" ht="13.5" thickBot="1"/>
    <row r="51" spans="2:18" ht="16.5" thickBot="1">
      <c r="B51" s="451" t="s">
        <v>232</v>
      </c>
      <c r="C51" s="452"/>
      <c r="D51" s="453"/>
      <c r="E51" s="149"/>
      <c r="F51" s="448" t="s">
        <v>132</v>
      </c>
      <c r="G51" s="449"/>
      <c r="J51" s="442" t="s">
        <v>233</v>
      </c>
      <c r="K51" s="443"/>
      <c r="L51" s="443"/>
      <c r="M51" s="443"/>
      <c r="N51" s="443"/>
      <c r="O51" s="443"/>
      <c r="P51" s="443"/>
      <c r="Q51" s="443"/>
      <c r="R51" s="444"/>
    </row>
    <row r="52" spans="2:18">
      <c r="B52" s="150" t="s">
        <v>234</v>
      </c>
      <c r="C52" s="147" t="s">
        <v>235</v>
      </c>
      <c r="D52" s="147">
        <v>4</v>
      </c>
      <c r="E52" s="151"/>
      <c r="F52" s="146" t="s">
        <v>236</v>
      </c>
      <c r="G52" s="146">
        <v>0.7</v>
      </c>
      <c r="J52" s="143" t="s">
        <v>237</v>
      </c>
      <c r="K52" s="143" t="s">
        <v>234</v>
      </c>
      <c r="L52" s="143" t="s">
        <v>238</v>
      </c>
      <c r="M52" s="143" t="s">
        <v>239</v>
      </c>
      <c r="N52" s="143" t="s">
        <v>240</v>
      </c>
      <c r="O52" s="143" t="s">
        <v>235</v>
      </c>
      <c r="P52" s="143" t="s">
        <v>241</v>
      </c>
      <c r="Q52" s="143" t="s">
        <v>146</v>
      </c>
      <c r="R52" s="143" t="s">
        <v>242</v>
      </c>
    </row>
    <row r="53" spans="2:18">
      <c r="B53" s="150" t="s">
        <v>238</v>
      </c>
      <c r="C53" s="147" t="s">
        <v>241</v>
      </c>
      <c r="D53" s="147">
        <v>5</v>
      </c>
      <c r="E53" s="151"/>
      <c r="F53" s="146" t="s">
        <v>243</v>
      </c>
      <c r="G53" s="146">
        <v>1</v>
      </c>
      <c r="J53" s="152">
        <v>1</v>
      </c>
      <c r="K53" s="152">
        <v>11.388888888888889</v>
      </c>
      <c r="L53" s="152">
        <v>11.111111111111111</v>
      </c>
      <c r="M53" s="152">
        <v>10.833333333333334</v>
      </c>
      <c r="N53" s="152">
        <v>10.833333333333334</v>
      </c>
      <c r="O53" s="152">
        <v>10.833333333333334</v>
      </c>
      <c r="P53" s="152">
        <v>10.833333333333334</v>
      </c>
      <c r="Q53" s="152">
        <v>10.833333333333334</v>
      </c>
      <c r="R53" s="152">
        <v>11.111111111111111</v>
      </c>
    </row>
    <row r="54" spans="2:18">
      <c r="B54" s="150" t="s">
        <v>239</v>
      </c>
      <c r="C54" s="147" t="s">
        <v>244</v>
      </c>
      <c r="D54" s="147">
        <v>3</v>
      </c>
      <c r="E54" s="151"/>
      <c r="F54" s="146" t="s">
        <v>10</v>
      </c>
      <c r="G54" s="146">
        <v>1.5</v>
      </c>
      <c r="J54" s="152">
        <v>2</v>
      </c>
      <c r="K54" s="152">
        <v>39.722222222222221</v>
      </c>
      <c r="L54" s="152">
        <v>30</v>
      </c>
      <c r="M54" s="152">
        <v>20.277777777777779</v>
      </c>
      <c r="N54" s="152">
        <v>16.805555555555557</v>
      </c>
      <c r="O54" s="152">
        <v>13.333333333333332</v>
      </c>
      <c r="P54" s="152">
        <v>14.722222222222221</v>
      </c>
      <c r="Q54" s="152">
        <v>16.111111111111111</v>
      </c>
      <c r="R54" s="152">
        <v>27.916666666666664</v>
      </c>
    </row>
    <row r="55" spans="2:18">
      <c r="B55" s="150" t="s">
        <v>240</v>
      </c>
      <c r="C55" s="147" t="s">
        <v>146</v>
      </c>
      <c r="D55" s="147">
        <v>6</v>
      </c>
      <c r="G55" s="148"/>
      <c r="J55" s="152">
        <v>3</v>
      </c>
      <c r="K55" s="152">
        <v>73.611111111111114</v>
      </c>
      <c r="L55" s="152">
        <v>60</v>
      </c>
      <c r="M55" s="152">
        <v>46.388888888888886</v>
      </c>
      <c r="N55" s="152">
        <v>35.555555555555557</v>
      </c>
      <c r="O55" s="152">
        <v>24.722222222222221</v>
      </c>
      <c r="P55" s="152">
        <v>30.416666666666664</v>
      </c>
      <c r="Q55" s="152">
        <v>36.111111111111107</v>
      </c>
      <c r="R55" s="152">
        <v>54.861111111111114</v>
      </c>
    </row>
    <row r="56" spans="2:18">
      <c r="B56" s="150" t="s">
        <v>235</v>
      </c>
      <c r="C56" s="147" t="s">
        <v>239</v>
      </c>
      <c r="D56" s="147">
        <v>2</v>
      </c>
      <c r="F56" s="153" t="s">
        <v>10</v>
      </c>
      <c r="G56" s="146">
        <f>_xlfn.IFNA(VLOOKUP(F56,Glas_Maat_T,2,FALSE),0)</f>
        <v>1.5</v>
      </c>
      <c r="J56" s="152">
        <v>4</v>
      </c>
      <c r="K56" s="152">
        <v>85.277777777777771</v>
      </c>
      <c r="L56" s="152">
        <v>76.527777777777771</v>
      </c>
      <c r="M56" s="152">
        <v>67.777777777777771</v>
      </c>
      <c r="N56" s="152">
        <v>50.972222222222214</v>
      </c>
      <c r="O56" s="152">
        <v>34.166666666666664</v>
      </c>
      <c r="P56" s="152">
        <v>44.027777777777771</v>
      </c>
      <c r="Q56" s="152">
        <v>53.888888888888886</v>
      </c>
      <c r="R56" s="152">
        <v>69.583333333333329</v>
      </c>
    </row>
    <row r="57" spans="2:18">
      <c r="B57" s="150" t="s">
        <v>241</v>
      </c>
      <c r="C57" s="147" t="s">
        <v>234</v>
      </c>
      <c r="D57" s="147">
        <v>0</v>
      </c>
      <c r="J57" s="152">
        <v>5</v>
      </c>
      <c r="K57" s="152">
        <v>85.833333333333329</v>
      </c>
      <c r="L57" s="152">
        <v>91.944444444444443</v>
      </c>
      <c r="M57" s="152">
        <v>98.055555555555557</v>
      </c>
      <c r="N57" s="152">
        <v>74.583333333333329</v>
      </c>
      <c r="O57" s="152">
        <v>51.111111111111107</v>
      </c>
      <c r="P57" s="152">
        <v>63.75</v>
      </c>
      <c r="Q57" s="152">
        <v>76.388888888888886</v>
      </c>
      <c r="R57" s="152">
        <v>81.111111111111114</v>
      </c>
    </row>
    <row r="58" spans="2:18" ht="15" customHeight="1">
      <c r="B58" s="150" t="s">
        <v>146</v>
      </c>
      <c r="C58" s="147" t="s">
        <v>242</v>
      </c>
      <c r="D58" s="147">
        <v>7</v>
      </c>
      <c r="J58" s="152">
        <v>6</v>
      </c>
      <c r="K58" s="152">
        <v>87.5</v>
      </c>
      <c r="L58" s="152">
        <v>101.66666666666666</v>
      </c>
      <c r="M58" s="152">
        <v>115.83333333333333</v>
      </c>
      <c r="N58" s="152">
        <v>89.722222222222214</v>
      </c>
      <c r="O58" s="152">
        <v>63.611111111111107</v>
      </c>
      <c r="P58" s="152">
        <v>73.055555555555557</v>
      </c>
      <c r="Q58" s="152">
        <v>82.5</v>
      </c>
      <c r="R58" s="152">
        <v>85</v>
      </c>
    </row>
    <row r="59" spans="2:18" ht="12.75" customHeight="1">
      <c r="B59" s="150" t="s">
        <v>242</v>
      </c>
      <c r="C59" s="147" t="s">
        <v>238</v>
      </c>
      <c r="D59" s="147">
        <v>1</v>
      </c>
      <c r="F59" s="142" t="s">
        <v>245</v>
      </c>
      <c r="G59" s="142">
        <v>171</v>
      </c>
      <c r="J59" s="152">
        <v>7</v>
      </c>
      <c r="K59" s="152">
        <v>80.555555555555557</v>
      </c>
      <c r="L59" s="152">
        <v>88.611111111111114</v>
      </c>
      <c r="M59" s="152">
        <v>96.666666666666657</v>
      </c>
      <c r="N59" s="152">
        <v>75</v>
      </c>
      <c r="O59" s="152">
        <v>53.333333333333329</v>
      </c>
      <c r="P59" s="152">
        <v>62.916666666666664</v>
      </c>
      <c r="Q59" s="152">
        <v>72.5</v>
      </c>
      <c r="R59" s="152">
        <v>76.527777777777771</v>
      </c>
    </row>
    <row r="60" spans="2:18">
      <c r="B60" s="150" t="s">
        <v>234</v>
      </c>
      <c r="J60" s="152">
        <v>8</v>
      </c>
      <c r="K60" s="152">
        <v>101.66666666666666</v>
      </c>
      <c r="L60" s="152">
        <v>97.222222222222214</v>
      </c>
      <c r="M60" s="152">
        <v>92.777777777777771</v>
      </c>
      <c r="N60" s="152">
        <v>68.75</v>
      </c>
      <c r="O60" s="152">
        <v>44.722222222222221</v>
      </c>
      <c r="P60" s="152">
        <v>62.222222222222214</v>
      </c>
      <c r="Q60" s="152">
        <v>79.722222222222214</v>
      </c>
      <c r="R60" s="152">
        <v>90.694444444444429</v>
      </c>
    </row>
    <row r="61" spans="2:18">
      <c r="B61" s="150" t="s">
        <v>238</v>
      </c>
      <c r="J61" s="152">
        <v>9</v>
      </c>
      <c r="K61" s="152">
        <v>75.833333333333329</v>
      </c>
      <c r="L61" s="152">
        <v>72.361111111111114</v>
      </c>
      <c r="M61" s="152">
        <v>68.888888888888886</v>
      </c>
      <c r="N61" s="152">
        <v>49.305555555555557</v>
      </c>
      <c r="O61" s="152">
        <v>29.722222222222221</v>
      </c>
      <c r="P61" s="152">
        <v>36.111111111111114</v>
      </c>
      <c r="Q61" s="152">
        <v>42.5</v>
      </c>
      <c r="R61" s="152">
        <v>59.166666666666664</v>
      </c>
    </row>
    <row r="62" spans="2:18">
      <c r="B62" s="150" t="s">
        <v>239</v>
      </c>
      <c r="J62" s="152">
        <v>10</v>
      </c>
      <c r="K62" s="152">
        <v>56.388888888888886</v>
      </c>
      <c r="L62" s="152">
        <v>42.638888888888886</v>
      </c>
      <c r="M62" s="152">
        <v>28.888888888888889</v>
      </c>
      <c r="N62" s="152">
        <v>23.333333333333336</v>
      </c>
      <c r="O62" s="152">
        <v>17.777777777777779</v>
      </c>
      <c r="P62" s="152">
        <v>20.972222222222221</v>
      </c>
      <c r="Q62" s="152">
        <v>24.166666666666664</v>
      </c>
      <c r="R62" s="152">
        <v>40.277777777777771</v>
      </c>
    </row>
    <row r="63" spans="2:18">
      <c r="B63" s="150" t="s">
        <v>240</v>
      </c>
      <c r="J63" s="152">
        <v>11</v>
      </c>
      <c r="K63" s="152">
        <v>20.277777777777779</v>
      </c>
      <c r="L63" s="152">
        <v>15.694444444444445</v>
      </c>
      <c r="M63" s="152">
        <v>11.111111111111111</v>
      </c>
      <c r="N63" s="152">
        <v>10.138888888888889</v>
      </c>
      <c r="O63" s="152">
        <v>9.1666666666666661</v>
      </c>
      <c r="P63" s="152">
        <v>9.5833333333333321</v>
      </c>
      <c r="Q63" s="152">
        <v>10</v>
      </c>
      <c r="R63" s="152">
        <v>15.138888888888889</v>
      </c>
    </row>
    <row r="64" spans="2:18">
      <c r="B64" s="150" t="s">
        <v>235</v>
      </c>
      <c r="J64" s="152">
        <v>12</v>
      </c>
      <c r="K64" s="152">
        <v>6.1111111111111107</v>
      </c>
      <c r="L64" s="152">
        <v>6.1111111111111107</v>
      </c>
      <c r="M64" s="152">
        <v>6.1111111111111107</v>
      </c>
      <c r="N64" s="152">
        <v>6.1111111111111107</v>
      </c>
      <c r="O64" s="152">
        <v>6.1111111111111107</v>
      </c>
      <c r="P64" s="152">
        <v>6.1111111111111107</v>
      </c>
      <c r="Q64" s="152">
        <v>6.1111111111111107</v>
      </c>
      <c r="R64" s="152">
        <v>6.1111111111111107</v>
      </c>
    </row>
    <row r="65" spans="1:18">
      <c r="B65" s="150" t="s">
        <v>241</v>
      </c>
      <c r="J65" s="152" t="s">
        <v>155</v>
      </c>
      <c r="K65" s="152">
        <f>SUM(K53:K64)</f>
        <v>724.16666666666674</v>
      </c>
      <c r="L65" s="152">
        <f t="shared" ref="L65:R65" si="1">SUM(L53:L64)</f>
        <v>693.8888888888888</v>
      </c>
      <c r="M65" s="152">
        <f t="shared" si="1"/>
        <v>663.61111111111109</v>
      </c>
      <c r="N65" s="152">
        <f t="shared" si="1"/>
        <v>511.11111111111109</v>
      </c>
      <c r="O65" s="152">
        <f t="shared" si="1"/>
        <v>358.61111111111109</v>
      </c>
      <c r="P65" s="152">
        <f t="shared" si="1"/>
        <v>434.72222222222217</v>
      </c>
      <c r="Q65" s="152">
        <f t="shared" si="1"/>
        <v>510.83333333333331</v>
      </c>
      <c r="R65" s="152">
        <f t="shared" si="1"/>
        <v>617.5</v>
      </c>
    </row>
    <row r="66" spans="1:18">
      <c r="B66" s="150" t="s">
        <v>146</v>
      </c>
      <c r="J66" s="154" t="s">
        <v>246</v>
      </c>
      <c r="K66" s="155">
        <f>SUM(K53:K56,K61:K64)</f>
        <v>368.61111111111103</v>
      </c>
      <c r="L66" s="155">
        <f t="shared" ref="L66:R66" si="2">SUM(L53:L56,L61:L64)</f>
        <v>314.44444444444446</v>
      </c>
      <c r="M66" s="155">
        <f t="shared" si="2"/>
        <v>260.27777777777777</v>
      </c>
      <c r="N66" s="155">
        <f t="shared" si="2"/>
        <v>203.05555555555557</v>
      </c>
      <c r="O66" s="155">
        <f t="shared" si="2"/>
        <v>145.83333333333331</v>
      </c>
      <c r="P66" s="155">
        <f t="shared" si="2"/>
        <v>172.7777777777778</v>
      </c>
      <c r="Q66" s="155">
        <f t="shared" si="2"/>
        <v>199.7222222222222</v>
      </c>
      <c r="R66" s="155">
        <f t="shared" si="2"/>
        <v>284.16666666666663</v>
      </c>
    </row>
    <row r="67" spans="1:18">
      <c r="B67" s="150" t="s">
        <v>242</v>
      </c>
      <c r="J67" s="137" t="s">
        <v>247</v>
      </c>
    </row>
    <row r="68" spans="1:18" ht="54.75" customHeight="1">
      <c r="J68" s="445" t="s">
        <v>248</v>
      </c>
      <c r="K68" s="445"/>
      <c r="L68" s="445"/>
      <c r="M68" s="445"/>
      <c r="N68" s="445"/>
      <c r="O68" s="445"/>
      <c r="P68" s="445"/>
      <c r="Q68" s="445"/>
      <c r="R68" s="445"/>
    </row>
    <row r="69" spans="1:18">
      <c r="B69" s="153" t="s">
        <v>238</v>
      </c>
      <c r="D69" s="146">
        <f>VLOOKUP(B69,Kompas_t,2)</f>
        <v>1</v>
      </c>
      <c r="F69" s="137" t="s">
        <v>249</v>
      </c>
      <c r="N69" s="178"/>
      <c r="O69" s="178"/>
      <c r="P69" s="178"/>
      <c r="Q69" s="178"/>
      <c r="R69" s="178"/>
    </row>
    <row r="70" spans="1:18">
      <c r="B70" s="154" t="str">
        <f>INDEX(Kompas2,2+MATCH(B69,Kompas,0))</f>
        <v>Noord-West</v>
      </c>
      <c r="D70" s="146">
        <f>VLOOKUP(B70,Kompas_t,2)</f>
        <v>3</v>
      </c>
      <c r="F70" s="137" t="s">
        <v>250</v>
      </c>
      <c r="N70" s="178"/>
      <c r="O70" s="178"/>
      <c r="P70" s="178"/>
      <c r="Q70" s="178"/>
      <c r="R70" s="178"/>
    </row>
    <row r="71" spans="1:18">
      <c r="B71" s="154" t="str">
        <f>INDEX(Kompas2,4+MATCH(B69,Kompas,0))</f>
        <v>Noord-Oost</v>
      </c>
      <c r="D71" s="146">
        <f>VLOOKUP(B71,Kompas_t,2)</f>
        <v>5</v>
      </c>
      <c r="F71" s="137" t="s">
        <v>251</v>
      </c>
      <c r="N71" s="178"/>
      <c r="O71" s="178"/>
      <c r="P71" s="178"/>
      <c r="Q71" s="178"/>
      <c r="R71" s="178"/>
    </row>
    <row r="72" spans="1:18">
      <c r="B72" s="154" t="str">
        <f>INDEX(Kompas2,6+MATCH(B69,Kompas,0))</f>
        <v>Zuid-Oost</v>
      </c>
      <c r="D72" s="146">
        <f>VLOOKUP(B72,Kompas_t,2)</f>
        <v>7</v>
      </c>
      <c r="F72" s="137" t="s">
        <v>252</v>
      </c>
      <c r="N72" s="178"/>
      <c r="O72" s="178"/>
      <c r="P72" s="178"/>
      <c r="Q72" s="178"/>
      <c r="R72" s="178"/>
    </row>
    <row r="73" spans="1:18">
      <c r="F73" s="156" t="s">
        <v>253</v>
      </c>
      <c r="N73" s="178"/>
      <c r="O73" s="178"/>
      <c r="P73" s="178"/>
      <c r="Q73" s="178"/>
      <c r="R73" s="178"/>
    </row>
    <row r="74" spans="1:18" ht="13.5" thickBot="1"/>
    <row r="75" spans="1:18" ht="13.5" thickBot="1">
      <c r="A75" s="157" t="s">
        <v>254</v>
      </c>
      <c r="B75" s="158"/>
      <c r="C75" s="158"/>
      <c r="D75" s="159"/>
    </row>
    <row r="76" spans="1:18">
      <c r="A76" s="160"/>
      <c r="B76" s="154" t="s">
        <v>135</v>
      </c>
    </row>
    <row r="77" spans="1:18">
      <c r="A77" s="160" t="s">
        <v>140</v>
      </c>
      <c r="B77" s="161">
        <v>12</v>
      </c>
    </row>
    <row r="78" spans="1:18" ht="13.5" thickBot="1">
      <c r="A78" s="160" t="s">
        <v>141</v>
      </c>
      <c r="B78" s="161"/>
    </row>
    <row r="79" spans="1:18" ht="13.5" thickBot="1">
      <c r="H79" s="459" t="s">
        <v>255</v>
      </c>
      <c r="I79" s="460"/>
      <c r="J79" s="460"/>
      <c r="K79" s="460"/>
      <c r="L79" s="460"/>
      <c r="M79" s="461"/>
    </row>
    <row r="80" spans="1:18" ht="13.5" thickBot="1">
      <c r="A80" s="157" t="s">
        <v>256</v>
      </c>
      <c r="B80" s="158"/>
      <c r="C80" s="158"/>
      <c r="D80" s="159"/>
      <c r="H80" s="462"/>
      <c r="I80" s="463"/>
      <c r="J80" s="463"/>
      <c r="K80" s="463"/>
      <c r="L80" s="463"/>
      <c r="M80" s="464"/>
    </row>
    <row r="81" spans="1:17">
      <c r="A81" s="160" t="s">
        <v>140</v>
      </c>
      <c r="B81" s="154" t="s">
        <v>135</v>
      </c>
      <c r="C81" s="154" t="s">
        <v>136</v>
      </c>
      <c r="D81" s="154" t="s">
        <v>137</v>
      </c>
      <c r="F81" s="162" t="s">
        <v>257</v>
      </c>
      <c r="H81" s="163"/>
      <c r="I81" s="164" t="s">
        <v>258</v>
      </c>
      <c r="J81" s="164" t="s">
        <v>259</v>
      </c>
      <c r="K81" s="164" t="s">
        <v>260</v>
      </c>
      <c r="L81" s="164" t="s">
        <v>261</v>
      </c>
      <c r="M81" s="164" t="s">
        <v>262</v>
      </c>
      <c r="P81" s="165"/>
    </row>
    <row r="82" spans="1:17">
      <c r="A82" s="160" t="str">
        <f>Kompas_1</f>
        <v>Oost</v>
      </c>
      <c r="B82" s="153">
        <v>1</v>
      </c>
      <c r="C82" s="153">
        <v>1.2</v>
      </c>
      <c r="D82" s="153">
        <v>0.7</v>
      </c>
      <c r="F82" s="166">
        <f>B82*D82*INDEX(Zon_in,0,VLOOKUP(A82,Kompas_t,2)+1)</f>
        <v>37.722222222222214</v>
      </c>
      <c r="H82" s="167" t="s">
        <v>234</v>
      </c>
      <c r="I82" s="143">
        <v>682</v>
      </c>
      <c r="J82" s="143">
        <v>424</v>
      </c>
      <c r="K82" s="143">
        <v>322</v>
      </c>
      <c r="L82" s="143">
        <v>1326</v>
      </c>
      <c r="M82" s="143">
        <v>1068</v>
      </c>
    </row>
    <row r="83" spans="1:17">
      <c r="A83" s="160" t="str">
        <f>INDEX(Kompas2,2+MATCH(Kompas_1,Kompas,0))</f>
        <v>Zuid</v>
      </c>
      <c r="B83" s="153">
        <v>3</v>
      </c>
      <c r="C83" s="153">
        <v>1.2</v>
      </c>
      <c r="D83" s="153">
        <v>0.7</v>
      </c>
      <c r="F83" s="166">
        <f>B83*D83*INDEX(Zon_in,0,VLOOKUP(A83,Kompas_t,2)+1)</f>
        <v>179.08333333333329</v>
      </c>
      <c r="H83" s="167" t="s">
        <v>238</v>
      </c>
      <c r="I83" s="143">
        <v>682</v>
      </c>
      <c r="J83" s="143">
        <v>462</v>
      </c>
      <c r="K83" s="143">
        <v>341</v>
      </c>
      <c r="L83" s="143">
        <v>1364</v>
      </c>
      <c r="M83" s="143">
        <v>1144</v>
      </c>
      <c r="N83" s="148"/>
      <c r="O83" s="148"/>
      <c r="P83" s="148"/>
      <c r="Q83" s="148"/>
    </row>
    <row r="84" spans="1:17">
      <c r="A84" s="160" t="str">
        <f>INDEX(Kompas2,4+MATCH(Kompas_1,Kompas,0))</f>
        <v>West</v>
      </c>
      <c r="B84" s="153">
        <v>1</v>
      </c>
      <c r="C84" s="153">
        <v>1.2</v>
      </c>
      <c r="D84" s="153">
        <v>0.7</v>
      </c>
      <c r="F84" s="166">
        <f>B84*D84*INDEX(Zon_in,0,VLOOKUP(A84,Kompas_t,2)+1)</f>
        <v>47.444444444444436</v>
      </c>
      <c r="H84" s="167" t="s">
        <v>239</v>
      </c>
      <c r="I84" s="143">
        <v>682</v>
      </c>
      <c r="J84" s="143">
        <v>500</v>
      </c>
      <c r="K84" s="143">
        <v>360</v>
      </c>
      <c r="L84" s="143">
        <v>1402</v>
      </c>
      <c r="M84" s="143">
        <v>1220</v>
      </c>
      <c r="N84" s="148"/>
      <c r="O84" s="148"/>
      <c r="P84" s="148"/>
      <c r="Q84" s="148"/>
    </row>
    <row r="85" spans="1:17">
      <c r="A85" s="160" t="str">
        <f>INDEX(Kompas2,6+MATCH(Kompas_1,Kompas,0))</f>
        <v>Noord</v>
      </c>
      <c r="B85" s="153">
        <v>3</v>
      </c>
      <c r="C85" s="153">
        <v>1.2</v>
      </c>
      <c r="D85" s="153">
        <v>0.7</v>
      </c>
      <c r="F85" s="166">
        <f>B85*D85*INDEX(Zon_in,0,VLOOKUP(A85,Kompas_t,2)+1)</f>
        <v>71.749999999999986</v>
      </c>
      <c r="H85" s="167" t="s">
        <v>240</v>
      </c>
      <c r="I85" s="143">
        <v>682</v>
      </c>
      <c r="J85" s="143">
        <v>540</v>
      </c>
      <c r="K85" s="143">
        <v>341</v>
      </c>
      <c r="L85" s="143">
        <v>1364</v>
      </c>
      <c r="M85" s="143">
        <v>1222</v>
      </c>
      <c r="N85" s="148"/>
    </row>
    <row r="86" spans="1:17">
      <c r="B86" s="148"/>
      <c r="C86" s="148"/>
      <c r="D86" s="148"/>
      <c r="F86" s="166"/>
      <c r="H86" s="167" t="s">
        <v>235</v>
      </c>
      <c r="I86" s="143">
        <v>682</v>
      </c>
      <c r="J86" s="143">
        <v>580</v>
      </c>
      <c r="K86" s="143">
        <v>322</v>
      </c>
      <c r="L86" s="143">
        <v>1326</v>
      </c>
      <c r="M86" s="143">
        <v>1224</v>
      </c>
      <c r="N86" s="148"/>
    </row>
    <row r="87" spans="1:17">
      <c r="A87" s="160" t="s">
        <v>141</v>
      </c>
      <c r="B87" s="154" t="s">
        <v>135</v>
      </c>
      <c r="C87" s="154" t="s">
        <v>136</v>
      </c>
      <c r="D87" s="154" t="s">
        <v>137</v>
      </c>
      <c r="F87" s="166"/>
      <c r="H87" s="167" t="s">
        <v>241</v>
      </c>
      <c r="I87" s="143">
        <v>682</v>
      </c>
      <c r="J87" s="143">
        <v>561</v>
      </c>
      <c r="K87" s="143">
        <v>341</v>
      </c>
      <c r="L87" s="143">
        <v>1364</v>
      </c>
      <c r="M87" s="143">
        <v>1243</v>
      </c>
      <c r="N87" s="148"/>
    </row>
    <row r="88" spans="1:17">
      <c r="A88" s="160" t="str">
        <f>Kompas_1</f>
        <v>Oost</v>
      </c>
      <c r="B88" s="153"/>
      <c r="C88" s="153"/>
      <c r="D88" s="153">
        <v>0.7</v>
      </c>
      <c r="F88" s="166">
        <f>B88*D88*INDEX(Zon_in,0,VLOOKUP(A88,Kompas_t,2)+1)</f>
        <v>0</v>
      </c>
      <c r="H88" s="167" t="s">
        <v>146</v>
      </c>
      <c r="I88" s="143">
        <v>682</v>
      </c>
      <c r="J88" s="143">
        <v>542</v>
      </c>
      <c r="K88" s="143">
        <v>360</v>
      </c>
      <c r="L88" s="143">
        <v>1402</v>
      </c>
      <c r="M88" s="143">
        <v>1263</v>
      </c>
      <c r="N88" s="148"/>
    </row>
    <row r="89" spans="1:17">
      <c r="A89" s="160" t="str">
        <f>INDEX(Kompas2,2+MATCH(Kompas_1,Kompas,0))</f>
        <v>Zuid</v>
      </c>
      <c r="B89" s="153"/>
      <c r="C89" s="153"/>
      <c r="D89" s="153">
        <v>0.7</v>
      </c>
      <c r="F89" s="166">
        <f>B89*D89*INDEX(Zon_in,0,VLOOKUP(A89,Kompas_t,2)+1)</f>
        <v>0</v>
      </c>
      <c r="H89" s="167" t="s">
        <v>242</v>
      </c>
      <c r="I89" s="143">
        <v>682</v>
      </c>
      <c r="J89" s="143">
        <v>483</v>
      </c>
      <c r="K89" s="143">
        <v>341</v>
      </c>
      <c r="L89" s="143">
        <v>1364</v>
      </c>
      <c r="M89" s="143">
        <v>1165</v>
      </c>
      <c r="N89" s="148"/>
    </row>
    <row r="90" spans="1:17">
      <c r="A90" s="160" t="str">
        <f>INDEX(Kompas2,4+MATCH(Kompas_1,Kompas,0))</f>
        <v>West</v>
      </c>
      <c r="B90" s="153"/>
      <c r="C90" s="153"/>
      <c r="D90" s="153">
        <v>0.7</v>
      </c>
      <c r="F90" s="166">
        <f>B90*D90*INDEX(Zon_in,0,VLOOKUP(A90,Kompas_t,2)+1)</f>
        <v>0</v>
      </c>
      <c r="H90" s="168"/>
      <c r="I90" s="143"/>
      <c r="J90" s="143"/>
      <c r="K90" s="143"/>
      <c r="L90" s="143"/>
      <c r="M90" s="143"/>
      <c r="N90" s="148"/>
    </row>
    <row r="91" spans="1:17">
      <c r="A91" s="160" t="str">
        <f>INDEX(Kompas2,6+MATCH(Kompas_1,Kompas,0))</f>
        <v>Noord</v>
      </c>
      <c r="B91" s="153"/>
      <c r="C91" s="153"/>
      <c r="D91" s="153">
        <v>0.7</v>
      </c>
      <c r="F91" s="166">
        <f>B91*D91*INDEX(Zon_in,0,VLOOKUP(A91,Kompas_t,2)+1)</f>
        <v>0</v>
      </c>
      <c r="H91" s="168" t="s">
        <v>263</v>
      </c>
      <c r="I91" s="152">
        <f>AVERAGE(I82:I90)</f>
        <v>682</v>
      </c>
      <c r="J91" s="152">
        <f t="shared" ref="J91:K91" si="3">AVERAGE(J82:J90)</f>
        <v>511.5</v>
      </c>
      <c r="K91" s="152">
        <f t="shared" si="3"/>
        <v>341</v>
      </c>
      <c r="L91" s="152">
        <f t="shared" ref="L91" si="4">AVERAGE(L82:L90)</f>
        <v>1364</v>
      </c>
      <c r="M91" s="152">
        <f t="shared" ref="M91" si="5">AVERAGE(M82:M90)</f>
        <v>1193.625</v>
      </c>
      <c r="N91" s="148"/>
    </row>
    <row r="92" spans="1:17">
      <c r="B92" s="148"/>
      <c r="F92" s="166">
        <f>SUM(F82:F91)</f>
        <v>335.99999999999994</v>
      </c>
      <c r="H92" s="168" t="s">
        <v>264</v>
      </c>
      <c r="I92" s="152">
        <f>I91/4</f>
        <v>170.5</v>
      </c>
      <c r="J92" s="152">
        <f>J91/3</f>
        <v>170.5</v>
      </c>
      <c r="K92" s="152">
        <f>K91/2</f>
        <v>170.5</v>
      </c>
      <c r="L92" s="152">
        <f>L91/8</f>
        <v>170.5</v>
      </c>
      <c r="M92" s="152">
        <f>M91/7</f>
        <v>170.51785714285714</v>
      </c>
      <c r="N92" s="148"/>
    </row>
    <row r="93" spans="1:17">
      <c r="H93" s="166"/>
      <c r="L93" s="148"/>
      <c r="M93" s="148"/>
      <c r="N93" s="148"/>
    </row>
    <row r="95" spans="1:17">
      <c r="B95" s="137" t="s">
        <v>265</v>
      </c>
      <c r="O95" s="148"/>
      <c r="P95" s="148"/>
      <c r="Q95" s="148"/>
    </row>
    <row r="96" spans="1:17">
      <c r="O96" s="148"/>
      <c r="P96" s="148"/>
      <c r="Q96" s="148"/>
    </row>
    <row r="97" spans="2:29">
      <c r="O97" s="148"/>
      <c r="P97" s="148"/>
      <c r="Q97" s="148"/>
    </row>
    <row r="98" spans="2:29" ht="13.5" thickBot="1">
      <c r="O98" s="148"/>
      <c r="P98" s="148"/>
      <c r="Q98" s="148"/>
    </row>
    <row r="99" spans="2:29" ht="15.75" thickBot="1">
      <c r="B99" s="406" t="s">
        <v>266</v>
      </c>
      <c r="C99" s="408"/>
      <c r="D99" s="408"/>
      <c r="E99" s="408"/>
      <c r="F99" s="408"/>
      <c r="G99" s="409"/>
      <c r="O99" s="148"/>
      <c r="P99" s="148"/>
      <c r="Q99" s="137" t="s">
        <v>267</v>
      </c>
      <c r="X99" s="137">
        <f>8500/24</f>
        <v>354.16666666666669</v>
      </c>
    </row>
    <row r="100" spans="2:29">
      <c r="B100" s="169" t="s">
        <v>106</v>
      </c>
      <c r="C100" s="455" t="s">
        <v>268</v>
      </c>
      <c r="D100" s="456"/>
      <c r="O100" s="148"/>
      <c r="P100" s="148"/>
      <c r="Q100" s="169" t="s">
        <v>106</v>
      </c>
      <c r="R100" s="137" t="s">
        <v>269</v>
      </c>
      <c r="S100" s="137" t="s">
        <v>270</v>
      </c>
      <c r="T100" s="137" t="s">
        <v>271</v>
      </c>
      <c r="U100" s="137" t="s">
        <v>272</v>
      </c>
      <c r="V100" s="137" t="s">
        <v>273</v>
      </c>
      <c r="X100" s="169" t="s">
        <v>106</v>
      </c>
      <c r="Y100" s="137" t="s">
        <v>269</v>
      </c>
      <c r="Z100" s="137" t="s">
        <v>270</v>
      </c>
      <c r="AA100" s="137" t="s">
        <v>271</v>
      </c>
      <c r="AB100" s="137" t="s">
        <v>272</v>
      </c>
      <c r="AC100" s="137" t="s">
        <v>273</v>
      </c>
    </row>
    <row r="101" spans="2:29">
      <c r="B101" s="143">
        <v>10</v>
      </c>
      <c r="C101" s="143">
        <v>713</v>
      </c>
      <c r="O101" s="148"/>
      <c r="P101" s="148"/>
      <c r="Q101" s="143">
        <v>10</v>
      </c>
      <c r="R101" s="137">
        <f t="shared" ref="R101:R111" si="6">($Q101+10)*200/2.5</f>
        <v>1600</v>
      </c>
      <c r="S101" s="137">
        <f t="shared" ref="S101:S111" si="7">($Q101+5)*200/2.5</f>
        <v>1200</v>
      </c>
      <c r="T101" s="137">
        <f t="shared" ref="T101:T111" si="8">($Q101)*200/2.5</f>
        <v>800</v>
      </c>
      <c r="U101" s="137">
        <f t="shared" ref="U101:U111" si="9">($Q101-5)*200/2.5</f>
        <v>400</v>
      </c>
      <c r="V101" s="137">
        <f t="shared" ref="V101:V111" si="10">($Q101-10)*200/2.5</f>
        <v>0</v>
      </c>
      <c r="X101" s="143">
        <v>10</v>
      </c>
      <c r="Y101" s="170">
        <f>354*($X101+10)/(238*$X101-1786)</f>
        <v>11.919191919191919</v>
      </c>
      <c r="Z101" s="170">
        <f>354*($X101+5)/(238*$X101-1786)</f>
        <v>8.9393939393939394</v>
      </c>
      <c r="AA101" s="170">
        <f>354*($X101)/(238*$X101-1786)</f>
        <v>5.9595959595959593</v>
      </c>
      <c r="AB101" s="170">
        <f>354*($X101-5)/(238*$X101-1786)</f>
        <v>2.9797979797979797</v>
      </c>
      <c r="AC101" s="170">
        <f>354*($X101-10)/(238*$X101-1786)</f>
        <v>0</v>
      </c>
    </row>
    <row r="102" spans="2:29">
      <c r="B102" s="143">
        <v>11</v>
      </c>
      <c r="C102" s="143">
        <v>878</v>
      </c>
      <c r="O102" s="148"/>
      <c r="P102" s="148"/>
      <c r="Q102" s="143">
        <v>11</v>
      </c>
      <c r="R102" s="137">
        <f t="shared" si="6"/>
        <v>1680</v>
      </c>
      <c r="S102" s="137">
        <f t="shared" si="7"/>
        <v>1280</v>
      </c>
      <c r="T102" s="137">
        <f t="shared" si="8"/>
        <v>880</v>
      </c>
      <c r="U102" s="137">
        <f t="shared" si="9"/>
        <v>480</v>
      </c>
      <c r="V102" s="137">
        <f t="shared" si="10"/>
        <v>80</v>
      </c>
      <c r="X102" s="143">
        <v>11</v>
      </c>
      <c r="Y102" s="170">
        <f t="shared" ref="Y102:Y111" si="11">354*($X102+10)/(238*$X102-1786)</f>
        <v>8.9350961538461533</v>
      </c>
      <c r="Z102" s="170">
        <f t="shared" ref="Z102:Z111" si="12">354*($X102+5)/(238*$X102-1786)</f>
        <v>6.8076923076923075</v>
      </c>
      <c r="AA102" s="170">
        <f t="shared" ref="AA102:AA111" si="13">354*($X102)/(238*$X102-1786)</f>
        <v>4.6802884615384617</v>
      </c>
      <c r="AB102" s="170">
        <f t="shared" ref="AB102:AB111" si="14">354*($X102-5)/(238*$X102-1786)</f>
        <v>2.5528846153846154</v>
      </c>
      <c r="AC102" s="170">
        <f t="shared" ref="AC102:AC111" si="15">354*($X102-10)/(238*$X102-1786)</f>
        <v>0.42548076923076922</v>
      </c>
    </row>
    <row r="103" spans="2:29">
      <c r="B103" s="143">
        <v>12</v>
      </c>
      <c r="C103" s="143">
        <v>1058</v>
      </c>
      <c r="O103" s="148"/>
      <c r="P103" s="148"/>
      <c r="Q103" s="143">
        <v>12</v>
      </c>
      <c r="R103" s="137">
        <f t="shared" si="6"/>
        <v>1760</v>
      </c>
      <c r="S103" s="137">
        <f t="shared" si="7"/>
        <v>1360</v>
      </c>
      <c r="T103" s="137">
        <f t="shared" si="8"/>
        <v>960</v>
      </c>
      <c r="U103" s="137">
        <f t="shared" si="9"/>
        <v>560</v>
      </c>
      <c r="V103" s="137">
        <f t="shared" si="10"/>
        <v>160</v>
      </c>
      <c r="X103" s="143">
        <v>12</v>
      </c>
      <c r="Y103" s="170">
        <f t="shared" si="11"/>
        <v>7.2785046728971965</v>
      </c>
      <c r="Z103" s="170">
        <f t="shared" si="12"/>
        <v>5.6242990654205611</v>
      </c>
      <c r="AA103" s="170">
        <f t="shared" si="13"/>
        <v>3.9700934579439253</v>
      </c>
      <c r="AB103" s="170">
        <f t="shared" si="14"/>
        <v>2.3158878504672895</v>
      </c>
      <c r="AC103" s="170">
        <f t="shared" si="15"/>
        <v>0.66168224299065426</v>
      </c>
    </row>
    <row r="104" spans="2:29">
      <c r="B104" s="143">
        <v>13</v>
      </c>
      <c r="C104" s="143">
        <v>1260</v>
      </c>
      <c r="Q104" s="143">
        <v>13</v>
      </c>
      <c r="R104" s="137">
        <f t="shared" si="6"/>
        <v>1840</v>
      </c>
      <c r="S104" s="137">
        <f t="shared" si="7"/>
        <v>1440</v>
      </c>
      <c r="T104" s="137">
        <f t="shared" si="8"/>
        <v>1040</v>
      </c>
      <c r="U104" s="137">
        <f t="shared" si="9"/>
        <v>640</v>
      </c>
      <c r="V104" s="137">
        <f t="shared" si="10"/>
        <v>240</v>
      </c>
      <c r="X104" s="143">
        <v>13</v>
      </c>
      <c r="Y104" s="170">
        <f t="shared" si="11"/>
        <v>6.2247706422018352</v>
      </c>
      <c r="Z104" s="170">
        <f t="shared" si="12"/>
        <v>4.8715596330275233</v>
      </c>
      <c r="AA104" s="170">
        <f t="shared" si="13"/>
        <v>3.5183486238532109</v>
      </c>
      <c r="AB104" s="170">
        <f t="shared" si="14"/>
        <v>2.165137614678899</v>
      </c>
      <c r="AC104" s="170">
        <f t="shared" si="15"/>
        <v>0.81192660550458717</v>
      </c>
    </row>
    <row r="105" spans="2:29">
      <c r="B105" s="143">
        <v>14</v>
      </c>
      <c r="C105" s="143">
        <v>1477</v>
      </c>
      <c r="Q105" s="143">
        <v>14</v>
      </c>
      <c r="R105" s="137">
        <f t="shared" si="6"/>
        <v>1920</v>
      </c>
      <c r="S105" s="137">
        <f t="shared" si="7"/>
        <v>1520</v>
      </c>
      <c r="T105" s="137">
        <f t="shared" si="8"/>
        <v>1120</v>
      </c>
      <c r="U105" s="137">
        <f t="shared" si="9"/>
        <v>720</v>
      </c>
      <c r="V105" s="137">
        <f t="shared" si="10"/>
        <v>320</v>
      </c>
      <c r="X105" s="143">
        <v>14</v>
      </c>
      <c r="Y105" s="170">
        <f t="shared" si="11"/>
        <v>5.4954721862871931</v>
      </c>
      <c r="Z105" s="170">
        <f t="shared" si="12"/>
        <v>4.3505821474773612</v>
      </c>
      <c r="AA105" s="170">
        <f t="shared" si="13"/>
        <v>3.2056921086675292</v>
      </c>
      <c r="AB105" s="170">
        <f t="shared" si="14"/>
        <v>2.0608020698576972</v>
      </c>
      <c r="AC105" s="170">
        <f t="shared" si="15"/>
        <v>0.91591203104786545</v>
      </c>
    </row>
    <row r="106" spans="2:29">
      <c r="B106" s="143">
        <v>15</v>
      </c>
      <c r="C106" s="143">
        <v>1709</v>
      </c>
      <c r="Q106" s="143">
        <v>15</v>
      </c>
      <c r="R106" s="137">
        <f t="shared" si="6"/>
        <v>2000</v>
      </c>
      <c r="S106" s="137">
        <f t="shared" si="7"/>
        <v>1600</v>
      </c>
      <c r="T106" s="137">
        <f t="shared" si="8"/>
        <v>1200</v>
      </c>
      <c r="U106" s="137">
        <f t="shared" si="9"/>
        <v>800</v>
      </c>
      <c r="V106" s="137">
        <f t="shared" si="10"/>
        <v>400</v>
      </c>
      <c r="X106" s="143">
        <v>15</v>
      </c>
      <c r="Y106" s="170">
        <f t="shared" si="11"/>
        <v>4.9607623318385654</v>
      </c>
      <c r="Z106" s="170">
        <f t="shared" si="12"/>
        <v>3.9686098654708521</v>
      </c>
      <c r="AA106" s="170">
        <f t="shared" si="13"/>
        <v>2.9764573991031389</v>
      </c>
      <c r="AB106" s="170">
        <f t="shared" si="14"/>
        <v>1.9843049327354261</v>
      </c>
      <c r="AC106" s="170">
        <f t="shared" si="15"/>
        <v>0.99215246636771304</v>
      </c>
    </row>
    <row r="107" spans="2:29">
      <c r="B107" s="143">
        <v>16</v>
      </c>
      <c r="C107" s="171">
        <v>1956</v>
      </c>
      <c r="Q107" s="143">
        <v>16</v>
      </c>
      <c r="R107" s="137">
        <f t="shared" si="6"/>
        <v>2080</v>
      </c>
      <c r="S107" s="137">
        <f t="shared" si="7"/>
        <v>1680</v>
      </c>
      <c r="T107" s="137">
        <f t="shared" si="8"/>
        <v>1280</v>
      </c>
      <c r="U107" s="137">
        <f t="shared" si="9"/>
        <v>880</v>
      </c>
      <c r="V107" s="137">
        <f t="shared" si="10"/>
        <v>480</v>
      </c>
      <c r="X107" s="143">
        <v>16</v>
      </c>
      <c r="Y107" s="170">
        <f t="shared" si="11"/>
        <v>4.5519287833827891</v>
      </c>
      <c r="Z107" s="170">
        <f t="shared" si="12"/>
        <v>3.6765578635014835</v>
      </c>
      <c r="AA107" s="170">
        <f t="shared" si="13"/>
        <v>2.8011869436201779</v>
      </c>
      <c r="AB107" s="170">
        <f t="shared" si="14"/>
        <v>1.9258160237388724</v>
      </c>
      <c r="AC107" s="170">
        <f t="shared" si="15"/>
        <v>1.0504451038575668</v>
      </c>
    </row>
    <row r="108" spans="2:29">
      <c r="B108" s="143">
        <v>17</v>
      </c>
      <c r="C108" s="143">
        <v>2217</v>
      </c>
      <c r="Q108" s="143">
        <v>17</v>
      </c>
      <c r="R108" s="137">
        <f t="shared" si="6"/>
        <v>2160</v>
      </c>
      <c r="S108" s="137">
        <f t="shared" si="7"/>
        <v>1760</v>
      </c>
      <c r="T108" s="137">
        <f t="shared" si="8"/>
        <v>1360</v>
      </c>
      <c r="U108" s="137">
        <f t="shared" si="9"/>
        <v>960</v>
      </c>
      <c r="V108" s="137">
        <f t="shared" si="10"/>
        <v>560</v>
      </c>
      <c r="X108" s="143">
        <v>17</v>
      </c>
      <c r="Y108" s="170">
        <f t="shared" si="11"/>
        <v>4.2292035398230086</v>
      </c>
      <c r="Z108" s="170">
        <f t="shared" si="12"/>
        <v>3.4460176991150444</v>
      </c>
      <c r="AA108" s="170">
        <f t="shared" si="13"/>
        <v>2.6628318584070798</v>
      </c>
      <c r="AB108" s="170">
        <f t="shared" si="14"/>
        <v>1.879646017699115</v>
      </c>
      <c r="AC108" s="170">
        <f t="shared" si="15"/>
        <v>1.0964601769911504</v>
      </c>
    </row>
    <row r="109" spans="2:29">
      <c r="B109" s="143">
        <v>18</v>
      </c>
      <c r="C109" s="143">
        <v>2491</v>
      </c>
      <c r="Q109" s="143">
        <v>18</v>
      </c>
      <c r="R109" s="137">
        <f t="shared" si="6"/>
        <v>2240</v>
      </c>
      <c r="S109" s="137">
        <f t="shared" si="7"/>
        <v>1840</v>
      </c>
      <c r="T109" s="137">
        <f t="shared" si="8"/>
        <v>1440</v>
      </c>
      <c r="U109" s="137">
        <f t="shared" si="9"/>
        <v>1040</v>
      </c>
      <c r="V109" s="137">
        <f t="shared" si="10"/>
        <v>640</v>
      </c>
      <c r="X109" s="143">
        <v>18</v>
      </c>
      <c r="Y109" s="170">
        <f t="shared" si="11"/>
        <v>3.9679743795036031</v>
      </c>
      <c r="Z109" s="170">
        <f t="shared" si="12"/>
        <v>3.2594075260208166</v>
      </c>
      <c r="AA109" s="170">
        <f t="shared" si="13"/>
        <v>2.5508406725380306</v>
      </c>
      <c r="AB109" s="170">
        <f t="shared" si="14"/>
        <v>1.8422738190552441</v>
      </c>
      <c r="AC109" s="170">
        <f t="shared" si="15"/>
        <v>1.1337069655724579</v>
      </c>
    </row>
    <row r="110" spans="2:29">
      <c r="B110" s="143">
        <v>19</v>
      </c>
      <c r="C110" s="143">
        <v>2781</v>
      </c>
      <c r="Q110" s="143">
        <v>19</v>
      </c>
      <c r="R110" s="137">
        <f t="shared" si="6"/>
        <v>2320</v>
      </c>
      <c r="S110" s="137">
        <f t="shared" si="7"/>
        <v>1920</v>
      </c>
      <c r="T110" s="137">
        <f t="shared" si="8"/>
        <v>1520</v>
      </c>
      <c r="U110" s="137">
        <f t="shared" si="9"/>
        <v>1120</v>
      </c>
      <c r="V110" s="137">
        <f t="shared" si="10"/>
        <v>720</v>
      </c>
      <c r="X110" s="143">
        <v>19</v>
      </c>
      <c r="Y110" s="170">
        <f t="shared" si="11"/>
        <v>3.7521929824561404</v>
      </c>
      <c r="Z110" s="170">
        <f t="shared" si="12"/>
        <v>3.1052631578947367</v>
      </c>
      <c r="AA110" s="170">
        <f t="shared" si="13"/>
        <v>2.4583333333333335</v>
      </c>
      <c r="AB110" s="170">
        <f t="shared" si="14"/>
        <v>1.8114035087719298</v>
      </c>
      <c r="AC110" s="170">
        <f t="shared" si="15"/>
        <v>1.1644736842105263</v>
      </c>
    </row>
    <row r="111" spans="2:29">
      <c r="B111" s="143">
        <v>20</v>
      </c>
      <c r="C111" s="143">
        <v>3088</v>
      </c>
      <c r="Q111" s="143">
        <v>20</v>
      </c>
      <c r="R111" s="137">
        <f t="shared" si="6"/>
        <v>2400</v>
      </c>
      <c r="S111" s="137">
        <f t="shared" si="7"/>
        <v>2000</v>
      </c>
      <c r="T111" s="137">
        <f t="shared" si="8"/>
        <v>1600</v>
      </c>
      <c r="U111" s="137">
        <f t="shared" si="9"/>
        <v>1200</v>
      </c>
      <c r="V111" s="137">
        <f t="shared" si="10"/>
        <v>800</v>
      </c>
      <c r="X111" s="143">
        <v>20</v>
      </c>
      <c r="Y111" s="170">
        <f t="shared" si="11"/>
        <v>3.570948217888366</v>
      </c>
      <c r="Z111" s="170">
        <f t="shared" si="12"/>
        <v>2.9757901815736383</v>
      </c>
      <c r="AA111" s="170">
        <f t="shared" si="13"/>
        <v>2.3806321452589105</v>
      </c>
      <c r="AB111" s="170">
        <f t="shared" si="14"/>
        <v>1.785474108944183</v>
      </c>
      <c r="AC111" s="170">
        <f t="shared" si="15"/>
        <v>1.1903160726294553</v>
      </c>
    </row>
    <row r="131" spans="2:14">
      <c r="B131" s="454" t="s">
        <v>274</v>
      </c>
      <c r="C131" s="454"/>
    </row>
    <row r="132" spans="2:14" ht="15" customHeight="1">
      <c r="B132" s="142">
        <v>1800</v>
      </c>
      <c r="C132" s="142">
        <v>3</v>
      </c>
    </row>
    <row r="133" spans="2:14">
      <c r="B133" s="142">
        <v>1970</v>
      </c>
      <c r="C133" s="142">
        <v>2.5</v>
      </c>
    </row>
    <row r="134" spans="2:14">
      <c r="B134" s="142">
        <v>1980</v>
      </c>
      <c r="C134" s="142">
        <v>2</v>
      </c>
    </row>
    <row r="135" spans="2:14">
      <c r="B135" s="142">
        <v>1990</v>
      </c>
      <c r="C135" s="142">
        <v>1.5</v>
      </c>
    </row>
    <row r="136" spans="2:14">
      <c r="B136" s="142">
        <v>2000</v>
      </c>
      <c r="C136" s="142">
        <v>1</v>
      </c>
    </row>
    <row r="137" spans="2:14">
      <c r="B137" s="142">
        <v>2010</v>
      </c>
      <c r="C137" s="142">
        <v>0.7</v>
      </c>
    </row>
    <row r="138" spans="2:14">
      <c r="B138" s="142">
        <v>2030</v>
      </c>
      <c r="C138" s="142">
        <v>0.7</v>
      </c>
    </row>
    <row r="140" spans="2:14">
      <c r="B140" s="454" t="s">
        <v>11</v>
      </c>
      <c r="C140" s="454"/>
    </row>
    <row r="141" spans="2:14">
      <c r="B141" s="142" t="s">
        <v>275</v>
      </c>
      <c r="C141" s="142">
        <f>1.5*1860</f>
        <v>2790</v>
      </c>
      <c r="D141" s="137" t="s">
        <v>276</v>
      </c>
      <c r="E141" s="137">
        <v>150</v>
      </c>
      <c r="F141" s="457" t="s">
        <v>277</v>
      </c>
      <c r="G141" s="457"/>
      <c r="H141" s="457"/>
      <c r="I141" s="457"/>
      <c r="J141" s="457"/>
      <c r="K141" s="457"/>
    </row>
    <row r="142" spans="2:14" ht="90.75" customHeight="1">
      <c r="B142" s="142" t="s">
        <v>19</v>
      </c>
      <c r="C142" s="142">
        <f>0.5*C141</f>
        <v>1395</v>
      </c>
      <c r="D142" s="137" t="s">
        <v>276</v>
      </c>
      <c r="E142" s="137">
        <v>75</v>
      </c>
      <c r="F142" s="458" t="s">
        <v>278</v>
      </c>
      <c r="G142" s="458"/>
      <c r="H142" s="458"/>
      <c r="I142" s="458"/>
      <c r="J142" s="458"/>
      <c r="K142" s="458"/>
      <c r="L142" s="148"/>
      <c r="M142" s="148"/>
      <c r="N142" s="148"/>
    </row>
    <row r="143" spans="2:14">
      <c r="B143" s="142" t="s">
        <v>279</v>
      </c>
      <c r="C143" s="142">
        <f>0.1*C141</f>
        <v>279</v>
      </c>
      <c r="D143" s="137" t="s">
        <v>276</v>
      </c>
      <c r="E143" s="137">
        <v>150</v>
      </c>
      <c r="F143" s="148"/>
      <c r="G143" s="148"/>
      <c r="H143" s="148"/>
      <c r="I143" s="148"/>
      <c r="J143" s="148"/>
      <c r="K143" s="148"/>
      <c r="L143" s="148"/>
      <c r="M143" s="148"/>
      <c r="N143" s="148"/>
    </row>
    <row r="144" spans="2:14">
      <c r="B144" s="142" t="s">
        <v>280</v>
      </c>
      <c r="C144" s="142">
        <f>0.5*C141</f>
        <v>1395</v>
      </c>
      <c r="D144" s="137" t="s">
        <v>276</v>
      </c>
      <c r="E144" s="137">
        <v>150</v>
      </c>
      <c r="F144" s="148"/>
      <c r="G144" s="148"/>
      <c r="H144" s="148"/>
      <c r="I144" s="148"/>
      <c r="J144" s="148"/>
      <c r="K144" s="148"/>
      <c r="L144" s="148"/>
      <c r="M144" s="148"/>
      <c r="N144" s="148"/>
    </row>
    <row r="145" spans="2:14">
      <c r="F145" s="148"/>
      <c r="G145" s="148"/>
      <c r="H145" s="148"/>
      <c r="I145" s="148"/>
      <c r="J145" s="148"/>
      <c r="K145" s="148"/>
      <c r="L145" s="148"/>
      <c r="M145" s="148"/>
      <c r="N145" s="148"/>
    </row>
    <row r="147" spans="2:14" ht="13.5" thickBot="1"/>
    <row r="148" spans="2:14" ht="16.5" thickBot="1">
      <c r="B148" s="448" t="s">
        <v>827</v>
      </c>
      <c r="C148" s="449"/>
    </row>
    <row r="149" spans="2:14">
      <c r="B149" s="146" t="s">
        <v>236</v>
      </c>
      <c r="C149" s="146">
        <v>30</v>
      </c>
    </row>
    <row r="150" spans="2:14">
      <c r="B150" s="146" t="s">
        <v>243</v>
      </c>
      <c r="C150" s="146">
        <v>60</v>
      </c>
    </row>
    <row r="151" spans="2:14">
      <c r="B151" s="146" t="s">
        <v>10</v>
      </c>
      <c r="C151" s="146">
        <v>120</v>
      </c>
    </row>
    <row r="152" spans="2:14">
      <c r="C152" s="148"/>
    </row>
    <row r="153" spans="2:14">
      <c r="B153" s="153" t="s">
        <v>243</v>
      </c>
      <c r="C153" s="146">
        <f>VLOOKUP(B153,WarmWater_T,2,FALSE)</f>
        <v>60</v>
      </c>
    </row>
    <row r="163" spans="1:15">
      <c r="O163" s="148"/>
    </row>
    <row r="164" spans="1:15" ht="14.25">
      <c r="A164" s="7" t="s">
        <v>281</v>
      </c>
      <c r="O164" s="148"/>
    </row>
    <row r="165" spans="1:15">
      <c r="A165" s="137" t="s">
        <v>282</v>
      </c>
      <c r="O165" s="148"/>
    </row>
    <row r="166" spans="1:15">
      <c r="A166" s="137" t="s">
        <v>283</v>
      </c>
      <c r="O166" s="148"/>
    </row>
  </sheetData>
  <mergeCells count="18">
    <mergeCell ref="H79:M80"/>
    <mergeCell ref="B131:C131"/>
    <mergeCell ref="I2:N4"/>
    <mergeCell ref="J51:R51"/>
    <mergeCell ref="J68:R68"/>
    <mergeCell ref="I15:J15"/>
    <mergeCell ref="B148:C148"/>
    <mergeCell ref="B2:E2"/>
    <mergeCell ref="C27:D27"/>
    <mergeCell ref="B51:D51"/>
    <mergeCell ref="F51:G51"/>
    <mergeCell ref="B41:D41"/>
    <mergeCell ref="F15:G15"/>
    <mergeCell ref="B140:C140"/>
    <mergeCell ref="B99:G99"/>
    <mergeCell ref="C100:D100"/>
    <mergeCell ref="F141:K141"/>
    <mergeCell ref="F142:K142"/>
  </mergeCells>
  <conditionalFormatting sqref="B99">
    <cfRule type="expression" dxfId="3" priority="4">
      <formula>CELL("protect",B99)=8</formula>
    </cfRule>
  </conditionalFormatting>
  <conditionalFormatting sqref="H21">
    <cfRule type="expression" dxfId="2" priority="3">
      <formula>CELL("protect",H21)=8</formula>
    </cfRule>
  </conditionalFormatting>
  <conditionalFormatting sqref="J5">
    <cfRule type="expression" dxfId="1" priority="2">
      <formula>CELL("protect",J5)=8</formula>
    </cfRule>
  </conditionalFormatting>
  <conditionalFormatting sqref="E32">
    <cfRule type="expression" dxfId="0" priority="1">
      <formula>CELL("protect",E32)=8</formula>
    </cfRule>
  </conditionalFormatting>
  <dataValidations disablePrompts="1" count="5">
    <dataValidation showInputMessage="1" showErrorMessage="1" sqref="K9" xr:uid="{A3EA67BD-C175-41F9-888A-8F3DB9044E46}"/>
    <dataValidation type="list" allowBlank="1" showInputMessage="1" showErrorMessage="1" sqref="B69" xr:uid="{E0D1AA95-201D-4288-97EC-8FDE4AD8E2A1}">
      <formula1>Kompas</formula1>
    </dataValidation>
    <dataValidation type="list" allowBlank="1" showInputMessage="1" showErrorMessage="1" sqref="F56:G56" xr:uid="{29C5D31B-8D7C-44E1-92E5-89957FB06501}">
      <formula1>Glas_Maat_L</formula1>
    </dataValidation>
    <dataValidation type="list" allowBlank="1" showInputMessage="1" showErrorMessage="1" sqref="H21" xr:uid="{8BCC7380-86A3-4F16-8F6A-3319238D33B5}">
      <formula1>Rsie_L</formula1>
    </dataValidation>
    <dataValidation type="list" allowBlank="1" showInputMessage="1" showErrorMessage="1" sqref="B153" xr:uid="{590C7F16-5378-4E8E-801E-6656E8DC9538}">
      <formula1>WarmWater_L</formula1>
    </dataValidation>
  </dataValidations>
  <hyperlinks>
    <hyperlink ref="A164" r:id="rId1" xr:uid="{00000000-0004-0000-0200-000000000000}"/>
  </hyperlinks>
  <pageMargins left="0.7" right="0.7" top="0.75" bottom="0.75" header="0.3" footer="0.3"/>
  <pageSetup paperSize="9" orientation="portrait" horizontalDpi="0" verticalDpi="0" r:id="rId2"/>
  <drawing r:id="rId3"/>
  <legacyDrawing r:id="rId4"/>
  <controls>
    <mc:AlternateContent xmlns:mc="http://schemas.openxmlformats.org/markup-compatibility/2006">
      <mc:Choice Requires="x14">
        <control shapeId="21506" r:id="rId5" name="CheckBox1">
          <controlPr defaultSize="0" autoLine="0" r:id="rId6">
            <anchor moveWithCells="1">
              <from>
                <xdr:col>2</xdr:col>
                <xdr:colOff>209550</xdr:colOff>
                <xdr:row>161</xdr:row>
                <xdr:rowOff>66675</xdr:rowOff>
              </from>
              <to>
                <xdr:col>4</xdr:col>
                <xdr:colOff>180975</xdr:colOff>
                <xdr:row>162</xdr:row>
                <xdr:rowOff>66675</xdr:rowOff>
              </to>
            </anchor>
          </controlPr>
        </control>
      </mc:Choice>
      <mc:Fallback>
        <control shapeId="21506" r:id="rId5" name="CheckBox1"/>
      </mc:Fallback>
    </mc:AlternateContent>
    <mc:AlternateContent xmlns:mc="http://schemas.openxmlformats.org/markup-compatibility/2006">
      <mc:Choice Requires="x14">
        <control shapeId="21505" r:id="rId7" name="Check Box 1">
          <controlPr defaultSize="0" autoFill="0" autoLine="0" autoPict="0">
            <anchor moveWithCells="1">
              <from>
                <xdr:col>2</xdr:col>
                <xdr:colOff>200025</xdr:colOff>
                <xdr:row>160</xdr:row>
                <xdr:rowOff>9525</xdr:rowOff>
              </from>
              <to>
                <xdr:col>4</xdr:col>
                <xdr:colOff>200025</xdr:colOff>
                <xdr:row>161</xdr:row>
                <xdr:rowOff>28575</xdr:rowOff>
              </to>
            </anchor>
          </controlPr>
        </control>
      </mc:Choice>
    </mc:AlternateContent>
    <mc:AlternateContent xmlns:mc="http://schemas.openxmlformats.org/markup-compatibility/2006">
      <mc:Choice Requires="x14">
        <control shapeId="21509" r:id="rId8" name="Check Box 5">
          <controlPr defaultSize="0" autoFill="0" autoLine="0" autoPict="0">
            <anchor moveWithCells="1">
              <from>
                <xdr:col>1</xdr:col>
                <xdr:colOff>190500</xdr:colOff>
                <xdr:row>170</xdr:row>
                <xdr:rowOff>0</xdr:rowOff>
              </from>
              <to>
                <xdr:col>2</xdr:col>
                <xdr:colOff>247650</xdr:colOff>
                <xdr:row>171</xdr:row>
                <xdr:rowOff>19050</xdr:rowOff>
              </to>
            </anchor>
          </controlPr>
        </control>
      </mc:Choice>
    </mc:AlternateContent>
    <mc:AlternateContent xmlns:mc="http://schemas.openxmlformats.org/markup-compatibility/2006">
      <mc:Choice Requires="x14">
        <control shapeId="21510" r:id="rId9" name="Check Box 6">
          <controlPr defaultSize="0" autoFill="0" autoLine="0" autoPict="0">
            <anchor moveWithCells="1">
              <from>
                <xdr:col>1</xdr:col>
                <xdr:colOff>180975</xdr:colOff>
                <xdr:row>172</xdr:row>
                <xdr:rowOff>19050</xdr:rowOff>
              </from>
              <to>
                <xdr:col>2</xdr:col>
                <xdr:colOff>238125</xdr:colOff>
                <xdr:row>173</xdr:row>
                <xdr:rowOff>38100</xdr:rowOff>
              </to>
            </anchor>
          </controlPr>
        </control>
      </mc:Choice>
    </mc:AlternateContent>
    <mc:AlternateContent xmlns:mc="http://schemas.openxmlformats.org/markup-compatibility/2006">
      <mc:Choice Requires="x14">
        <control shapeId="21511" r:id="rId10" name="Check Box 7">
          <controlPr defaultSize="0" autoFill="0" autoLine="0" autoPict="0">
            <anchor moveWithCells="1">
              <from>
                <xdr:col>1</xdr:col>
                <xdr:colOff>733425</xdr:colOff>
                <xdr:row>175</xdr:row>
                <xdr:rowOff>57150</xdr:rowOff>
              </from>
              <to>
                <xdr:col>3</xdr:col>
                <xdr:colOff>180975</xdr:colOff>
                <xdr:row>176</xdr:row>
                <xdr:rowOff>76200</xdr:rowOff>
              </to>
            </anchor>
          </controlPr>
        </control>
      </mc:Choice>
    </mc:AlternateContent>
    <mc:AlternateContent xmlns:mc="http://schemas.openxmlformats.org/markup-compatibility/2006">
      <mc:Choice Requires="x14">
        <control shapeId="21508" r:id="rId11" name="Check Box 4">
          <controlPr defaultSize="0" autoFill="0" autoLine="0" autoPict="0">
            <anchor moveWithCells="1">
              <from>
                <xdr:col>1</xdr:col>
                <xdr:colOff>180975</xdr:colOff>
                <xdr:row>168</xdr:row>
                <xdr:rowOff>9525</xdr:rowOff>
              </from>
              <to>
                <xdr:col>2</xdr:col>
                <xdr:colOff>238125</xdr:colOff>
                <xdr:row>169</xdr:row>
                <xdr:rowOff>28575</xdr:rowOff>
              </to>
            </anchor>
          </controlPr>
        </control>
      </mc:Choice>
    </mc:AlternateContent>
    <mc:AlternateContent xmlns:mc="http://schemas.openxmlformats.org/markup-compatibility/2006">
      <mc:Choice Requires="x14">
        <control shapeId="21507" r:id="rId12" name="Group Box 3">
          <controlPr defaultSize="0" autoFill="0" autoPict="0" altText="Verwarming">
            <anchor moveWithCells="1">
              <from>
                <xdr:col>0</xdr:col>
                <xdr:colOff>495300</xdr:colOff>
                <xdr:row>166</xdr:row>
                <xdr:rowOff>171450</xdr:rowOff>
              </from>
              <to>
                <xdr:col>3</xdr:col>
                <xdr:colOff>419100</xdr:colOff>
                <xdr:row>178</xdr:row>
                <xdr:rowOff>85725</xdr:rowOff>
              </to>
            </anchor>
          </controlPr>
        </control>
      </mc:Choice>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ADF1-1B8C-4BF6-90DB-4B1CC6B90F7F}">
  <sheetPr codeName="Sheet7"/>
  <dimension ref="A1:L4258"/>
  <sheetViews>
    <sheetView workbookViewId="0">
      <selection activeCell="H31" sqref="H31"/>
    </sheetView>
  </sheetViews>
  <sheetFormatPr defaultRowHeight="12.75"/>
  <cols>
    <col min="1" max="1" width="28.42578125" customWidth="1"/>
    <col min="2" max="2" width="10.28515625" customWidth="1"/>
    <col min="4" max="4" width="7.28515625" customWidth="1"/>
    <col min="7" max="7" width="4.28515625" customWidth="1"/>
    <col min="8" max="8" width="3.5703125" customWidth="1"/>
    <col min="12" max="12" width="18.85546875" customWidth="1"/>
  </cols>
  <sheetData>
    <row r="1" spans="1:11">
      <c r="A1" t="s">
        <v>287</v>
      </c>
      <c r="B1" t="s">
        <v>288</v>
      </c>
      <c r="C1" t="s">
        <v>289</v>
      </c>
      <c r="D1" t="s">
        <v>290</v>
      </c>
      <c r="E1" t="s">
        <v>291</v>
      </c>
      <c r="F1" t="s">
        <v>292</v>
      </c>
      <c r="G1" t="s">
        <v>293</v>
      </c>
      <c r="H1" t="s">
        <v>294</v>
      </c>
    </row>
    <row r="2" spans="1:11">
      <c r="A2" t="str">
        <f t="shared" ref="A2:A65" si="0">CONCATENATE(F2," ",G2,H2)</f>
        <v>Appelhof 2</v>
      </c>
      <c r="B2" t="s">
        <v>295</v>
      </c>
      <c r="C2" t="s">
        <v>296</v>
      </c>
      <c r="D2">
        <v>1969</v>
      </c>
      <c r="E2">
        <v>132</v>
      </c>
      <c r="F2" t="s">
        <v>297</v>
      </c>
      <c r="G2">
        <v>2</v>
      </c>
    </row>
    <row r="3" spans="1:11">
      <c r="A3" t="str">
        <f t="shared" si="0"/>
        <v>Appelhof 4</v>
      </c>
      <c r="B3" t="s">
        <v>295</v>
      </c>
      <c r="C3" t="s">
        <v>296</v>
      </c>
      <c r="D3">
        <v>1969</v>
      </c>
      <c r="E3">
        <v>132</v>
      </c>
      <c r="F3" t="s">
        <v>297</v>
      </c>
      <c r="G3">
        <v>4</v>
      </c>
    </row>
    <row r="4" spans="1:11">
      <c r="A4" t="str">
        <f t="shared" si="0"/>
        <v>Appelhof 6b</v>
      </c>
      <c r="B4" t="s">
        <v>295</v>
      </c>
      <c r="C4" t="s">
        <v>296</v>
      </c>
      <c r="D4">
        <v>1972</v>
      </c>
      <c r="E4">
        <v>16</v>
      </c>
      <c r="F4" t="s">
        <v>297</v>
      </c>
      <c r="G4">
        <v>6</v>
      </c>
      <c r="H4" t="s">
        <v>298</v>
      </c>
    </row>
    <row r="5" spans="1:11">
      <c r="A5" t="str">
        <f t="shared" si="0"/>
        <v>Appelhof 6c</v>
      </c>
      <c r="B5" t="s">
        <v>295</v>
      </c>
      <c r="C5" t="s">
        <v>296</v>
      </c>
      <c r="D5">
        <v>1972</v>
      </c>
      <c r="E5">
        <v>19</v>
      </c>
      <c r="F5" t="s">
        <v>297</v>
      </c>
      <c r="G5">
        <v>6</v>
      </c>
      <c r="H5" t="s">
        <v>299</v>
      </c>
    </row>
    <row r="6" spans="1:11">
      <c r="A6" t="str">
        <f t="shared" si="0"/>
        <v>Appelhof 6d</v>
      </c>
      <c r="B6" t="s">
        <v>295</v>
      </c>
      <c r="C6" t="s">
        <v>296</v>
      </c>
      <c r="D6">
        <v>1972</v>
      </c>
      <c r="E6">
        <v>20</v>
      </c>
      <c r="F6" t="s">
        <v>297</v>
      </c>
      <c r="G6">
        <v>6</v>
      </c>
      <c r="H6" t="s">
        <v>300</v>
      </c>
      <c r="J6" t="s">
        <v>74</v>
      </c>
      <c r="K6" s="297" t="s">
        <v>1074</v>
      </c>
    </row>
    <row r="7" spans="1:11">
      <c r="A7" t="str">
        <f t="shared" si="0"/>
        <v>Appelhof 6</v>
      </c>
      <c r="B7" t="s">
        <v>295</v>
      </c>
      <c r="C7" t="s">
        <v>296</v>
      </c>
      <c r="D7">
        <v>1969</v>
      </c>
      <c r="E7">
        <v>148</v>
      </c>
      <c r="F7" t="s">
        <v>297</v>
      </c>
      <c r="G7">
        <v>6</v>
      </c>
      <c r="J7" t="s">
        <v>62</v>
      </c>
      <c r="K7" s="31" t="str">
        <f>VLOOKUP(K6,A:E,2,FALSE)</f>
        <v>6587AZ</v>
      </c>
    </row>
    <row r="8" spans="1:11">
      <c r="A8" t="str">
        <f t="shared" si="0"/>
        <v>Appelhof 8</v>
      </c>
      <c r="B8" t="s">
        <v>295</v>
      </c>
      <c r="C8" t="s">
        <v>296</v>
      </c>
      <c r="D8">
        <v>1970</v>
      </c>
      <c r="E8">
        <v>97</v>
      </c>
      <c r="F8" t="s">
        <v>297</v>
      </c>
      <c r="G8">
        <v>8</v>
      </c>
      <c r="J8" t="s">
        <v>59</v>
      </c>
      <c r="K8" s="31" t="str">
        <f>VLOOKUP(K6,A:F,3,FALSE)</f>
        <v>Middelaar</v>
      </c>
    </row>
    <row r="9" spans="1:11">
      <c r="A9" t="str">
        <f t="shared" si="0"/>
        <v>Appelhof 10</v>
      </c>
      <c r="B9" t="s">
        <v>295</v>
      </c>
      <c r="C9" t="s">
        <v>296</v>
      </c>
      <c r="D9">
        <v>1970</v>
      </c>
      <c r="E9">
        <v>103</v>
      </c>
      <c r="F9" t="s">
        <v>297</v>
      </c>
      <c r="G9">
        <v>10</v>
      </c>
      <c r="J9" t="s">
        <v>2</v>
      </c>
      <c r="K9" s="31">
        <f>VLOOKUP(K6,A:E,4,FALSE)</f>
        <v>1951</v>
      </c>
    </row>
    <row r="10" spans="1:11">
      <c r="A10" t="str">
        <f t="shared" si="0"/>
        <v>Appelhof 12</v>
      </c>
      <c r="B10" t="s">
        <v>295</v>
      </c>
      <c r="C10" t="s">
        <v>296</v>
      </c>
      <c r="D10">
        <v>1970</v>
      </c>
      <c r="E10">
        <v>97</v>
      </c>
      <c r="F10" t="s">
        <v>297</v>
      </c>
      <c r="G10">
        <v>12</v>
      </c>
      <c r="J10" t="s">
        <v>79</v>
      </c>
      <c r="K10" s="31">
        <f>VLOOKUP(K6,A:E,5,FALSE)</f>
        <v>88</v>
      </c>
    </row>
    <row r="11" spans="1:11">
      <c r="A11" t="str">
        <f t="shared" si="0"/>
        <v>Appelhof 14</v>
      </c>
      <c r="B11" t="s">
        <v>295</v>
      </c>
      <c r="C11" t="s">
        <v>296</v>
      </c>
      <c r="D11">
        <v>1970</v>
      </c>
      <c r="E11">
        <v>97</v>
      </c>
      <c r="F11" t="s">
        <v>297</v>
      </c>
      <c r="G11">
        <v>14</v>
      </c>
    </row>
    <row r="12" spans="1:11">
      <c r="A12" t="str">
        <f t="shared" si="0"/>
        <v>Appelhof 16</v>
      </c>
      <c r="B12" t="s">
        <v>295</v>
      </c>
      <c r="C12" t="s">
        <v>296</v>
      </c>
      <c r="D12">
        <v>1970</v>
      </c>
      <c r="E12">
        <v>98</v>
      </c>
      <c r="F12" t="s">
        <v>297</v>
      </c>
      <c r="G12">
        <v>16</v>
      </c>
      <c r="J12" t="s">
        <v>925</v>
      </c>
      <c r="K12">
        <f>MATCH(K6,BAG!A:A,0)</f>
        <v>837</v>
      </c>
    </row>
    <row r="13" spans="1:11">
      <c r="A13" t="str">
        <f t="shared" si="0"/>
        <v>Appelhof 18</v>
      </c>
      <c r="B13" t="s">
        <v>295</v>
      </c>
      <c r="C13" t="s">
        <v>296</v>
      </c>
      <c r="D13">
        <v>1970</v>
      </c>
      <c r="E13">
        <v>97</v>
      </c>
      <c r="F13" t="s">
        <v>297</v>
      </c>
      <c r="G13">
        <v>18</v>
      </c>
      <c r="K13" t="str">
        <f ca="1">INDIRECT("BAG!A"&amp;K12)</f>
        <v>Dorpsstraat 18</v>
      </c>
    </row>
    <row r="14" spans="1:11">
      <c r="A14" t="str">
        <f t="shared" si="0"/>
        <v>Appelhof 20</v>
      </c>
      <c r="B14" t="s">
        <v>295</v>
      </c>
      <c r="C14" t="s">
        <v>296</v>
      </c>
      <c r="D14">
        <v>1970</v>
      </c>
      <c r="E14">
        <v>97</v>
      </c>
      <c r="F14" t="s">
        <v>297</v>
      </c>
      <c r="G14">
        <v>20</v>
      </c>
    </row>
    <row r="15" spans="1:11">
      <c r="A15" t="str">
        <f t="shared" si="0"/>
        <v>Arnold van Heumenstraat 1a</v>
      </c>
      <c r="B15" t="s">
        <v>301</v>
      </c>
      <c r="C15" t="s">
        <v>302</v>
      </c>
      <c r="D15">
        <v>1981</v>
      </c>
      <c r="E15">
        <v>9</v>
      </c>
      <c r="F15" t="s">
        <v>303</v>
      </c>
      <c r="G15">
        <v>1</v>
      </c>
      <c r="H15" t="s">
        <v>304</v>
      </c>
    </row>
    <row r="16" spans="1:11">
      <c r="A16" t="str">
        <f t="shared" si="0"/>
        <v>Arnold van Heumenstraat 1</v>
      </c>
      <c r="B16" t="s">
        <v>301</v>
      </c>
      <c r="C16" t="s">
        <v>302</v>
      </c>
      <c r="D16">
        <v>1992</v>
      </c>
      <c r="E16">
        <v>165</v>
      </c>
      <c r="F16" t="s">
        <v>303</v>
      </c>
      <c r="G16">
        <v>1</v>
      </c>
    </row>
    <row r="17" spans="1:8">
      <c r="A17" t="str">
        <f t="shared" si="0"/>
        <v>Arnold van Heumenstraat 2</v>
      </c>
      <c r="B17" t="s">
        <v>301</v>
      </c>
      <c r="C17" t="s">
        <v>302</v>
      </c>
      <c r="D17">
        <v>1981</v>
      </c>
      <c r="E17">
        <v>308</v>
      </c>
      <c r="F17" t="s">
        <v>303</v>
      </c>
      <c r="G17">
        <v>2</v>
      </c>
    </row>
    <row r="18" spans="1:8">
      <c r="A18" t="str">
        <f t="shared" si="0"/>
        <v>Arnold van Heumenstraat 4</v>
      </c>
      <c r="B18" t="s">
        <v>301</v>
      </c>
      <c r="C18" t="s">
        <v>302</v>
      </c>
      <c r="D18">
        <v>1981</v>
      </c>
      <c r="E18">
        <v>151</v>
      </c>
      <c r="F18" t="s">
        <v>303</v>
      </c>
      <c r="G18">
        <v>4</v>
      </c>
    </row>
    <row r="19" spans="1:8">
      <c r="A19" t="str">
        <f t="shared" si="0"/>
        <v>Arnold van Heumenstraat 6</v>
      </c>
      <c r="B19" t="s">
        <v>301</v>
      </c>
      <c r="C19" t="s">
        <v>302</v>
      </c>
      <c r="D19">
        <v>1981</v>
      </c>
      <c r="E19">
        <v>148</v>
      </c>
      <c r="F19" t="s">
        <v>303</v>
      </c>
      <c r="G19">
        <v>6</v>
      </c>
    </row>
    <row r="20" spans="1:8">
      <c r="A20" t="str">
        <f t="shared" si="0"/>
        <v>Arnold van Heumenstraat 8</v>
      </c>
      <c r="B20" t="s">
        <v>301</v>
      </c>
      <c r="C20" t="s">
        <v>302</v>
      </c>
      <c r="D20">
        <v>1981</v>
      </c>
      <c r="E20">
        <v>176</v>
      </c>
      <c r="F20" t="s">
        <v>303</v>
      </c>
      <c r="G20">
        <v>8</v>
      </c>
    </row>
    <row r="21" spans="1:8">
      <c r="A21" t="str">
        <f t="shared" si="0"/>
        <v>Arnold van Heumenstraat 10</v>
      </c>
      <c r="B21" t="s">
        <v>301</v>
      </c>
      <c r="C21" t="s">
        <v>302</v>
      </c>
      <c r="D21">
        <v>1981</v>
      </c>
      <c r="E21">
        <v>148</v>
      </c>
      <c r="F21" t="s">
        <v>303</v>
      </c>
      <c r="G21">
        <v>10</v>
      </c>
    </row>
    <row r="22" spans="1:8">
      <c r="A22" t="str">
        <f t="shared" si="0"/>
        <v>Arnold van Heumenstraat 12</v>
      </c>
      <c r="B22" t="s">
        <v>301</v>
      </c>
      <c r="C22" t="s">
        <v>302</v>
      </c>
      <c r="D22">
        <v>1982</v>
      </c>
      <c r="E22">
        <v>225</v>
      </c>
      <c r="F22" t="s">
        <v>303</v>
      </c>
      <c r="G22">
        <v>12</v>
      </c>
    </row>
    <row r="23" spans="1:8">
      <c r="A23" t="str">
        <f t="shared" si="0"/>
        <v>Avilaweg 1</v>
      </c>
      <c r="B23" t="s">
        <v>305</v>
      </c>
      <c r="C23" t="s">
        <v>306</v>
      </c>
      <c r="D23">
        <v>1970</v>
      </c>
      <c r="E23">
        <v>181</v>
      </c>
      <c r="F23" t="s">
        <v>307</v>
      </c>
      <c r="G23">
        <v>1</v>
      </c>
    </row>
    <row r="24" spans="1:8">
      <c r="A24" t="str">
        <f t="shared" si="0"/>
        <v>Avilaweg 3</v>
      </c>
      <c r="B24" t="s">
        <v>305</v>
      </c>
      <c r="C24" t="s">
        <v>306</v>
      </c>
      <c r="D24">
        <v>1992</v>
      </c>
      <c r="E24">
        <v>192</v>
      </c>
      <c r="F24" t="s">
        <v>307</v>
      </c>
      <c r="G24">
        <v>3</v>
      </c>
    </row>
    <row r="25" spans="1:8">
      <c r="A25" t="str">
        <f t="shared" si="0"/>
        <v>Avilaweg 4</v>
      </c>
      <c r="B25" t="s">
        <v>305</v>
      </c>
      <c r="C25" t="s">
        <v>306</v>
      </c>
      <c r="D25">
        <v>1992</v>
      </c>
      <c r="E25">
        <v>140</v>
      </c>
      <c r="F25" t="s">
        <v>307</v>
      </c>
      <c r="G25">
        <v>4</v>
      </c>
    </row>
    <row r="26" spans="1:8">
      <c r="A26" t="str">
        <f t="shared" si="0"/>
        <v>Avilaweg 5</v>
      </c>
      <c r="B26" t="s">
        <v>305</v>
      </c>
      <c r="C26" t="s">
        <v>306</v>
      </c>
      <c r="D26">
        <v>2018</v>
      </c>
      <c r="E26">
        <v>208</v>
      </c>
      <c r="F26" t="s">
        <v>307</v>
      </c>
      <c r="G26">
        <v>5</v>
      </c>
    </row>
    <row r="27" spans="1:8">
      <c r="A27" t="str">
        <f t="shared" si="0"/>
        <v>Avilaweg 6</v>
      </c>
      <c r="B27" t="s">
        <v>305</v>
      </c>
      <c r="C27" t="s">
        <v>306</v>
      </c>
      <c r="D27">
        <v>1992</v>
      </c>
      <c r="E27">
        <v>181</v>
      </c>
      <c r="F27" t="s">
        <v>307</v>
      </c>
      <c r="G27">
        <v>6</v>
      </c>
    </row>
    <row r="28" spans="1:8">
      <c r="A28" t="str">
        <f t="shared" si="0"/>
        <v>Avilaweg 8</v>
      </c>
      <c r="B28" t="s">
        <v>305</v>
      </c>
      <c r="C28" t="s">
        <v>306</v>
      </c>
      <c r="D28">
        <v>1990</v>
      </c>
      <c r="E28">
        <v>184</v>
      </c>
      <c r="F28" t="s">
        <v>307</v>
      </c>
      <c r="G28">
        <v>8</v>
      </c>
    </row>
    <row r="29" spans="1:8">
      <c r="A29" t="str">
        <f t="shared" si="0"/>
        <v>Avilaweg 9a</v>
      </c>
      <c r="B29" t="s">
        <v>305</v>
      </c>
      <c r="C29" t="s">
        <v>306</v>
      </c>
      <c r="D29">
        <v>1998</v>
      </c>
      <c r="E29">
        <v>5</v>
      </c>
      <c r="F29" t="s">
        <v>307</v>
      </c>
      <c r="G29">
        <v>9</v>
      </c>
      <c r="H29" t="s">
        <v>304</v>
      </c>
    </row>
    <row r="30" spans="1:8">
      <c r="A30" t="str">
        <f t="shared" si="0"/>
        <v>Avilaweg 10</v>
      </c>
      <c r="B30" t="s">
        <v>305</v>
      </c>
      <c r="C30" t="s">
        <v>306</v>
      </c>
      <c r="D30">
        <v>1992</v>
      </c>
      <c r="E30">
        <v>234</v>
      </c>
      <c r="F30" t="s">
        <v>307</v>
      </c>
      <c r="G30">
        <v>10</v>
      </c>
    </row>
    <row r="31" spans="1:8">
      <c r="A31" t="str">
        <f t="shared" si="0"/>
        <v>Avilaweg 12</v>
      </c>
      <c r="B31" t="s">
        <v>305</v>
      </c>
      <c r="C31" t="s">
        <v>306</v>
      </c>
      <c r="D31">
        <v>1992</v>
      </c>
      <c r="E31">
        <v>251</v>
      </c>
      <c r="F31" t="s">
        <v>307</v>
      </c>
      <c r="G31">
        <v>12</v>
      </c>
    </row>
    <row r="32" spans="1:8">
      <c r="A32" t="str">
        <f t="shared" si="0"/>
        <v>Avilaweg 13</v>
      </c>
      <c r="C32" t="s">
        <v>306</v>
      </c>
      <c r="D32">
        <v>2013</v>
      </c>
      <c r="E32">
        <v>25</v>
      </c>
      <c r="F32" t="s">
        <v>307</v>
      </c>
      <c r="G32">
        <v>13</v>
      </c>
    </row>
    <row r="33" spans="1:8">
      <c r="A33" t="str">
        <f t="shared" si="0"/>
        <v>Avilaweg 15k</v>
      </c>
      <c r="B33" t="s">
        <v>305</v>
      </c>
      <c r="C33" t="s">
        <v>306</v>
      </c>
      <c r="D33">
        <v>1987</v>
      </c>
      <c r="E33">
        <v>32</v>
      </c>
      <c r="F33" t="s">
        <v>307</v>
      </c>
      <c r="G33">
        <v>15</v>
      </c>
      <c r="H33" t="s">
        <v>308</v>
      </c>
    </row>
    <row r="34" spans="1:8">
      <c r="A34" t="str">
        <f t="shared" si="0"/>
        <v>Avilaweg 15</v>
      </c>
      <c r="B34" t="s">
        <v>305</v>
      </c>
      <c r="C34" t="s">
        <v>306</v>
      </c>
      <c r="D34">
        <v>1974</v>
      </c>
      <c r="E34">
        <v>330</v>
      </c>
      <c r="F34" t="s">
        <v>307</v>
      </c>
      <c r="G34">
        <v>15</v>
      </c>
    </row>
    <row r="35" spans="1:8">
      <c r="A35" t="str">
        <f t="shared" si="0"/>
        <v>Avilaweg 17</v>
      </c>
      <c r="B35" t="s">
        <v>305</v>
      </c>
      <c r="C35" t="s">
        <v>306</v>
      </c>
      <c r="D35">
        <v>1974</v>
      </c>
      <c r="E35">
        <v>131</v>
      </c>
      <c r="F35" t="s">
        <v>307</v>
      </c>
      <c r="G35">
        <v>17</v>
      </c>
    </row>
    <row r="36" spans="1:8">
      <c r="A36" t="str">
        <f t="shared" si="0"/>
        <v>Avilaweg 19</v>
      </c>
      <c r="B36" t="s">
        <v>305</v>
      </c>
      <c r="C36" t="s">
        <v>306</v>
      </c>
      <c r="D36">
        <v>1960</v>
      </c>
      <c r="E36">
        <v>256</v>
      </c>
      <c r="F36" t="s">
        <v>307</v>
      </c>
      <c r="G36">
        <v>19</v>
      </c>
    </row>
    <row r="37" spans="1:8">
      <c r="A37" t="str">
        <f t="shared" si="0"/>
        <v>Bachstraat 1</v>
      </c>
      <c r="B37" t="s">
        <v>309</v>
      </c>
      <c r="C37" t="s">
        <v>296</v>
      </c>
      <c r="D37">
        <v>1987</v>
      </c>
      <c r="E37">
        <v>101</v>
      </c>
      <c r="F37" t="s">
        <v>310</v>
      </c>
      <c r="G37">
        <v>1</v>
      </c>
    </row>
    <row r="38" spans="1:8">
      <c r="A38" t="str">
        <f t="shared" si="0"/>
        <v>Bachstraat 3</v>
      </c>
      <c r="B38" t="s">
        <v>309</v>
      </c>
      <c r="C38" t="s">
        <v>296</v>
      </c>
      <c r="D38">
        <v>1987</v>
      </c>
      <c r="E38">
        <v>86</v>
      </c>
      <c r="F38" t="s">
        <v>310</v>
      </c>
      <c r="G38">
        <v>3</v>
      </c>
    </row>
    <row r="39" spans="1:8">
      <c r="A39" t="str">
        <f t="shared" si="0"/>
        <v>Bachstraat 5</v>
      </c>
      <c r="B39" t="s">
        <v>309</v>
      </c>
      <c r="C39" t="s">
        <v>296</v>
      </c>
      <c r="D39">
        <v>1987</v>
      </c>
      <c r="E39">
        <v>86</v>
      </c>
      <c r="F39" t="s">
        <v>310</v>
      </c>
      <c r="G39">
        <v>5</v>
      </c>
    </row>
    <row r="40" spans="1:8">
      <c r="A40" t="str">
        <f t="shared" si="0"/>
        <v>Bachstraat 7</v>
      </c>
      <c r="B40" t="s">
        <v>309</v>
      </c>
      <c r="C40" t="s">
        <v>296</v>
      </c>
      <c r="D40">
        <v>1987</v>
      </c>
      <c r="E40">
        <v>86</v>
      </c>
      <c r="F40" t="s">
        <v>310</v>
      </c>
      <c r="G40">
        <v>7</v>
      </c>
    </row>
    <row r="41" spans="1:8">
      <c r="A41" t="str">
        <f t="shared" si="0"/>
        <v>Beethovenstraat 1</v>
      </c>
      <c r="B41" t="s">
        <v>311</v>
      </c>
      <c r="C41" t="s">
        <v>296</v>
      </c>
      <c r="D41">
        <v>1988</v>
      </c>
      <c r="E41">
        <v>122</v>
      </c>
      <c r="F41" t="s">
        <v>312</v>
      </c>
      <c r="G41">
        <v>1</v>
      </c>
    </row>
    <row r="42" spans="1:8">
      <c r="A42" t="str">
        <f t="shared" si="0"/>
        <v>Beethovenstraat 2</v>
      </c>
      <c r="B42" t="s">
        <v>313</v>
      </c>
      <c r="C42" t="s">
        <v>296</v>
      </c>
      <c r="D42">
        <v>1987</v>
      </c>
      <c r="E42">
        <v>188</v>
      </c>
      <c r="F42" t="s">
        <v>312</v>
      </c>
      <c r="G42">
        <v>2</v>
      </c>
    </row>
    <row r="43" spans="1:8">
      <c r="A43" t="str">
        <f t="shared" si="0"/>
        <v>Beethovenstraat 3</v>
      </c>
      <c r="B43" t="s">
        <v>311</v>
      </c>
      <c r="C43" t="s">
        <v>296</v>
      </c>
      <c r="D43">
        <v>1988</v>
      </c>
      <c r="E43">
        <v>139</v>
      </c>
      <c r="F43" t="s">
        <v>312</v>
      </c>
      <c r="G43">
        <v>3</v>
      </c>
    </row>
    <row r="44" spans="1:8">
      <c r="A44" t="str">
        <f t="shared" si="0"/>
        <v>Beethovenstraat 4</v>
      </c>
      <c r="B44" t="s">
        <v>313</v>
      </c>
      <c r="C44" t="s">
        <v>296</v>
      </c>
      <c r="D44">
        <v>1986</v>
      </c>
      <c r="E44">
        <v>213</v>
      </c>
      <c r="F44" t="s">
        <v>312</v>
      </c>
      <c r="G44">
        <v>4</v>
      </c>
    </row>
    <row r="45" spans="1:8">
      <c r="A45" t="str">
        <f t="shared" si="0"/>
        <v>Beethovenstraat 5</v>
      </c>
      <c r="B45" t="s">
        <v>311</v>
      </c>
      <c r="C45" t="s">
        <v>296</v>
      </c>
      <c r="D45">
        <v>1988</v>
      </c>
      <c r="E45">
        <v>133</v>
      </c>
      <c r="F45" t="s">
        <v>312</v>
      </c>
      <c r="G45">
        <v>5</v>
      </c>
    </row>
    <row r="46" spans="1:8">
      <c r="A46" t="str">
        <f t="shared" si="0"/>
        <v>Beethovenstraat 6</v>
      </c>
      <c r="B46" t="s">
        <v>313</v>
      </c>
      <c r="C46" t="s">
        <v>296</v>
      </c>
      <c r="D46">
        <v>1988</v>
      </c>
      <c r="E46">
        <v>118</v>
      </c>
      <c r="F46" t="s">
        <v>312</v>
      </c>
      <c r="G46">
        <v>6</v>
      </c>
    </row>
    <row r="47" spans="1:8">
      <c r="A47" t="str">
        <f t="shared" si="0"/>
        <v>Beethovenstraat 7</v>
      </c>
      <c r="B47" t="s">
        <v>311</v>
      </c>
      <c r="C47" t="s">
        <v>296</v>
      </c>
      <c r="D47">
        <v>1988</v>
      </c>
      <c r="E47">
        <v>133</v>
      </c>
      <c r="F47" t="s">
        <v>312</v>
      </c>
      <c r="G47">
        <v>7</v>
      </c>
    </row>
    <row r="48" spans="1:8">
      <c r="A48" t="str">
        <f t="shared" si="0"/>
        <v>Beethovenstraat 8</v>
      </c>
      <c r="B48" t="s">
        <v>313</v>
      </c>
      <c r="C48" t="s">
        <v>296</v>
      </c>
      <c r="D48">
        <v>1986</v>
      </c>
      <c r="E48">
        <v>92</v>
      </c>
      <c r="F48" t="s">
        <v>312</v>
      </c>
      <c r="G48">
        <v>8</v>
      </c>
    </row>
    <row r="49" spans="1:7">
      <c r="A49" t="str">
        <f t="shared" si="0"/>
        <v>Beethovenstraat 9</v>
      </c>
      <c r="B49" t="s">
        <v>311</v>
      </c>
      <c r="C49" t="s">
        <v>296</v>
      </c>
      <c r="D49">
        <v>1988</v>
      </c>
      <c r="E49">
        <v>121</v>
      </c>
      <c r="F49" t="s">
        <v>312</v>
      </c>
      <c r="G49">
        <v>9</v>
      </c>
    </row>
    <row r="50" spans="1:7">
      <c r="A50" t="str">
        <f t="shared" si="0"/>
        <v>Beethovenstraat 10</v>
      </c>
      <c r="B50" t="s">
        <v>313</v>
      </c>
      <c r="C50" t="s">
        <v>296</v>
      </c>
      <c r="D50">
        <v>1986</v>
      </c>
      <c r="E50">
        <v>96</v>
      </c>
      <c r="F50" t="s">
        <v>312</v>
      </c>
      <c r="G50">
        <v>10</v>
      </c>
    </row>
    <row r="51" spans="1:7">
      <c r="A51" t="str">
        <f t="shared" si="0"/>
        <v>Beethovenstraat 11</v>
      </c>
      <c r="B51" t="s">
        <v>311</v>
      </c>
      <c r="C51" t="s">
        <v>296</v>
      </c>
      <c r="D51">
        <v>1988</v>
      </c>
      <c r="E51">
        <v>136</v>
      </c>
      <c r="F51" t="s">
        <v>312</v>
      </c>
      <c r="G51">
        <v>11</v>
      </c>
    </row>
    <row r="52" spans="1:7">
      <c r="A52" t="str">
        <f t="shared" si="0"/>
        <v>Beethovenstraat 13</v>
      </c>
      <c r="B52" t="s">
        <v>311</v>
      </c>
      <c r="C52" t="s">
        <v>296</v>
      </c>
      <c r="D52">
        <v>1988</v>
      </c>
      <c r="E52">
        <v>134</v>
      </c>
      <c r="F52" t="s">
        <v>312</v>
      </c>
      <c r="G52">
        <v>13</v>
      </c>
    </row>
    <row r="53" spans="1:7">
      <c r="A53" t="str">
        <f t="shared" si="0"/>
        <v>Beethovenstraat 15</v>
      </c>
      <c r="B53" t="s">
        <v>311</v>
      </c>
      <c r="C53" t="s">
        <v>296</v>
      </c>
      <c r="D53">
        <v>1988</v>
      </c>
      <c r="E53">
        <v>123</v>
      </c>
      <c r="F53" t="s">
        <v>312</v>
      </c>
      <c r="G53">
        <v>15</v>
      </c>
    </row>
    <row r="54" spans="1:7">
      <c r="A54" t="str">
        <f t="shared" si="0"/>
        <v>Begijnenhof 1</v>
      </c>
      <c r="B54" t="s">
        <v>314</v>
      </c>
      <c r="C54" t="s">
        <v>296</v>
      </c>
      <c r="D54">
        <v>1977</v>
      </c>
      <c r="E54">
        <v>184</v>
      </c>
      <c r="F54" t="s">
        <v>315</v>
      </c>
      <c r="G54">
        <v>1</v>
      </c>
    </row>
    <row r="55" spans="1:7">
      <c r="A55" t="str">
        <f t="shared" si="0"/>
        <v>Begijnenhof 2</v>
      </c>
      <c r="B55" t="s">
        <v>314</v>
      </c>
      <c r="C55" t="s">
        <v>296</v>
      </c>
      <c r="D55">
        <v>1977</v>
      </c>
      <c r="E55">
        <v>169</v>
      </c>
      <c r="F55" t="s">
        <v>315</v>
      </c>
      <c r="G55">
        <v>2</v>
      </c>
    </row>
    <row r="56" spans="1:7">
      <c r="A56" t="str">
        <f t="shared" si="0"/>
        <v>Begijnenhof 3</v>
      </c>
      <c r="B56" t="s">
        <v>314</v>
      </c>
      <c r="C56" t="s">
        <v>296</v>
      </c>
      <c r="D56">
        <v>1977</v>
      </c>
      <c r="E56">
        <v>168</v>
      </c>
      <c r="F56" t="s">
        <v>315</v>
      </c>
      <c r="G56">
        <v>3</v>
      </c>
    </row>
    <row r="57" spans="1:7">
      <c r="A57" t="str">
        <f t="shared" si="0"/>
        <v>Begijnenhof 4</v>
      </c>
      <c r="B57" t="s">
        <v>314</v>
      </c>
      <c r="C57" t="s">
        <v>296</v>
      </c>
      <c r="D57">
        <v>1977</v>
      </c>
      <c r="E57">
        <v>165</v>
      </c>
      <c r="F57" t="s">
        <v>315</v>
      </c>
      <c r="G57">
        <v>4</v>
      </c>
    </row>
    <row r="58" spans="1:7">
      <c r="A58" t="str">
        <f t="shared" si="0"/>
        <v>Begijnenhof 5</v>
      </c>
      <c r="B58" t="s">
        <v>314</v>
      </c>
      <c r="C58" t="s">
        <v>296</v>
      </c>
      <c r="D58">
        <v>1977</v>
      </c>
      <c r="E58">
        <v>168</v>
      </c>
      <c r="F58" t="s">
        <v>315</v>
      </c>
      <c r="G58">
        <v>5</v>
      </c>
    </row>
    <row r="59" spans="1:7">
      <c r="A59" t="str">
        <f t="shared" si="0"/>
        <v>Begijnenhof 6</v>
      </c>
      <c r="B59" t="s">
        <v>314</v>
      </c>
      <c r="C59" t="s">
        <v>296</v>
      </c>
      <c r="D59">
        <v>1977</v>
      </c>
      <c r="E59">
        <v>152</v>
      </c>
      <c r="F59" t="s">
        <v>315</v>
      </c>
      <c r="G59">
        <v>6</v>
      </c>
    </row>
    <row r="60" spans="1:7">
      <c r="A60" t="str">
        <f t="shared" si="0"/>
        <v>Begijnenhof 7</v>
      </c>
      <c r="B60" t="s">
        <v>314</v>
      </c>
      <c r="C60" t="s">
        <v>296</v>
      </c>
      <c r="D60">
        <v>1977</v>
      </c>
      <c r="E60">
        <v>167</v>
      </c>
      <c r="F60" t="s">
        <v>315</v>
      </c>
      <c r="G60">
        <v>7</v>
      </c>
    </row>
    <row r="61" spans="1:7">
      <c r="A61" t="str">
        <f t="shared" si="0"/>
        <v>Begijnenhof 8</v>
      </c>
      <c r="B61" t="s">
        <v>314</v>
      </c>
      <c r="C61" t="s">
        <v>296</v>
      </c>
      <c r="D61">
        <v>1977</v>
      </c>
      <c r="E61">
        <v>139</v>
      </c>
      <c r="F61" t="s">
        <v>315</v>
      </c>
      <c r="G61">
        <v>8</v>
      </c>
    </row>
    <row r="62" spans="1:7">
      <c r="A62" t="str">
        <f t="shared" si="0"/>
        <v>Begijnenhof 9</v>
      </c>
      <c r="B62" t="s">
        <v>314</v>
      </c>
      <c r="C62" t="s">
        <v>296</v>
      </c>
      <c r="D62">
        <v>1977</v>
      </c>
      <c r="E62">
        <v>167</v>
      </c>
      <c r="F62" t="s">
        <v>315</v>
      </c>
      <c r="G62">
        <v>9</v>
      </c>
    </row>
    <row r="63" spans="1:7">
      <c r="A63" t="str">
        <f t="shared" si="0"/>
        <v>Begijnenhof 10</v>
      </c>
      <c r="B63" t="s">
        <v>314</v>
      </c>
      <c r="C63" t="s">
        <v>296</v>
      </c>
      <c r="D63">
        <v>1977</v>
      </c>
      <c r="E63">
        <v>126</v>
      </c>
      <c r="F63" t="s">
        <v>315</v>
      </c>
      <c r="G63">
        <v>10</v>
      </c>
    </row>
    <row r="64" spans="1:7">
      <c r="A64" t="str">
        <f t="shared" si="0"/>
        <v>Begijnenhof 11</v>
      </c>
      <c r="B64" t="s">
        <v>314</v>
      </c>
      <c r="C64" t="s">
        <v>296</v>
      </c>
      <c r="D64">
        <v>1977</v>
      </c>
      <c r="E64">
        <v>167</v>
      </c>
      <c r="F64" t="s">
        <v>315</v>
      </c>
      <c r="G64">
        <v>11</v>
      </c>
    </row>
    <row r="65" spans="1:8">
      <c r="A65" t="str">
        <f t="shared" si="0"/>
        <v>Begijnenhof 12</v>
      </c>
      <c r="B65" t="s">
        <v>314</v>
      </c>
      <c r="C65" t="s">
        <v>296</v>
      </c>
      <c r="D65">
        <v>1977</v>
      </c>
      <c r="E65">
        <v>134</v>
      </c>
      <c r="F65" t="s">
        <v>315</v>
      </c>
      <c r="G65">
        <v>12</v>
      </c>
    </row>
    <row r="66" spans="1:8">
      <c r="A66" t="str">
        <f t="shared" ref="A66:A129" si="1">CONCATENATE(F66," ",G66,H66)</f>
        <v>Begijnenhof 13</v>
      </c>
      <c r="B66" t="s">
        <v>314</v>
      </c>
      <c r="C66" t="s">
        <v>296</v>
      </c>
      <c r="D66">
        <v>1977</v>
      </c>
      <c r="E66">
        <v>167</v>
      </c>
      <c r="F66" t="s">
        <v>315</v>
      </c>
      <c r="G66">
        <v>13</v>
      </c>
    </row>
    <row r="67" spans="1:8">
      <c r="A67" t="str">
        <f t="shared" si="1"/>
        <v>Begijnenhof 14</v>
      </c>
      <c r="B67" t="s">
        <v>314</v>
      </c>
      <c r="C67" t="s">
        <v>296</v>
      </c>
      <c r="D67">
        <v>1977</v>
      </c>
      <c r="E67">
        <v>200</v>
      </c>
      <c r="F67" t="s">
        <v>315</v>
      </c>
      <c r="G67">
        <v>14</v>
      </c>
    </row>
    <row r="68" spans="1:8">
      <c r="A68" t="str">
        <f t="shared" si="1"/>
        <v>Begijnenhof 15</v>
      </c>
      <c r="B68" t="s">
        <v>314</v>
      </c>
      <c r="C68" t="s">
        <v>296</v>
      </c>
      <c r="D68">
        <v>1977</v>
      </c>
      <c r="E68">
        <v>218</v>
      </c>
      <c r="F68" t="s">
        <v>315</v>
      </c>
      <c r="G68">
        <v>15</v>
      </c>
    </row>
    <row r="69" spans="1:8">
      <c r="A69" t="str">
        <f t="shared" si="1"/>
        <v>Begijnenhof 16</v>
      </c>
      <c r="B69" t="s">
        <v>314</v>
      </c>
      <c r="C69" t="s">
        <v>296</v>
      </c>
      <c r="D69">
        <v>1977</v>
      </c>
      <c r="E69">
        <v>172</v>
      </c>
      <c r="F69" t="s">
        <v>315</v>
      </c>
      <c r="G69">
        <v>16</v>
      </c>
    </row>
    <row r="70" spans="1:8">
      <c r="A70" t="str">
        <f t="shared" si="1"/>
        <v>Begijnenhof 18</v>
      </c>
      <c r="B70" t="s">
        <v>314</v>
      </c>
      <c r="C70" t="s">
        <v>296</v>
      </c>
      <c r="D70">
        <v>1977</v>
      </c>
      <c r="E70">
        <v>137</v>
      </c>
      <c r="F70" t="s">
        <v>315</v>
      </c>
      <c r="G70">
        <v>18</v>
      </c>
    </row>
    <row r="71" spans="1:8">
      <c r="A71" t="str">
        <f t="shared" si="1"/>
        <v>Begijnenhof 20</v>
      </c>
      <c r="B71" t="s">
        <v>314</v>
      </c>
      <c r="C71" t="s">
        <v>296</v>
      </c>
      <c r="D71">
        <v>1977</v>
      </c>
      <c r="E71">
        <v>133</v>
      </c>
      <c r="F71" t="s">
        <v>315</v>
      </c>
      <c r="G71">
        <v>20</v>
      </c>
    </row>
    <row r="72" spans="1:8">
      <c r="A72" t="str">
        <f t="shared" si="1"/>
        <v>Begijnenhof 22</v>
      </c>
      <c r="B72" t="s">
        <v>314</v>
      </c>
      <c r="C72" t="s">
        <v>296</v>
      </c>
      <c r="D72">
        <v>1977</v>
      </c>
      <c r="E72">
        <v>144</v>
      </c>
      <c r="F72" t="s">
        <v>315</v>
      </c>
      <c r="G72">
        <v>22</v>
      </c>
    </row>
    <row r="73" spans="1:8">
      <c r="A73" t="str">
        <f t="shared" si="1"/>
        <v>Begijnenhof 24a</v>
      </c>
      <c r="B73" t="s">
        <v>314</v>
      </c>
      <c r="C73" t="s">
        <v>296</v>
      </c>
      <c r="D73">
        <v>1972</v>
      </c>
      <c r="E73">
        <v>18</v>
      </c>
      <c r="F73" t="s">
        <v>315</v>
      </c>
      <c r="G73">
        <v>24</v>
      </c>
      <c r="H73" t="s">
        <v>304</v>
      </c>
    </row>
    <row r="74" spans="1:8">
      <c r="A74" t="str">
        <f t="shared" si="1"/>
        <v>Begijnenhof 24</v>
      </c>
      <c r="B74" t="s">
        <v>314</v>
      </c>
      <c r="C74" t="s">
        <v>296</v>
      </c>
      <c r="D74">
        <v>1977</v>
      </c>
      <c r="E74">
        <v>172</v>
      </c>
      <c r="F74" t="s">
        <v>315</v>
      </c>
      <c r="G74">
        <v>24</v>
      </c>
    </row>
    <row r="75" spans="1:8">
      <c r="A75" t="str">
        <f t="shared" si="1"/>
        <v>Begijnenhof 26</v>
      </c>
      <c r="B75" t="s">
        <v>314</v>
      </c>
      <c r="C75" t="s">
        <v>296</v>
      </c>
      <c r="D75">
        <v>1977</v>
      </c>
      <c r="E75">
        <v>135</v>
      </c>
      <c r="F75" t="s">
        <v>315</v>
      </c>
      <c r="G75">
        <v>26</v>
      </c>
    </row>
    <row r="76" spans="1:8">
      <c r="A76" t="str">
        <f t="shared" si="1"/>
        <v>Begijnenhof 28</v>
      </c>
      <c r="B76" t="s">
        <v>314</v>
      </c>
      <c r="C76" t="s">
        <v>296</v>
      </c>
      <c r="D76">
        <v>1977</v>
      </c>
      <c r="E76">
        <v>134</v>
      </c>
      <c r="F76" t="s">
        <v>315</v>
      </c>
      <c r="G76">
        <v>28</v>
      </c>
    </row>
    <row r="77" spans="1:8">
      <c r="A77" t="str">
        <f t="shared" si="1"/>
        <v>Begijnenhof 30</v>
      </c>
      <c r="B77" t="s">
        <v>316</v>
      </c>
      <c r="C77" t="s">
        <v>296</v>
      </c>
      <c r="D77">
        <v>1977</v>
      </c>
      <c r="E77">
        <v>132</v>
      </c>
      <c r="F77" t="s">
        <v>315</v>
      </c>
      <c r="G77">
        <v>30</v>
      </c>
    </row>
    <row r="78" spans="1:8">
      <c r="A78" t="str">
        <f t="shared" si="1"/>
        <v>Begijnenhof 32</v>
      </c>
      <c r="B78" t="s">
        <v>316</v>
      </c>
      <c r="C78" t="s">
        <v>296</v>
      </c>
      <c r="D78">
        <v>1977</v>
      </c>
      <c r="E78">
        <v>188</v>
      </c>
      <c r="F78" t="s">
        <v>315</v>
      </c>
      <c r="G78">
        <v>32</v>
      </c>
    </row>
    <row r="79" spans="1:8">
      <c r="A79" t="str">
        <f t="shared" si="1"/>
        <v>Berkenhof 2</v>
      </c>
      <c r="B79" t="s">
        <v>317</v>
      </c>
      <c r="C79" t="s">
        <v>296</v>
      </c>
      <c r="D79">
        <v>1969</v>
      </c>
      <c r="E79">
        <v>133</v>
      </c>
      <c r="F79" t="s">
        <v>318</v>
      </c>
      <c r="G79">
        <v>2</v>
      </c>
    </row>
    <row r="80" spans="1:8">
      <c r="A80" t="str">
        <f t="shared" si="1"/>
        <v>Berkenhof 4</v>
      </c>
      <c r="B80" t="s">
        <v>317</v>
      </c>
      <c r="C80" t="s">
        <v>296</v>
      </c>
      <c r="D80">
        <v>1969</v>
      </c>
      <c r="E80">
        <v>132</v>
      </c>
      <c r="F80" t="s">
        <v>318</v>
      </c>
      <c r="G80">
        <v>4</v>
      </c>
    </row>
    <row r="81" spans="1:8">
      <c r="A81" t="str">
        <f t="shared" si="1"/>
        <v>Berkenhof 6a</v>
      </c>
      <c r="B81" t="s">
        <v>317</v>
      </c>
      <c r="C81" t="s">
        <v>296</v>
      </c>
      <c r="D81">
        <v>1972</v>
      </c>
      <c r="E81">
        <v>19</v>
      </c>
      <c r="F81" t="s">
        <v>318</v>
      </c>
      <c r="G81">
        <v>6</v>
      </c>
      <c r="H81" t="s">
        <v>304</v>
      </c>
    </row>
    <row r="82" spans="1:8">
      <c r="A82" t="str">
        <f t="shared" si="1"/>
        <v>Berkenhof 6b</v>
      </c>
      <c r="B82" t="s">
        <v>317</v>
      </c>
      <c r="C82" t="s">
        <v>296</v>
      </c>
      <c r="D82">
        <v>1972</v>
      </c>
      <c r="E82">
        <v>17</v>
      </c>
      <c r="F82" t="s">
        <v>318</v>
      </c>
      <c r="G82">
        <v>6</v>
      </c>
      <c r="H82" t="s">
        <v>298</v>
      </c>
    </row>
    <row r="83" spans="1:8">
      <c r="A83" t="str">
        <f t="shared" si="1"/>
        <v>Berkenhof 6c</v>
      </c>
      <c r="B83" t="s">
        <v>317</v>
      </c>
      <c r="C83" t="s">
        <v>296</v>
      </c>
      <c r="D83">
        <v>1972</v>
      </c>
      <c r="E83">
        <v>19</v>
      </c>
      <c r="F83" t="s">
        <v>318</v>
      </c>
      <c r="G83">
        <v>6</v>
      </c>
      <c r="H83" t="s">
        <v>299</v>
      </c>
    </row>
    <row r="84" spans="1:8">
      <c r="A84" t="str">
        <f t="shared" si="1"/>
        <v>Berkenhof 6d</v>
      </c>
      <c r="B84" t="s">
        <v>317</v>
      </c>
      <c r="C84" t="s">
        <v>296</v>
      </c>
      <c r="D84">
        <v>1972</v>
      </c>
      <c r="E84">
        <v>18</v>
      </c>
      <c r="F84" t="s">
        <v>318</v>
      </c>
      <c r="G84">
        <v>6</v>
      </c>
      <c r="H84" t="s">
        <v>300</v>
      </c>
    </row>
    <row r="85" spans="1:8">
      <c r="A85" t="str">
        <f t="shared" si="1"/>
        <v>Berkenhof 6e</v>
      </c>
      <c r="B85" t="s">
        <v>317</v>
      </c>
      <c r="C85" t="s">
        <v>296</v>
      </c>
      <c r="D85">
        <v>1970</v>
      </c>
      <c r="E85">
        <v>12</v>
      </c>
      <c r="F85" t="s">
        <v>318</v>
      </c>
      <c r="G85">
        <v>6</v>
      </c>
      <c r="H85" t="s">
        <v>319</v>
      </c>
    </row>
    <row r="86" spans="1:8">
      <c r="A86" t="str">
        <f t="shared" si="1"/>
        <v>Berkenhof 6</v>
      </c>
      <c r="B86" t="s">
        <v>317</v>
      </c>
      <c r="C86" t="s">
        <v>296</v>
      </c>
      <c r="D86">
        <v>1969</v>
      </c>
      <c r="E86">
        <v>132</v>
      </c>
      <c r="F86" t="s">
        <v>318</v>
      </c>
      <c r="G86">
        <v>6</v>
      </c>
    </row>
    <row r="87" spans="1:8">
      <c r="A87" t="str">
        <f t="shared" si="1"/>
        <v>Berkenhof 8</v>
      </c>
      <c r="B87" t="s">
        <v>317</v>
      </c>
      <c r="C87" t="s">
        <v>296</v>
      </c>
      <c r="D87">
        <v>1970</v>
      </c>
      <c r="E87">
        <v>98</v>
      </c>
      <c r="F87" t="s">
        <v>318</v>
      </c>
      <c r="G87">
        <v>8</v>
      </c>
    </row>
    <row r="88" spans="1:8">
      <c r="A88" t="str">
        <f t="shared" si="1"/>
        <v>Berkenhof 10</v>
      </c>
      <c r="B88" t="s">
        <v>317</v>
      </c>
      <c r="C88" t="s">
        <v>296</v>
      </c>
      <c r="D88">
        <v>1970</v>
      </c>
      <c r="E88">
        <v>98</v>
      </c>
      <c r="F88" t="s">
        <v>318</v>
      </c>
      <c r="G88">
        <v>10</v>
      </c>
    </row>
    <row r="89" spans="1:8">
      <c r="A89" t="str">
        <f t="shared" si="1"/>
        <v>Berkenhof 12</v>
      </c>
      <c r="B89" t="s">
        <v>317</v>
      </c>
      <c r="C89" t="s">
        <v>296</v>
      </c>
      <c r="D89">
        <v>1970</v>
      </c>
      <c r="E89">
        <v>99</v>
      </c>
      <c r="F89" t="s">
        <v>318</v>
      </c>
      <c r="G89">
        <v>12</v>
      </c>
    </row>
    <row r="90" spans="1:8">
      <c r="A90" t="str">
        <f t="shared" si="1"/>
        <v>Berkenhof 14</v>
      </c>
      <c r="B90" t="s">
        <v>317</v>
      </c>
      <c r="C90" t="s">
        <v>296</v>
      </c>
      <c r="D90">
        <v>1970</v>
      </c>
      <c r="E90">
        <v>98</v>
      </c>
      <c r="F90" t="s">
        <v>318</v>
      </c>
      <c r="G90">
        <v>14</v>
      </c>
    </row>
    <row r="91" spans="1:8">
      <c r="A91" t="str">
        <f t="shared" si="1"/>
        <v>Berkenhof 16</v>
      </c>
      <c r="B91" t="s">
        <v>317</v>
      </c>
      <c r="C91" t="s">
        <v>296</v>
      </c>
      <c r="D91">
        <v>1970</v>
      </c>
      <c r="E91">
        <v>97</v>
      </c>
      <c r="F91" t="s">
        <v>318</v>
      </c>
      <c r="G91">
        <v>16</v>
      </c>
    </row>
    <row r="92" spans="1:8">
      <c r="A92" t="str">
        <f t="shared" si="1"/>
        <v>Berkenhof 18</v>
      </c>
      <c r="B92" t="s">
        <v>317</v>
      </c>
      <c r="C92" t="s">
        <v>296</v>
      </c>
      <c r="D92">
        <v>1970</v>
      </c>
      <c r="E92">
        <v>98</v>
      </c>
      <c r="F92" t="s">
        <v>318</v>
      </c>
      <c r="G92">
        <v>18</v>
      </c>
    </row>
    <row r="93" spans="1:8">
      <c r="A93" t="str">
        <f t="shared" si="1"/>
        <v>Berkenhof 20</v>
      </c>
      <c r="B93" t="s">
        <v>317</v>
      </c>
      <c r="C93" t="s">
        <v>296</v>
      </c>
      <c r="D93">
        <v>1970</v>
      </c>
      <c r="E93">
        <v>98</v>
      </c>
      <c r="F93" t="s">
        <v>318</v>
      </c>
      <c r="G93">
        <v>20</v>
      </c>
    </row>
    <row r="94" spans="1:8">
      <c r="A94" t="str">
        <f t="shared" si="1"/>
        <v>Beukenlaan 4a</v>
      </c>
      <c r="B94" t="s">
        <v>320</v>
      </c>
      <c r="C94" t="s">
        <v>296</v>
      </c>
      <c r="D94">
        <v>1972</v>
      </c>
      <c r="E94">
        <v>21</v>
      </c>
      <c r="F94" t="s">
        <v>321</v>
      </c>
      <c r="G94">
        <v>4</v>
      </c>
      <c r="H94" t="s">
        <v>304</v>
      </c>
    </row>
    <row r="95" spans="1:8">
      <c r="A95" t="str">
        <f t="shared" si="1"/>
        <v>Beukenlaan 4b</v>
      </c>
      <c r="B95" t="s">
        <v>320</v>
      </c>
      <c r="C95" t="s">
        <v>296</v>
      </c>
      <c r="D95">
        <v>1972</v>
      </c>
      <c r="E95">
        <v>19</v>
      </c>
      <c r="F95" t="s">
        <v>321</v>
      </c>
      <c r="G95">
        <v>4</v>
      </c>
      <c r="H95" t="s">
        <v>298</v>
      </c>
    </row>
    <row r="96" spans="1:8">
      <c r="A96" t="str">
        <f t="shared" si="1"/>
        <v>Beukenlaan 4c</v>
      </c>
      <c r="B96" t="s">
        <v>320</v>
      </c>
      <c r="C96" t="s">
        <v>296</v>
      </c>
      <c r="D96">
        <v>1972</v>
      </c>
      <c r="E96">
        <v>18</v>
      </c>
      <c r="F96" t="s">
        <v>321</v>
      </c>
      <c r="G96">
        <v>4</v>
      </c>
      <c r="H96" t="s">
        <v>299</v>
      </c>
    </row>
    <row r="97" spans="1:8">
      <c r="A97" t="str">
        <f t="shared" si="1"/>
        <v>Beukenlaan 4d</v>
      </c>
      <c r="B97" t="s">
        <v>320</v>
      </c>
      <c r="C97" t="s">
        <v>296</v>
      </c>
      <c r="D97">
        <v>1972</v>
      </c>
      <c r="E97">
        <v>22</v>
      </c>
      <c r="F97" t="s">
        <v>321</v>
      </c>
      <c r="G97">
        <v>4</v>
      </c>
      <c r="H97" t="s">
        <v>300</v>
      </c>
    </row>
    <row r="98" spans="1:8">
      <c r="A98" t="str">
        <f t="shared" si="1"/>
        <v>Beukenlaan 4</v>
      </c>
      <c r="B98" t="s">
        <v>320</v>
      </c>
      <c r="C98" t="s">
        <v>296</v>
      </c>
      <c r="D98">
        <v>1977</v>
      </c>
      <c r="E98">
        <v>145</v>
      </c>
      <c r="F98" t="s">
        <v>321</v>
      </c>
      <c r="G98">
        <v>4</v>
      </c>
    </row>
    <row r="99" spans="1:8">
      <c r="A99" t="str">
        <f t="shared" si="1"/>
        <v>Beukenlaan 6</v>
      </c>
      <c r="B99" t="s">
        <v>320</v>
      </c>
      <c r="C99" t="s">
        <v>296</v>
      </c>
      <c r="D99">
        <v>1977</v>
      </c>
      <c r="E99">
        <v>141</v>
      </c>
      <c r="F99" t="s">
        <v>321</v>
      </c>
      <c r="G99">
        <v>6</v>
      </c>
    </row>
    <row r="100" spans="1:8">
      <c r="A100" t="str">
        <f t="shared" si="1"/>
        <v>Beukenlaan 8</v>
      </c>
      <c r="B100" t="s">
        <v>320</v>
      </c>
      <c r="C100" t="s">
        <v>296</v>
      </c>
      <c r="D100">
        <v>1977</v>
      </c>
      <c r="E100">
        <v>161</v>
      </c>
      <c r="F100" t="s">
        <v>321</v>
      </c>
      <c r="G100">
        <v>8</v>
      </c>
    </row>
    <row r="101" spans="1:8">
      <c r="A101" t="str">
        <f t="shared" si="1"/>
        <v>Beukenlaan 10</v>
      </c>
      <c r="B101" t="s">
        <v>320</v>
      </c>
      <c r="C101" t="s">
        <v>296</v>
      </c>
      <c r="D101">
        <v>1977</v>
      </c>
      <c r="E101">
        <v>154</v>
      </c>
      <c r="F101" t="s">
        <v>321</v>
      </c>
      <c r="G101">
        <v>10</v>
      </c>
    </row>
    <row r="102" spans="1:8">
      <c r="A102" t="str">
        <f t="shared" si="1"/>
        <v>Beukenlaan 12</v>
      </c>
      <c r="B102" t="s">
        <v>320</v>
      </c>
      <c r="C102" t="s">
        <v>296</v>
      </c>
      <c r="D102">
        <v>1977</v>
      </c>
      <c r="E102">
        <v>142</v>
      </c>
      <c r="F102" t="s">
        <v>321</v>
      </c>
      <c r="G102">
        <v>12</v>
      </c>
    </row>
    <row r="103" spans="1:8">
      <c r="A103" t="str">
        <f t="shared" si="1"/>
        <v>Beukenlaan 14</v>
      </c>
      <c r="B103" t="s">
        <v>320</v>
      </c>
      <c r="C103" t="s">
        <v>296</v>
      </c>
      <c r="D103">
        <v>1977</v>
      </c>
      <c r="E103">
        <v>144</v>
      </c>
      <c r="F103" t="s">
        <v>321</v>
      </c>
      <c r="G103">
        <v>14</v>
      </c>
    </row>
    <row r="104" spans="1:8">
      <c r="A104" t="str">
        <f t="shared" si="1"/>
        <v>Beukenlaan 16</v>
      </c>
      <c r="B104" t="s">
        <v>320</v>
      </c>
      <c r="C104" t="s">
        <v>296</v>
      </c>
      <c r="D104">
        <v>1977</v>
      </c>
      <c r="E104">
        <v>151</v>
      </c>
      <c r="F104" t="s">
        <v>321</v>
      </c>
      <c r="G104">
        <v>16</v>
      </c>
    </row>
    <row r="105" spans="1:8">
      <c r="A105" t="str">
        <f t="shared" si="1"/>
        <v>Beukenlaan 18</v>
      </c>
      <c r="B105" t="s">
        <v>320</v>
      </c>
      <c r="C105" t="s">
        <v>296</v>
      </c>
      <c r="D105">
        <v>1977</v>
      </c>
      <c r="E105">
        <v>160</v>
      </c>
      <c r="F105" t="s">
        <v>321</v>
      </c>
      <c r="G105">
        <v>18</v>
      </c>
    </row>
    <row r="106" spans="1:8">
      <c r="A106" t="str">
        <f t="shared" si="1"/>
        <v>Beukenlaan 20</v>
      </c>
      <c r="B106" t="s">
        <v>320</v>
      </c>
      <c r="C106" t="s">
        <v>296</v>
      </c>
      <c r="D106">
        <v>1977</v>
      </c>
      <c r="E106">
        <v>140</v>
      </c>
      <c r="F106" t="s">
        <v>321</v>
      </c>
      <c r="G106">
        <v>20</v>
      </c>
    </row>
    <row r="107" spans="1:8">
      <c r="A107" t="str">
        <f t="shared" si="1"/>
        <v>Beukenlaan 22</v>
      </c>
      <c r="B107" t="s">
        <v>320</v>
      </c>
      <c r="C107" t="s">
        <v>296</v>
      </c>
      <c r="D107">
        <v>1977</v>
      </c>
      <c r="E107">
        <v>148</v>
      </c>
      <c r="F107" t="s">
        <v>321</v>
      </c>
      <c r="G107">
        <v>22</v>
      </c>
    </row>
    <row r="108" spans="1:8">
      <c r="A108" t="str">
        <f t="shared" si="1"/>
        <v>Beukenlaan 24</v>
      </c>
      <c r="B108" t="s">
        <v>320</v>
      </c>
      <c r="C108" t="s">
        <v>296</v>
      </c>
      <c r="D108">
        <v>1977</v>
      </c>
      <c r="E108">
        <v>140</v>
      </c>
      <c r="F108" t="s">
        <v>321</v>
      </c>
      <c r="G108">
        <v>24</v>
      </c>
    </row>
    <row r="109" spans="1:8">
      <c r="A109" t="str">
        <f t="shared" si="1"/>
        <v>Beukenlaan 25</v>
      </c>
      <c r="B109" t="s">
        <v>322</v>
      </c>
      <c r="C109" t="s">
        <v>296</v>
      </c>
      <c r="D109">
        <v>1960</v>
      </c>
      <c r="E109">
        <v>173</v>
      </c>
      <c r="F109" t="s">
        <v>321</v>
      </c>
      <c r="G109">
        <v>25</v>
      </c>
    </row>
    <row r="110" spans="1:8">
      <c r="A110" t="str">
        <f t="shared" si="1"/>
        <v>Beukenlaan 26</v>
      </c>
      <c r="B110" t="s">
        <v>320</v>
      </c>
      <c r="C110" t="s">
        <v>296</v>
      </c>
      <c r="D110">
        <v>1977</v>
      </c>
      <c r="E110">
        <v>144</v>
      </c>
      <c r="F110" t="s">
        <v>321</v>
      </c>
      <c r="G110">
        <v>26</v>
      </c>
    </row>
    <row r="111" spans="1:8">
      <c r="A111" t="str">
        <f t="shared" si="1"/>
        <v>Beukenlaan 27</v>
      </c>
      <c r="B111" t="s">
        <v>322</v>
      </c>
      <c r="C111" t="s">
        <v>296</v>
      </c>
      <c r="D111">
        <v>1964</v>
      </c>
      <c r="E111">
        <v>253</v>
      </c>
      <c r="F111" t="s">
        <v>321</v>
      </c>
      <c r="G111">
        <v>27</v>
      </c>
    </row>
    <row r="112" spans="1:8">
      <c r="A112" t="str">
        <f t="shared" si="1"/>
        <v>Beukenlaan 28</v>
      </c>
      <c r="B112" t="s">
        <v>320</v>
      </c>
      <c r="C112" t="s">
        <v>296</v>
      </c>
      <c r="D112">
        <v>1977</v>
      </c>
      <c r="E112">
        <v>140</v>
      </c>
      <c r="F112" t="s">
        <v>321</v>
      </c>
      <c r="G112">
        <v>28</v>
      </c>
    </row>
    <row r="113" spans="1:8">
      <c r="A113" t="str">
        <f t="shared" si="1"/>
        <v>Beukenlaan 30</v>
      </c>
      <c r="B113" t="s">
        <v>320</v>
      </c>
      <c r="C113" t="s">
        <v>296</v>
      </c>
      <c r="D113">
        <v>1977</v>
      </c>
      <c r="E113">
        <v>142</v>
      </c>
      <c r="F113" t="s">
        <v>321</v>
      </c>
      <c r="G113">
        <v>30</v>
      </c>
    </row>
    <row r="114" spans="1:8">
      <c r="A114" t="str">
        <f t="shared" si="1"/>
        <v>Beukenlaan 32</v>
      </c>
      <c r="B114" t="s">
        <v>320</v>
      </c>
      <c r="C114" t="s">
        <v>296</v>
      </c>
      <c r="D114">
        <v>1976</v>
      </c>
      <c r="E114">
        <v>259</v>
      </c>
      <c r="F114" t="s">
        <v>321</v>
      </c>
      <c r="G114">
        <v>32</v>
      </c>
    </row>
    <row r="115" spans="1:8">
      <c r="A115" t="str">
        <f t="shared" si="1"/>
        <v>Beukenlaan 34</v>
      </c>
      <c r="B115" t="s">
        <v>320</v>
      </c>
      <c r="C115" t="s">
        <v>296</v>
      </c>
      <c r="D115">
        <v>1973</v>
      </c>
      <c r="E115">
        <v>304</v>
      </c>
      <c r="F115" t="s">
        <v>321</v>
      </c>
      <c r="G115">
        <v>34</v>
      </c>
    </row>
    <row r="116" spans="1:8">
      <c r="A116" t="str">
        <f t="shared" si="1"/>
        <v>Beukenlaan 36</v>
      </c>
      <c r="B116" t="s">
        <v>320</v>
      </c>
      <c r="C116" t="s">
        <v>296</v>
      </c>
      <c r="D116">
        <v>1975</v>
      </c>
      <c r="E116">
        <v>155</v>
      </c>
      <c r="F116" t="s">
        <v>321</v>
      </c>
      <c r="G116">
        <v>36</v>
      </c>
    </row>
    <row r="117" spans="1:8">
      <c r="A117" t="str">
        <f t="shared" si="1"/>
        <v>Beukenlaan 38</v>
      </c>
      <c r="B117" t="s">
        <v>320</v>
      </c>
      <c r="C117" t="s">
        <v>296</v>
      </c>
      <c r="D117">
        <v>1975</v>
      </c>
      <c r="E117">
        <v>200</v>
      </c>
      <c r="F117" t="s">
        <v>321</v>
      </c>
      <c r="G117">
        <v>38</v>
      </c>
    </row>
    <row r="118" spans="1:8">
      <c r="A118" t="str">
        <f t="shared" si="1"/>
        <v>Bisseltsebaan 6a</v>
      </c>
      <c r="B118" t="s">
        <v>323</v>
      </c>
      <c r="C118" t="s">
        <v>306</v>
      </c>
      <c r="D118">
        <v>1911</v>
      </c>
      <c r="E118">
        <v>155</v>
      </c>
      <c r="F118" t="s">
        <v>324</v>
      </c>
      <c r="G118">
        <v>6</v>
      </c>
      <c r="H118" t="s">
        <v>304</v>
      </c>
    </row>
    <row r="119" spans="1:8">
      <c r="A119" t="str">
        <f t="shared" si="1"/>
        <v>Bisseltsebaan 6</v>
      </c>
      <c r="B119" t="s">
        <v>323</v>
      </c>
      <c r="C119" t="s">
        <v>306</v>
      </c>
      <c r="D119">
        <v>1911</v>
      </c>
      <c r="E119">
        <v>180</v>
      </c>
      <c r="F119" t="s">
        <v>324</v>
      </c>
      <c r="G119">
        <v>6</v>
      </c>
    </row>
    <row r="120" spans="1:8">
      <c r="A120" t="str">
        <f t="shared" si="1"/>
        <v>Bisseltsebaan 8</v>
      </c>
      <c r="B120" t="s">
        <v>323</v>
      </c>
      <c r="C120" t="s">
        <v>306</v>
      </c>
      <c r="D120">
        <v>1967</v>
      </c>
      <c r="E120">
        <v>124</v>
      </c>
      <c r="F120" t="s">
        <v>324</v>
      </c>
      <c r="G120">
        <v>8</v>
      </c>
    </row>
    <row r="121" spans="1:8">
      <c r="A121" t="str">
        <f t="shared" si="1"/>
        <v>Bisseltsebaan 10</v>
      </c>
      <c r="B121" t="s">
        <v>323</v>
      </c>
      <c r="C121" t="s">
        <v>306</v>
      </c>
      <c r="D121">
        <v>1967</v>
      </c>
      <c r="E121">
        <v>157</v>
      </c>
      <c r="F121" t="s">
        <v>324</v>
      </c>
      <c r="G121">
        <v>10</v>
      </c>
    </row>
    <row r="122" spans="1:8">
      <c r="A122" t="str">
        <f t="shared" si="1"/>
        <v>Bisseltsebaan 14</v>
      </c>
      <c r="B122" t="s">
        <v>323</v>
      </c>
      <c r="C122" t="s">
        <v>306</v>
      </c>
      <c r="D122">
        <v>1944</v>
      </c>
      <c r="E122">
        <v>272</v>
      </c>
      <c r="F122" t="s">
        <v>324</v>
      </c>
      <c r="G122">
        <v>14</v>
      </c>
    </row>
    <row r="123" spans="1:8">
      <c r="A123" t="str">
        <f t="shared" si="1"/>
        <v>Bisseltsebaan 16</v>
      </c>
      <c r="B123" t="s">
        <v>323</v>
      </c>
      <c r="C123" t="s">
        <v>306</v>
      </c>
      <c r="D123">
        <v>1974</v>
      </c>
      <c r="E123">
        <v>277</v>
      </c>
      <c r="F123" t="s">
        <v>324</v>
      </c>
      <c r="G123">
        <v>16</v>
      </c>
    </row>
    <row r="124" spans="1:8">
      <c r="A124" t="str">
        <f t="shared" si="1"/>
        <v>Bisseltsebaan 18</v>
      </c>
      <c r="B124" t="s">
        <v>323</v>
      </c>
      <c r="C124" t="s">
        <v>306</v>
      </c>
      <c r="D124">
        <v>1973</v>
      </c>
      <c r="E124">
        <v>391</v>
      </c>
      <c r="F124" t="s">
        <v>324</v>
      </c>
      <c r="G124">
        <v>18</v>
      </c>
    </row>
    <row r="125" spans="1:8">
      <c r="A125" t="str">
        <f t="shared" si="1"/>
        <v>Bisseltsebaan 20</v>
      </c>
      <c r="B125" t="s">
        <v>323</v>
      </c>
      <c r="C125" t="s">
        <v>306</v>
      </c>
      <c r="D125">
        <v>1974</v>
      </c>
      <c r="E125">
        <v>340</v>
      </c>
      <c r="F125" t="s">
        <v>324</v>
      </c>
      <c r="G125">
        <v>20</v>
      </c>
    </row>
    <row r="126" spans="1:8">
      <c r="A126" t="str">
        <f t="shared" si="1"/>
        <v>Bisseltsebaan 22a</v>
      </c>
      <c r="B126" t="s">
        <v>323</v>
      </c>
      <c r="C126" t="s">
        <v>306</v>
      </c>
      <c r="D126">
        <v>1960</v>
      </c>
      <c r="E126">
        <v>229</v>
      </c>
      <c r="F126" t="s">
        <v>324</v>
      </c>
      <c r="G126">
        <v>22</v>
      </c>
      <c r="H126" t="s">
        <v>304</v>
      </c>
    </row>
    <row r="127" spans="1:8">
      <c r="A127" t="str">
        <f t="shared" si="1"/>
        <v>Bisseltsebaan 22</v>
      </c>
      <c r="B127" t="s">
        <v>323</v>
      </c>
      <c r="C127" t="s">
        <v>306</v>
      </c>
      <c r="D127">
        <v>1952</v>
      </c>
      <c r="E127">
        <v>86</v>
      </c>
      <c r="F127" t="s">
        <v>324</v>
      </c>
      <c r="G127">
        <v>22</v>
      </c>
    </row>
    <row r="128" spans="1:8">
      <c r="A128" t="str">
        <f t="shared" si="1"/>
        <v>Bisseltsebaan 24</v>
      </c>
      <c r="B128" t="s">
        <v>323</v>
      </c>
      <c r="C128" t="s">
        <v>306</v>
      </c>
      <c r="D128">
        <v>1933</v>
      </c>
      <c r="E128">
        <v>238</v>
      </c>
      <c r="F128" t="s">
        <v>324</v>
      </c>
      <c r="G128">
        <v>24</v>
      </c>
    </row>
    <row r="129" spans="1:8">
      <c r="A129" t="str">
        <f t="shared" si="1"/>
        <v>Bisseltsebaan 28</v>
      </c>
      <c r="B129" t="s">
        <v>323</v>
      </c>
      <c r="C129" t="s">
        <v>306</v>
      </c>
      <c r="D129">
        <v>1960</v>
      </c>
      <c r="E129">
        <v>197</v>
      </c>
      <c r="F129" t="s">
        <v>324</v>
      </c>
      <c r="G129">
        <v>28</v>
      </c>
    </row>
    <row r="130" spans="1:8">
      <c r="A130" t="str">
        <f t="shared" ref="A130:A193" si="2">CONCATENATE(F130," ",G130,H130)</f>
        <v>Bisseltsebaan 30</v>
      </c>
      <c r="B130" t="s">
        <v>323</v>
      </c>
      <c r="C130" t="s">
        <v>306</v>
      </c>
      <c r="D130">
        <v>1947</v>
      </c>
      <c r="E130">
        <v>207</v>
      </c>
      <c r="F130" t="s">
        <v>324</v>
      </c>
      <c r="G130">
        <v>30</v>
      </c>
    </row>
    <row r="131" spans="1:8">
      <c r="A131" t="str">
        <f t="shared" si="2"/>
        <v>Bisseltsebaan 32</v>
      </c>
      <c r="B131" t="s">
        <v>325</v>
      </c>
      <c r="C131" t="s">
        <v>306</v>
      </c>
      <c r="D131">
        <v>1946</v>
      </c>
      <c r="E131">
        <v>215</v>
      </c>
      <c r="F131" t="s">
        <v>324</v>
      </c>
      <c r="G131">
        <v>32</v>
      </c>
    </row>
    <row r="132" spans="1:8">
      <c r="A132" t="str">
        <f t="shared" si="2"/>
        <v>Bisseltsebaan 34</v>
      </c>
      <c r="B132" t="s">
        <v>325</v>
      </c>
      <c r="C132" t="s">
        <v>306</v>
      </c>
      <c r="D132">
        <v>1976</v>
      </c>
      <c r="E132">
        <v>298</v>
      </c>
      <c r="F132" t="s">
        <v>324</v>
      </c>
      <c r="G132">
        <v>34</v>
      </c>
    </row>
    <row r="133" spans="1:8">
      <c r="A133" t="str">
        <f t="shared" si="2"/>
        <v>Bisseltsebaan 36</v>
      </c>
      <c r="B133" t="s">
        <v>325</v>
      </c>
      <c r="C133" t="s">
        <v>306</v>
      </c>
      <c r="D133">
        <v>1977</v>
      </c>
      <c r="E133">
        <v>345</v>
      </c>
      <c r="F133" t="s">
        <v>324</v>
      </c>
      <c r="G133">
        <v>36</v>
      </c>
    </row>
    <row r="134" spans="1:8">
      <c r="A134" t="str">
        <f t="shared" si="2"/>
        <v>Bisseltsebaan 38</v>
      </c>
      <c r="B134" t="s">
        <v>325</v>
      </c>
      <c r="C134" t="s">
        <v>306</v>
      </c>
      <c r="D134">
        <v>1970</v>
      </c>
      <c r="E134">
        <v>162</v>
      </c>
      <c r="F134" t="s">
        <v>324</v>
      </c>
      <c r="G134">
        <v>38</v>
      </c>
    </row>
    <row r="135" spans="1:8">
      <c r="A135" t="str">
        <f t="shared" si="2"/>
        <v>Bisseltsebaan 40</v>
      </c>
      <c r="B135" t="s">
        <v>325</v>
      </c>
      <c r="C135" t="s">
        <v>306</v>
      </c>
      <c r="D135">
        <v>1955</v>
      </c>
      <c r="E135">
        <v>90</v>
      </c>
      <c r="F135" t="s">
        <v>324</v>
      </c>
      <c r="G135">
        <v>40</v>
      </c>
    </row>
    <row r="136" spans="1:8">
      <c r="A136" t="str">
        <f t="shared" si="2"/>
        <v>Bisseltsebaan 42</v>
      </c>
      <c r="B136" t="s">
        <v>325</v>
      </c>
      <c r="C136" t="s">
        <v>306</v>
      </c>
      <c r="D136">
        <v>1935</v>
      </c>
      <c r="E136">
        <v>136</v>
      </c>
      <c r="F136" t="s">
        <v>324</v>
      </c>
      <c r="G136">
        <v>42</v>
      </c>
    </row>
    <row r="137" spans="1:8">
      <c r="A137" t="str">
        <f t="shared" si="2"/>
        <v>Bisseltsebaan 42</v>
      </c>
      <c r="B137" t="s">
        <v>325</v>
      </c>
      <c r="C137" t="s">
        <v>306</v>
      </c>
      <c r="D137">
        <v>2022</v>
      </c>
      <c r="E137">
        <v>189</v>
      </c>
      <c r="F137" t="s">
        <v>324</v>
      </c>
      <c r="G137">
        <v>42</v>
      </c>
    </row>
    <row r="138" spans="1:8">
      <c r="A138" t="str">
        <f t="shared" si="2"/>
        <v>Bisseltsebaan 44</v>
      </c>
      <c r="B138" t="s">
        <v>325</v>
      </c>
      <c r="C138" t="s">
        <v>306</v>
      </c>
      <c r="D138">
        <v>1939</v>
      </c>
      <c r="E138">
        <v>263</v>
      </c>
      <c r="F138" t="s">
        <v>324</v>
      </c>
      <c r="G138">
        <v>44</v>
      </c>
    </row>
    <row r="139" spans="1:8">
      <c r="A139" t="str">
        <f t="shared" si="2"/>
        <v>Bisseltsebaan 46</v>
      </c>
      <c r="B139" t="s">
        <v>325</v>
      </c>
      <c r="C139" t="s">
        <v>306</v>
      </c>
      <c r="D139">
        <v>1994</v>
      </c>
      <c r="E139">
        <v>120</v>
      </c>
      <c r="F139" t="s">
        <v>324</v>
      </c>
      <c r="G139">
        <v>46</v>
      </c>
    </row>
    <row r="140" spans="1:8">
      <c r="A140" t="str">
        <f t="shared" si="2"/>
        <v>Bisseltsebaan 52</v>
      </c>
      <c r="B140" t="s">
        <v>325</v>
      </c>
      <c r="C140" t="s">
        <v>306</v>
      </c>
      <c r="D140">
        <v>1990</v>
      </c>
      <c r="E140">
        <v>317</v>
      </c>
      <c r="F140" t="s">
        <v>324</v>
      </c>
      <c r="G140">
        <v>52</v>
      </c>
    </row>
    <row r="141" spans="1:8">
      <c r="A141" t="str">
        <f t="shared" si="2"/>
        <v>Bisseltsebaan 54</v>
      </c>
      <c r="B141" t="s">
        <v>325</v>
      </c>
      <c r="C141" t="s">
        <v>306</v>
      </c>
      <c r="D141">
        <v>1965</v>
      </c>
      <c r="E141">
        <v>56</v>
      </c>
      <c r="F141" t="s">
        <v>324</v>
      </c>
      <c r="G141">
        <v>54</v>
      </c>
    </row>
    <row r="142" spans="1:8">
      <c r="A142" t="str">
        <f t="shared" si="2"/>
        <v>Bisseltsebaan 60</v>
      </c>
      <c r="B142" t="s">
        <v>325</v>
      </c>
      <c r="C142" t="s">
        <v>306</v>
      </c>
      <c r="D142">
        <v>1992</v>
      </c>
      <c r="E142">
        <v>173</v>
      </c>
      <c r="F142" t="s">
        <v>324</v>
      </c>
      <c r="G142">
        <v>60</v>
      </c>
    </row>
    <row r="143" spans="1:8">
      <c r="A143" t="str">
        <f t="shared" si="2"/>
        <v>Bossebrugweg 2a</v>
      </c>
      <c r="C143" t="s">
        <v>302</v>
      </c>
      <c r="D143">
        <v>1974</v>
      </c>
      <c r="E143">
        <v>9</v>
      </c>
      <c r="F143" t="s">
        <v>326</v>
      </c>
      <c r="G143">
        <v>2</v>
      </c>
      <c r="H143" t="s">
        <v>304</v>
      </c>
    </row>
    <row r="144" spans="1:8">
      <c r="A144" t="str">
        <f t="shared" si="2"/>
        <v>Bouwsteeg 1b</v>
      </c>
      <c r="B144" t="s">
        <v>327</v>
      </c>
      <c r="C144" t="s">
        <v>302</v>
      </c>
      <c r="D144">
        <v>1972</v>
      </c>
      <c r="E144">
        <v>10</v>
      </c>
      <c r="F144" t="s">
        <v>328</v>
      </c>
      <c r="G144">
        <v>1</v>
      </c>
      <c r="H144" t="s">
        <v>298</v>
      </c>
    </row>
    <row r="145" spans="1:8">
      <c r="A145" t="str">
        <f t="shared" si="2"/>
        <v>Bouwsteeg 1</v>
      </c>
      <c r="B145" t="s">
        <v>327</v>
      </c>
      <c r="C145" t="s">
        <v>302</v>
      </c>
      <c r="D145">
        <v>1973</v>
      </c>
      <c r="E145">
        <v>884</v>
      </c>
      <c r="F145" t="s">
        <v>328</v>
      </c>
      <c r="G145">
        <v>1</v>
      </c>
    </row>
    <row r="146" spans="1:8">
      <c r="A146" t="str">
        <f t="shared" si="2"/>
        <v>Bouwsteeg 2</v>
      </c>
      <c r="B146" t="s">
        <v>327</v>
      </c>
      <c r="C146" t="s">
        <v>302</v>
      </c>
      <c r="D146">
        <v>1972</v>
      </c>
      <c r="E146">
        <v>171</v>
      </c>
      <c r="F146" t="s">
        <v>328</v>
      </c>
      <c r="G146">
        <v>2</v>
      </c>
    </row>
    <row r="147" spans="1:8">
      <c r="A147" t="str">
        <f t="shared" si="2"/>
        <v>Bouwsteeg 3</v>
      </c>
      <c r="B147" t="s">
        <v>327</v>
      </c>
      <c r="C147" t="s">
        <v>302</v>
      </c>
      <c r="D147">
        <v>1978</v>
      </c>
      <c r="E147">
        <v>192</v>
      </c>
      <c r="F147" t="s">
        <v>328</v>
      </c>
      <c r="G147">
        <v>3</v>
      </c>
    </row>
    <row r="148" spans="1:8">
      <c r="A148" t="str">
        <f t="shared" si="2"/>
        <v>Bouwsteeg 4a</v>
      </c>
      <c r="B148" t="s">
        <v>327</v>
      </c>
      <c r="C148" t="s">
        <v>302</v>
      </c>
      <c r="D148">
        <v>1989</v>
      </c>
      <c r="E148">
        <v>114</v>
      </c>
      <c r="F148" t="s">
        <v>328</v>
      </c>
      <c r="G148">
        <v>4</v>
      </c>
      <c r="H148" t="s">
        <v>304</v>
      </c>
    </row>
    <row r="149" spans="1:8">
      <c r="A149" t="str">
        <f t="shared" si="2"/>
        <v>Bouwsteeg 4</v>
      </c>
      <c r="B149" t="s">
        <v>327</v>
      </c>
      <c r="C149" t="s">
        <v>302</v>
      </c>
      <c r="D149">
        <v>1981</v>
      </c>
      <c r="E149">
        <v>234</v>
      </c>
      <c r="F149" t="s">
        <v>328</v>
      </c>
      <c r="G149">
        <v>4</v>
      </c>
    </row>
    <row r="150" spans="1:8">
      <c r="A150" t="str">
        <f t="shared" si="2"/>
        <v>Bouwsteeg 5</v>
      </c>
      <c r="B150" t="s">
        <v>327</v>
      </c>
      <c r="C150" t="s">
        <v>302</v>
      </c>
      <c r="D150">
        <v>1978</v>
      </c>
      <c r="E150">
        <v>223</v>
      </c>
      <c r="F150" t="s">
        <v>328</v>
      </c>
      <c r="G150">
        <v>5</v>
      </c>
    </row>
    <row r="151" spans="1:8">
      <c r="A151" t="str">
        <f t="shared" si="2"/>
        <v>Bouwsteeg 6</v>
      </c>
      <c r="B151" t="s">
        <v>327</v>
      </c>
      <c r="C151" t="s">
        <v>302</v>
      </c>
      <c r="D151">
        <v>1977</v>
      </c>
      <c r="E151">
        <v>281</v>
      </c>
      <c r="F151" t="s">
        <v>328</v>
      </c>
      <c r="G151">
        <v>6</v>
      </c>
    </row>
    <row r="152" spans="1:8">
      <c r="A152" t="str">
        <f t="shared" si="2"/>
        <v>Bouwsteeg 7</v>
      </c>
      <c r="B152" t="s">
        <v>327</v>
      </c>
      <c r="C152" t="s">
        <v>302</v>
      </c>
      <c r="D152">
        <v>1978</v>
      </c>
      <c r="E152">
        <v>221</v>
      </c>
      <c r="F152" t="s">
        <v>328</v>
      </c>
      <c r="G152">
        <v>7</v>
      </c>
    </row>
    <row r="153" spans="1:8">
      <c r="A153" t="str">
        <f t="shared" si="2"/>
        <v>Bouwsteeg 8</v>
      </c>
      <c r="B153" t="s">
        <v>327</v>
      </c>
      <c r="C153" t="s">
        <v>302</v>
      </c>
      <c r="D153">
        <v>1977</v>
      </c>
      <c r="E153">
        <v>164</v>
      </c>
      <c r="F153" t="s">
        <v>328</v>
      </c>
      <c r="G153">
        <v>8</v>
      </c>
    </row>
    <row r="154" spans="1:8">
      <c r="A154" t="str">
        <f t="shared" si="2"/>
        <v>Bouwsteeg 10</v>
      </c>
      <c r="B154" t="s">
        <v>327</v>
      </c>
      <c r="C154" t="s">
        <v>302</v>
      </c>
      <c r="D154">
        <v>2000</v>
      </c>
      <c r="E154">
        <v>178</v>
      </c>
      <c r="F154" t="s">
        <v>328</v>
      </c>
      <c r="G154">
        <v>10</v>
      </c>
    </row>
    <row r="155" spans="1:8">
      <c r="A155" t="str">
        <f t="shared" si="2"/>
        <v>Bouwsteeg 11</v>
      </c>
      <c r="B155" t="s">
        <v>327</v>
      </c>
      <c r="C155" t="s">
        <v>302</v>
      </c>
      <c r="D155">
        <v>2020</v>
      </c>
      <c r="E155">
        <v>172</v>
      </c>
      <c r="F155" t="s">
        <v>328</v>
      </c>
      <c r="G155">
        <v>11</v>
      </c>
    </row>
    <row r="156" spans="1:8">
      <c r="A156" t="str">
        <f t="shared" si="2"/>
        <v>Bouwsteeg 13</v>
      </c>
      <c r="B156" t="s">
        <v>327</v>
      </c>
      <c r="C156" t="s">
        <v>302</v>
      </c>
      <c r="D156">
        <v>2020</v>
      </c>
      <c r="E156">
        <v>159</v>
      </c>
      <c r="F156" t="s">
        <v>328</v>
      </c>
      <c r="G156">
        <v>13</v>
      </c>
    </row>
    <row r="157" spans="1:8">
      <c r="A157" t="str">
        <f t="shared" si="2"/>
        <v>Bouwsteeg 15a</v>
      </c>
      <c r="B157" t="s">
        <v>327</v>
      </c>
      <c r="C157" t="s">
        <v>302</v>
      </c>
      <c r="D157">
        <v>2012</v>
      </c>
      <c r="E157">
        <v>98</v>
      </c>
      <c r="F157" t="s">
        <v>328</v>
      </c>
      <c r="G157">
        <v>15</v>
      </c>
      <c r="H157" t="s">
        <v>304</v>
      </c>
    </row>
    <row r="158" spans="1:8">
      <c r="A158" t="str">
        <f t="shared" si="2"/>
        <v>Bouwsteeg 15b</v>
      </c>
      <c r="B158" t="s">
        <v>327</v>
      </c>
      <c r="C158" t="s">
        <v>302</v>
      </c>
      <c r="D158">
        <v>2013</v>
      </c>
      <c r="E158">
        <v>98</v>
      </c>
      <c r="F158" t="s">
        <v>328</v>
      </c>
      <c r="G158">
        <v>15</v>
      </c>
      <c r="H158" t="s">
        <v>298</v>
      </c>
    </row>
    <row r="159" spans="1:8">
      <c r="A159" t="str">
        <f t="shared" si="2"/>
        <v>Bouwsteeg 15c</v>
      </c>
      <c r="B159" t="s">
        <v>327</v>
      </c>
      <c r="C159" t="s">
        <v>302</v>
      </c>
      <c r="D159">
        <v>2013</v>
      </c>
      <c r="E159">
        <v>98</v>
      </c>
      <c r="F159" t="s">
        <v>328</v>
      </c>
      <c r="G159">
        <v>15</v>
      </c>
      <c r="H159" t="s">
        <v>299</v>
      </c>
    </row>
    <row r="160" spans="1:8">
      <c r="A160" t="str">
        <f t="shared" si="2"/>
        <v>Bouwsteeg 15d</v>
      </c>
      <c r="B160" t="s">
        <v>327</v>
      </c>
      <c r="C160" t="s">
        <v>302</v>
      </c>
      <c r="D160">
        <v>2012</v>
      </c>
      <c r="E160">
        <v>98</v>
      </c>
      <c r="F160" t="s">
        <v>328</v>
      </c>
      <c r="G160">
        <v>15</v>
      </c>
      <c r="H160" t="s">
        <v>300</v>
      </c>
    </row>
    <row r="161" spans="1:8">
      <c r="A161" t="str">
        <f t="shared" si="2"/>
        <v>Bouwsteeg 15e</v>
      </c>
      <c r="B161" t="s">
        <v>327</v>
      </c>
      <c r="C161" t="s">
        <v>302</v>
      </c>
      <c r="D161">
        <v>2012</v>
      </c>
      <c r="E161">
        <v>98</v>
      </c>
      <c r="F161" t="s">
        <v>328</v>
      </c>
      <c r="G161">
        <v>15</v>
      </c>
      <c r="H161" t="s">
        <v>319</v>
      </c>
    </row>
    <row r="162" spans="1:8">
      <c r="A162" t="str">
        <f t="shared" si="2"/>
        <v>Bouwsteeg 15f</v>
      </c>
      <c r="B162" t="s">
        <v>327</v>
      </c>
      <c r="C162" t="s">
        <v>302</v>
      </c>
      <c r="D162">
        <v>2012</v>
      </c>
      <c r="E162">
        <v>98</v>
      </c>
      <c r="F162" t="s">
        <v>328</v>
      </c>
      <c r="G162">
        <v>15</v>
      </c>
      <c r="H162" t="s">
        <v>329</v>
      </c>
    </row>
    <row r="163" spans="1:8">
      <c r="A163" t="str">
        <f t="shared" si="2"/>
        <v>Bouwsteeg 15g</v>
      </c>
      <c r="B163" t="s">
        <v>327</v>
      </c>
      <c r="C163" t="s">
        <v>302</v>
      </c>
      <c r="D163">
        <v>2012</v>
      </c>
      <c r="E163">
        <v>98</v>
      </c>
      <c r="F163" t="s">
        <v>328</v>
      </c>
      <c r="G163">
        <v>15</v>
      </c>
      <c r="H163" t="s">
        <v>330</v>
      </c>
    </row>
    <row r="164" spans="1:8">
      <c r="A164" t="str">
        <f t="shared" si="2"/>
        <v>Bouwsteeg 15</v>
      </c>
      <c r="B164" t="s">
        <v>327</v>
      </c>
      <c r="C164" t="s">
        <v>302</v>
      </c>
      <c r="D164">
        <v>2020</v>
      </c>
      <c r="E164">
        <v>172</v>
      </c>
      <c r="F164" t="s">
        <v>328</v>
      </c>
      <c r="G164">
        <v>15</v>
      </c>
    </row>
    <row r="165" spans="1:8">
      <c r="A165" t="str">
        <f t="shared" si="2"/>
        <v>Bouwsteeg 17</v>
      </c>
      <c r="B165" t="s">
        <v>327</v>
      </c>
      <c r="C165" t="s">
        <v>302</v>
      </c>
      <c r="D165">
        <v>1952</v>
      </c>
      <c r="E165">
        <v>300</v>
      </c>
      <c r="F165" t="s">
        <v>328</v>
      </c>
      <c r="G165">
        <v>17</v>
      </c>
    </row>
    <row r="166" spans="1:8">
      <c r="A166" t="str">
        <f t="shared" si="2"/>
        <v>Bouwsteeg 19</v>
      </c>
      <c r="B166" t="s">
        <v>327</v>
      </c>
      <c r="C166" t="s">
        <v>302</v>
      </c>
      <c r="D166">
        <v>2000</v>
      </c>
      <c r="E166">
        <v>257</v>
      </c>
      <c r="F166" t="s">
        <v>328</v>
      </c>
      <c r="G166">
        <v>19</v>
      </c>
    </row>
    <row r="167" spans="1:8">
      <c r="A167" t="str">
        <f t="shared" si="2"/>
        <v>Bouwsteeg 21</v>
      </c>
      <c r="B167" t="s">
        <v>327</v>
      </c>
      <c r="C167" t="s">
        <v>302</v>
      </c>
      <c r="D167">
        <v>1952</v>
      </c>
      <c r="E167">
        <v>101</v>
      </c>
      <c r="F167" t="s">
        <v>328</v>
      </c>
      <c r="G167">
        <v>21</v>
      </c>
    </row>
    <row r="168" spans="1:8">
      <c r="A168" t="str">
        <f t="shared" si="2"/>
        <v>Bouwsteeg 23</v>
      </c>
      <c r="B168" t="s">
        <v>327</v>
      </c>
      <c r="C168" t="s">
        <v>302</v>
      </c>
      <c r="D168">
        <v>1955</v>
      </c>
      <c r="E168">
        <v>63</v>
      </c>
      <c r="F168" t="s">
        <v>328</v>
      </c>
      <c r="G168">
        <v>23</v>
      </c>
    </row>
    <row r="169" spans="1:8">
      <c r="A169" t="str">
        <f t="shared" si="2"/>
        <v>Bovensteweg 1</v>
      </c>
      <c r="B169" t="s">
        <v>331</v>
      </c>
      <c r="C169" t="s">
        <v>306</v>
      </c>
      <c r="D169">
        <v>1958</v>
      </c>
      <c r="E169">
        <v>280</v>
      </c>
      <c r="F169" t="s">
        <v>332</v>
      </c>
      <c r="G169">
        <v>1</v>
      </c>
    </row>
    <row r="170" spans="1:8">
      <c r="A170" t="str">
        <f t="shared" si="2"/>
        <v>Bovensteweg 2</v>
      </c>
      <c r="B170" t="s">
        <v>333</v>
      </c>
      <c r="C170" t="s">
        <v>306</v>
      </c>
      <c r="D170">
        <v>1963</v>
      </c>
      <c r="E170">
        <v>382</v>
      </c>
      <c r="F170" t="s">
        <v>332</v>
      </c>
      <c r="G170">
        <v>2</v>
      </c>
    </row>
    <row r="171" spans="1:8">
      <c r="A171" t="str">
        <f t="shared" si="2"/>
        <v>Bovensteweg 3</v>
      </c>
      <c r="B171" t="s">
        <v>331</v>
      </c>
      <c r="C171" t="s">
        <v>306</v>
      </c>
      <c r="D171">
        <v>1960</v>
      </c>
      <c r="E171">
        <v>197</v>
      </c>
      <c r="F171" t="s">
        <v>332</v>
      </c>
      <c r="G171">
        <v>3</v>
      </c>
    </row>
    <row r="172" spans="1:8">
      <c r="A172" t="str">
        <f t="shared" si="2"/>
        <v>Bovensteweg 4</v>
      </c>
      <c r="B172" t="s">
        <v>333</v>
      </c>
      <c r="C172" t="s">
        <v>306</v>
      </c>
      <c r="D172">
        <v>1956</v>
      </c>
      <c r="E172">
        <v>295</v>
      </c>
      <c r="F172" t="s">
        <v>332</v>
      </c>
      <c r="G172">
        <v>4</v>
      </c>
    </row>
    <row r="173" spans="1:8">
      <c r="A173" t="str">
        <f t="shared" si="2"/>
        <v>Bovensteweg 5</v>
      </c>
      <c r="B173" t="s">
        <v>331</v>
      </c>
      <c r="C173" t="s">
        <v>306</v>
      </c>
      <c r="D173">
        <v>1960</v>
      </c>
      <c r="E173">
        <v>294</v>
      </c>
      <c r="F173" t="s">
        <v>332</v>
      </c>
      <c r="G173">
        <v>5</v>
      </c>
    </row>
    <row r="174" spans="1:8">
      <c r="A174" t="str">
        <f t="shared" si="2"/>
        <v>Bovensteweg 6</v>
      </c>
      <c r="B174" t="s">
        <v>333</v>
      </c>
      <c r="C174" t="s">
        <v>306</v>
      </c>
      <c r="D174">
        <v>1967</v>
      </c>
      <c r="E174">
        <v>272</v>
      </c>
      <c r="F174" t="s">
        <v>332</v>
      </c>
      <c r="G174">
        <v>6</v>
      </c>
    </row>
    <row r="175" spans="1:8">
      <c r="A175" t="str">
        <f t="shared" si="2"/>
        <v>Bovensteweg 7</v>
      </c>
      <c r="B175" t="s">
        <v>331</v>
      </c>
      <c r="C175" t="s">
        <v>306</v>
      </c>
      <c r="D175">
        <v>1960</v>
      </c>
      <c r="E175">
        <v>185</v>
      </c>
      <c r="F175" t="s">
        <v>332</v>
      </c>
      <c r="G175">
        <v>7</v>
      </c>
    </row>
    <row r="176" spans="1:8">
      <c r="A176" t="str">
        <f t="shared" si="2"/>
        <v>Bovensteweg 8a</v>
      </c>
      <c r="B176" t="s">
        <v>333</v>
      </c>
      <c r="C176" t="s">
        <v>306</v>
      </c>
      <c r="D176">
        <v>2022</v>
      </c>
      <c r="E176">
        <v>286</v>
      </c>
      <c r="F176" t="s">
        <v>332</v>
      </c>
      <c r="G176">
        <v>8</v>
      </c>
      <c r="H176" t="s">
        <v>304</v>
      </c>
    </row>
    <row r="177" spans="1:8">
      <c r="A177" t="str">
        <f t="shared" si="2"/>
        <v>Bovensteweg 9</v>
      </c>
      <c r="B177" t="s">
        <v>331</v>
      </c>
      <c r="C177" t="s">
        <v>306</v>
      </c>
      <c r="D177">
        <v>1960</v>
      </c>
      <c r="E177">
        <v>247</v>
      </c>
      <c r="F177" t="s">
        <v>332</v>
      </c>
      <c r="G177">
        <v>9</v>
      </c>
    </row>
    <row r="178" spans="1:8">
      <c r="A178" t="str">
        <f t="shared" si="2"/>
        <v>Bovensteweg 10a</v>
      </c>
      <c r="B178" t="s">
        <v>333</v>
      </c>
      <c r="C178" t="s">
        <v>306</v>
      </c>
      <c r="D178">
        <v>2021</v>
      </c>
      <c r="E178">
        <v>228</v>
      </c>
      <c r="F178" t="s">
        <v>332</v>
      </c>
      <c r="G178">
        <v>10</v>
      </c>
      <c r="H178" t="s">
        <v>304</v>
      </c>
    </row>
    <row r="179" spans="1:8">
      <c r="A179" t="str">
        <f t="shared" si="2"/>
        <v>Bovensteweg 10</v>
      </c>
      <c r="B179" t="s">
        <v>333</v>
      </c>
      <c r="C179" t="s">
        <v>306</v>
      </c>
      <c r="D179">
        <v>1950</v>
      </c>
      <c r="E179">
        <v>182</v>
      </c>
      <c r="F179" t="s">
        <v>332</v>
      </c>
      <c r="G179">
        <v>10</v>
      </c>
    </row>
    <row r="180" spans="1:8">
      <c r="A180" t="str">
        <f t="shared" si="2"/>
        <v>Bovensteweg 11</v>
      </c>
      <c r="B180" t="s">
        <v>331</v>
      </c>
      <c r="C180" t="s">
        <v>306</v>
      </c>
      <c r="D180">
        <v>1985</v>
      </c>
      <c r="E180">
        <v>212</v>
      </c>
      <c r="F180" t="s">
        <v>332</v>
      </c>
      <c r="G180">
        <v>11</v>
      </c>
    </row>
    <row r="181" spans="1:8">
      <c r="A181" t="str">
        <f t="shared" si="2"/>
        <v>Bovensteweg 12</v>
      </c>
      <c r="B181" t="s">
        <v>333</v>
      </c>
      <c r="C181" t="s">
        <v>306</v>
      </c>
      <c r="D181">
        <v>1972</v>
      </c>
      <c r="E181">
        <v>138</v>
      </c>
      <c r="F181" t="s">
        <v>332</v>
      </c>
      <c r="G181">
        <v>12</v>
      </c>
    </row>
    <row r="182" spans="1:8">
      <c r="A182" t="str">
        <f t="shared" si="2"/>
        <v>Bovensteweg 13</v>
      </c>
      <c r="B182" t="s">
        <v>331</v>
      </c>
      <c r="C182" t="s">
        <v>306</v>
      </c>
      <c r="D182">
        <v>1958</v>
      </c>
      <c r="E182">
        <v>201</v>
      </c>
      <c r="F182" t="s">
        <v>332</v>
      </c>
      <c r="G182">
        <v>13</v>
      </c>
    </row>
    <row r="183" spans="1:8">
      <c r="A183" t="str">
        <f t="shared" si="2"/>
        <v>Bovensteweg 14</v>
      </c>
      <c r="B183" t="s">
        <v>334</v>
      </c>
      <c r="C183" t="s">
        <v>306</v>
      </c>
      <c r="D183">
        <v>1972</v>
      </c>
      <c r="E183">
        <v>191</v>
      </c>
      <c r="F183" t="s">
        <v>332</v>
      </c>
      <c r="G183">
        <v>14</v>
      </c>
    </row>
    <row r="184" spans="1:8">
      <c r="A184" t="str">
        <f t="shared" si="2"/>
        <v>Bovensteweg 15</v>
      </c>
      <c r="B184" t="s">
        <v>331</v>
      </c>
      <c r="C184" t="s">
        <v>306</v>
      </c>
      <c r="D184">
        <v>1965</v>
      </c>
      <c r="E184">
        <v>180</v>
      </c>
      <c r="F184" t="s">
        <v>332</v>
      </c>
      <c r="G184">
        <v>15</v>
      </c>
    </row>
    <row r="185" spans="1:8">
      <c r="A185" t="str">
        <f t="shared" si="2"/>
        <v>Bovensteweg 16</v>
      </c>
      <c r="B185" t="s">
        <v>334</v>
      </c>
      <c r="C185" t="s">
        <v>306</v>
      </c>
      <c r="D185">
        <v>1972</v>
      </c>
      <c r="E185">
        <v>151</v>
      </c>
      <c r="F185" t="s">
        <v>332</v>
      </c>
      <c r="G185">
        <v>16</v>
      </c>
    </row>
    <row r="186" spans="1:8">
      <c r="A186" t="str">
        <f t="shared" si="2"/>
        <v>Bovensteweg 17</v>
      </c>
      <c r="B186" t="s">
        <v>331</v>
      </c>
      <c r="C186" t="s">
        <v>306</v>
      </c>
      <c r="D186">
        <v>1963</v>
      </c>
      <c r="E186">
        <v>276</v>
      </c>
      <c r="F186" t="s">
        <v>332</v>
      </c>
      <c r="G186">
        <v>17</v>
      </c>
    </row>
    <row r="187" spans="1:8">
      <c r="A187" t="str">
        <f t="shared" si="2"/>
        <v>Bovensteweg 18</v>
      </c>
      <c r="B187" t="s">
        <v>334</v>
      </c>
      <c r="C187" t="s">
        <v>306</v>
      </c>
      <c r="D187">
        <v>1971</v>
      </c>
      <c r="E187">
        <v>240</v>
      </c>
      <c r="F187" t="s">
        <v>332</v>
      </c>
      <c r="G187">
        <v>18</v>
      </c>
    </row>
    <row r="188" spans="1:8">
      <c r="A188" t="str">
        <f t="shared" si="2"/>
        <v>Bovensteweg 19</v>
      </c>
      <c r="B188" t="s">
        <v>331</v>
      </c>
      <c r="C188" t="s">
        <v>306</v>
      </c>
      <c r="D188">
        <v>1960</v>
      </c>
      <c r="E188">
        <v>162</v>
      </c>
      <c r="F188" t="s">
        <v>332</v>
      </c>
      <c r="G188">
        <v>19</v>
      </c>
    </row>
    <row r="189" spans="1:8">
      <c r="A189" t="str">
        <f t="shared" si="2"/>
        <v>Bovensteweg 21</v>
      </c>
      <c r="B189" t="s">
        <v>331</v>
      </c>
      <c r="C189" t="s">
        <v>306</v>
      </c>
      <c r="D189">
        <v>1960</v>
      </c>
      <c r="E189">
        <v>140</v>
      </c>
      <c r="F189" t="s">
        <v>332</v>
      </c>
      <c r="G189">
        <v>21</v>
      </c>
    </row>
    <row r="190" spans="1:8">
      <c r="A190" t="str">
        <f t="shared" si="2"/>
        <v>Bovensteweg 22a</v>
      </c>
      <c r="B190" t="s">
        <v>334</v>
      </c>
      <c r="C190" t="s">
        <v>306</v>
      </c>
      <c r="D190">
        <v>1993</v>
      </c>
      <c r="E190">
        <v>172</v>
      </c>
      <c r="F190" t="s">
        <v>332</v>
      </c>
      <c r="G190">
        <v>22</v>
      </c>
      <c r="H190" t="s">
        <v>304</v>
      </c>
    </row>
    <row r="191" spans="1:8">
      <c r="A191" t="str">
        <f t="shared" si="2"/>
        <v>Bovensteweg 22b</v>
      </c>
      <c r="B191" t="s">
        <v>334</v>
      </c>
      <c r="C191" t="s">
        <v>306</v>
      </c>
      <c r="D191">
        <v>1994</v>
      </c>
      <c r="E191">
        <v>187</v>
      </c>
      <c r="F191" t="s">
        <v>332</v>
      </c>
      <c r="G191">
        <v>22</v>
      </c>
      <c r="H191" t="s">
        <v>298</v>
      </c>
    </row>
    <row r="192" spans="1:8">
      <c r="A192" t="str">
        <f t="shared" si="2"/>
        <v>Bovensteweg 22c</v>
      </c>
      <c r="B192" t="s">
        <v>334</v>
      </c>
      <c r="C192" t="s">
        <v>306</v>
      </c>
      <c r="D192">
        <v>1994</v>
      </c>
      <c r="E192">
        <v>238</v>
      </c>
      <c r="F192" t="s">
        <v>332</v>
      </c>
      <c r="G192">
        <v>22</v>
      </c>
      <c r="H192" t="s">
        <v>299</v>
      </c>
    </row>
    <row r="193" spans="1:8">
      <c r="A193" t="str">
        <f t="shared" si="2"/>
        <v>Bovensteweg 22</v>
      </c>
      <c r="B193" t="s">
        <v>334</v>
      </c>
      <c r="C193" t="s">
        <v>306</v>
      </c>
      <c r="D193">
        <v>1960</v>
      </c>
      <c r="E193">
        <v>254</v>
      </c>
      <c r="F193" t="s">
        <v>332</v>
      </c>
      <c r="G193">
        <v>22</v>
      </c>
    </row>
    <row r="194" spans="1:8">
      <c r="A194" t="str">
        <f t="shared" ref="A194:A257" si="3">CONCATENATE(F194," ",G194,H194)</f>
        <v>Bovensteweg 23</v>
      </c>
      <c r="B194" t="s">
        <v>331</v>
      </c>
      <c r="C194" t="s">
        <v>306</v>
      </c>
      <c r="D194">
        <v>1960</v>
      </c>
      <c r="E194">
        <v>241</v>
      </c>
      <c r="F194" t="s">
        <v>332</v>
      </c>
      <c r="G194">
        <v>23</v>
      </c>
    </row>
    <row r="195" spans="1:8">
      <c r="A195" t="str">
        <f t="shared" si="3"/>
        <v>Bovensteweg 24a</v>
      </c>
      <c r="B195" t="s">
        <v>334</v>
      </c>
      <c r="C195" t="s">
        <v>306</v>
      </c>
      <c r="D195">
        <v>2012</v>
      </c>
      <c r="E195">
        <v>206</v>
      </c>
      <c r="F195" t="s">
        <v>332</v>
      </c>
      <c r="G195">
        <v>24</v>
      </c>
      <c r="H195" t="s">
        <v>304</v>
      </c>
    </row>
    <row r="196" spans="1:8">
      <c r="A196" t="str">
        <f t="shared" si="3"/>
        <v>Bovensteweg 24</v>
      </c>
      <c r="B196" t="s">
        <v>334</v>
      </c>
      <c r="C196" t="s">
        <v>306</v>
      </c>
      <c r="D196">
        <v>1935</v>
      </c>
      <c r="E196">
        <v>163</v>
      </c>
      <c r="F196" t="s">
        <v>332</v>
      </c>
      <c r="G196">
        <v>24</v>
      </c>
    </row>
    <row r="197" spans="1:8">
      <c r="A197" t="str">
        <f t="shared" si="3"/>
        <v>Bovensteweg 25</v>
      </c>
      <c r="B197" t="s">
        <v>331</v>
      </c>
      <c r="C197" t="s">
        <v>306</v>
      </c>
      <c r="D197">
        <v>1961</v>
      </c>
      <c r="E197">
        <v>218</v>
      </c>
      <c r="F197" t="s">
        <v>332</v>
      </c>
      <c r="G197">
        <v>25</v>
      </c>
    </row>
    <row r="198" spans="1:8">
      <c r="A198" t="str">
        <f t="shared" si="3"/>
        <v>Bovensteweg 26</v>
      </c>
      <c r="B198" t="s">
        <v>334</v>
      </c>
      <c r="C198" t="s">
        <v>306</v>
      </c>
      <c r="D198">
        <v>1950</v>
      </c>
      <c r="E198">
        <v>156</v>
      </c>
      <c r="F198" t="s">
        <v>332</v>
      </c>
      <c r="G198">
        <v>26</v>
      </c>
    </row>
    <row r="199" spans="1:8">
      <c r="A199" t="str">
        <f t="shared" si="3"/>
        <v>Bovensteweg 27</v>
      </c>
      <c r="B199" t="s">
        <v>331</v>
      </c>
      <c r="C199" t="s">
        <v>306</v>
      </c>
      <c r="D199">
        <v>1987</v>
      </c>
      <c r="E199">
        <v>124</v>
      </c>
      <c r="F199" t="s">
        <v>332</v>
      </c>
      <c r="G199">
        <v>27</v>
      </c>
    </row>
    <row r="200" spans="1:8">
      <c r="A200" t="str">
        <f t="shared" si="3"/>
        <v>Bovensteweg 28a</v>
      </c>
      <c r="B200" t="s">
        <v>334</v>
      </c>
      <c r="C200" t="s">
        <v>306</v>
      </c>
      <c r="D200">
        <v>2020</v>
      </c>
      <c r="E200">
        <v>399</v>
      </c>
      <c r="F200" t="s">
        <v>332</v>
      </c>
      <c r="G200">
        <v>28</v>
      </c>
      <c r="H200" t="s">
        <v>304</v>
      </c>
    </row>
    <row r="201" spans="1:8">
      <c r="A201" t="str">
        <f t="shared" si="3"/>
        <v>Bovensteweg 28</v>
      </c>
      <c r="B201" t="s">
        <v>334</v>
      </c>
      <c r="C201" t="s">
        <v>306</v>
      </c>
      <c r="D201">
        <v>1950</v>
      </c>
      <c r="E201">
        <v>387</v>
      </c>
      <c r="F201" t="s">
        <v>332</v>
      </c>
      <c r="G201">
        <v>28</v>
      </c>
    </row>
    <row r="202" spans="1:8">
      <c r="A202" t="str">
        <f t="shared" si="3"/>
        <v>Bovensteweg 29</v>
      </c>
      <c r="B202" t="s">
        <v>331</v>
      </c>
      <c r="C202" t="s">
        <v>306</v>
      </c>
      <c r="D202">
        <v>1987</v>
      </c>
      <c r="E202">
        <v>130</v>
      </c>
      <c r="F202" t="s">
        <v>332</v>
      </c>
      <c r="G202">
        <v>29</v>
      </c>
    </row>
    <row r="203" spans="1:8">
      <c r="A203" t="str">
        <f t="shared" si="3"/>
        <v>Bovensteweg 30a</v>
      </c>
      <c r="B203" t="s">
        <v>334</v>
      </c>
      <c r="C203" t="s">
        <v>306</v>
      </c>
      <c r="D203">
        <v>2009</v>
      </c>
      <c r="E203">
        <v>223</v>
      </c>
      <c r="F203" t="s">
        <v>332</v>
      </c>
      <c r="G203">
        <v>30</v>
      </c>
      <c r="H203" t="s">
        <v>304</v>
      </c>
    </row>
    <row r="204" spans="1:8">
      <c r="A204" t="str">
        <f t="shared" si="3"/>
        <v>Bovensteweg 30</v>
      </c>
      <c r="B204" t="s">
        <v>334</v>
      </c>
      <c r="C204" t="s">
        <v>306</v>
      </c>
      <c r="D204">
        <v>1960</v>
      </c>
      <c r="E204">
        <v>257</v>
      </c>
      <c r="F204" t="s">
        <v>332</v>
      </c>
      <c r="G204">
        <v>30</v>
      </c>
    </row>
    <row r="205" spans="1:8">
      <c r="A205" t="str">
        <f t="shared" si="3"/>
        <v>Bovensteweg 31a</v>
      </c>
      <c r="B205" t="s">
        <v>335</v>
      </c>
      <c r="C205" t="s">
        <v>306</v>
      </c>
      <c r="D205">
        <v>1987</v>
      </c>
      <c r="E205">
        <v>165</v>
      </c>
      <c r="F205" t="s">
        <v>332</v>
      </c>
      <c r="G205">
        <v>31</v>
      </c>
      <c r="H205" t="s">
        <v>304</v>
      </c>
    </row>
    <row r="206" spans="1:8">
      <c r="A206" t="str">
        <f t="shared" si="3"/>
        <v>Bovensteweg 31</v>
      </c>
      <c r="B206" t="s">
        <v>335</v>
      </c>
      <c r="C206" t="s">
        <v>306</v>
      </c>
      <c r="D206">
        <v>1989</v>
      </c>
      <c r="E206">
        <v>178</v>
      </c>
      <c r="F206" t="s">
        <v>332</v>
      </c>
      <c r="G206">
        <v>31</v>
      </c>
    </row>
    <row r="207" spans="1:8">
      <c r="A207" t="str">
        <f t="shared" si="3"/>
        <v>Bovensteweg 32a</v>
      </c>
      <c r="B207" t="s">
        <v>334</v>
      </c>
      <c r="C207" t="s">
        <v>306</v>
      </c>
      <c r="D207">
        <v>1949</v>
      </c>
      <c r="E207">
        <v>140</v>
      </c>
      <c r="F207" t="s">
        <v>332</v>
      </c>
      <c r="G207">
        <v>32</v>
      </c>
      <c r="H207" t="s">
        <v>304</v>
      </c>
    </row>
    <row r="208" spans="1:8">
      <c r="A208" t="str">
        <f t="shared" si="3"/>
        <v>Bovensteweg 32b</v>
      </c>
      <c r="B208" t="s">
        <v>334</v>
      </c>
      <c r="C208" t="s">
        <v>306</v>
      </c>
      <c r="D208">
        <v>2008</v>
      </c>
      <c r="E208">
        <v>159</v>
      </c>
      <c r="F208" t="s">
        <v>332</v>
      </c>
      <c r="G208">
        <v>32</v>
      </c>
      <c r="H208" t="s">
        <v>298</v>
      </c>
    </row>
    <row r="209" spans="1:8">
      <c r="A209" t="str">
        <f t="shared" si="3"/>
        <v>Bovensteweg 32</v>
      </c>
      <c r="B209" t="s">
        <v>334</v>
      </c>
      <c r="C209" t="s">
        <v>306</v>
      </c>
      <c r="D209">
        <v>1955</v>
      </c>
      <c r="E209">
        <v>367</v>
      </c>
      <c r="F209" t="s">
        <v>332</v>
      </c>
      <c r="G209">
        <v>32</v>
      </c>
    </row>
    <row r="210" spans="1:8">
      <c r="A210" t="str">
        <f t="shared" si="3"/>
        <v>Bovensteweg 33a</v>
      </c>
      <c r="B210" t="s">
        <v>335</v>
      </c>
      <c r="C210" t="s">
        <v>306</v>
      </c>
      <c r="D210">
        <v>1987</v>
      </c>
      <c r="E210">
        <v>166</v>
      </c>
      <c r="F210" t="s">
        <v>332</v>
      </c>
      <c r="G210">
        <v>33</v>
      </c>
      <c r="H210" t="s">
        <v>304</v>
      </c>
    </row>
    <row r="211" spans="1:8">
      <c r="A211" t="str">
        <f t="shared" si="3"/>
        <v>Bovensteweg 33</v>
      </c>
      <c r="B211" t="s">
        <v>335</v>
      </c>
      <c r="C211" t="s">
        <v>306</v>
      </c>
      <c r="D211">
        <v>1989</v>
      </c>
      <c r="E211">
        <v>240</v>
      </c>
      <c r="F211" t="s">
        <v>332</v>
      </c>
      <c r="G211">
        <v>33</v>
      </c>
    </row>
    <row r="212" spans="1:8">
      <c r="A212" t="str">
        <f t="shared" si="3"/>
        <v>Bovensteweg 34</v>
      </c>
      <c r="B212" t="s">
        <v>334</v>
      </c>
      <c r="C212" t="s">
        <v>306</v>
      </c>
      <c r="D212">
        <v>1960</v>
      </c>
      <c r="E212">
        <v>100</v>
      </c>
      <c r="F212" t="s">
        <v>332</v>
      </c>
      <c r="G212">
        <v>34</v>
      </c>
    </row>
    <row r="213" spans="1:8">
      <c r="A213" t="str">
        <f t="shared" si="3"/>
        <v>Bovensteweg 35a</v>
      </c>
      <c r="B213" t="s">
        <v>335</v>
      </c>
      <c r="C213" t="s">
        <v>306</v>
      </c>
      <c r="D213">
        <v>1980</v>
      </c>
      <c r="E213">
        <v>199</v>
      </c>
      <c r="F213" t="s">
        <v>332</v>
      </c>
      <c r="G213">
        <v>35</v>
      </c>
      <c r="H213" t="s">
        <v>304</v>
      </c>
    </row>
    <row r="214" spans="1:8">
      <c r="A214" t="str">
        <f t="shared" si="3"/>
        <v>Bovensteweg 35b</v>
      </c>
      <c r="B214" t="s">
        <v>335</v>
      </c>
      <c r="C214" t="s">
        <v>306</v>
      </c>
      <c r="D214">
        <v>1989</v>
      </c>
      <c r="E214">
        <v>210</v>
      </c>
      <c r="F214" t="s">
        <v>332</v>
      </c>
      <c r="G214">
        <v>35</v>
      </c>
      <c r="H214" t="s">
        <v>298</v>
      </c>
    </row>
    <row r="215" spans="1:8">
      <c r="A215" t="str">
        <f t="shared" si="3"/>
        <v>Bovensteweg 35</v>
      </c>
      <c r="B215" t="s">
        <v>335</v>
      </c>
      <c r="C215" t="s">
        <v>306</v>
      </c>
      <c r="D215">
        <v>1985</v>
      </c>
      <c r="E215">
        <v>182</v>
      </c>
      <c r="F215" t="s">
        <v>332</v>
      </c>
      <c r="G215">
        <v>35</v>
      </c>
    </row>
    <row r="216" spans="1:8">
      <c r="A216" t="str">
        <f t="shared" si="3"/>
        <v>Bovensteweg 36</v>
      </c>
      <c r="B216" t="s">
        <v>334</v>
      </c>
      <c r="C216" t="s">
        <v>306</v>
      </c>
      <c r="D216">
        <v>2008</v>
      </c>
      <c r="E216">
        <v>303</v>
      </c>
      <c r="F216" t="s">
        <v>332</v>
      </c>
      <c r="G216">
        <v>36</v>
      </c>
    </row>
    <row r="217" spans="1:8">
      <c r="A217" t="str">
        <f t="shared" si="3"/>
        <v>Bovensteweg 37a</v>
      </c>
      <c r="B217" t="s">
        <v>335</v>
      </c>
      <c r="C217" t="s">
        <v>306</v>
      </c>
      <c r="D217">
        <v>1950</v>
      </c>
      <c r="E217">
        <v>220</v>
      </c>
      <c r="F217" t="s">
        <v>332</v>
      </c>
      <c r="G217">
        <v>37</v>
      </c>
      <c r="H217" t="s">
        <v>304</v>
      </c>
    </row>
    <row r="218" spans="1:8">
      <c r="A218" t="str">
        <f t="shared" si="3"/>
        <v>Bovensteweg 37</v>
      </c>
      <c r="B218" t="s">
        <v>335</v>
      </c>
      <c r="C218" t="s">
        <v>306</v>
      </c>
      <c r="D218">
        <v>1950</v>
      </c>
      <c r="E218">
        <v>317</v>
      </c>
      <c r="F218" t="s">
        <v>332</v>
      </c>
      <c r="G218">
        <v>37</v>
      </c>
    </row>
    <row r="219" spans="1:8">
      <c r="A219" t="str">
        <f t="shared" si="3"/>
        <v>Bovensteweg 38</v>
      </c>
      <c r="B219" t="s">
        <v>334</v>
      </c>
      <c r="C219" t="s">
        <v>306</v>
      </c>
      <c r="D219">
        <v>1984</v>
      </c>
      <c r="E219">
        <v>217</v>
      </c>
      <c r="F219" t="s">
        <v>332</v>
      </c>
      <c r="G219">
        <v>38</v>
      </c>
    </row>
    <row r="220" spans="1:8">
      <c r="A220" t="str">
        <f t="shared" si="3"/>
        <v>Bovensteweg 40</v>
      </c>
      <c r="B220" t="s">
        <v>334</v>
      </c>
      <c r="C220" t="s">
        <v>306</v>
      </c>
      <c r="D220">
        <v>1986</v>
      </c>
      <c r="E220">
        <v>216</v>
      </c>
      <c r="F220" t="s">
        <v>332</v>
      </c>
      <c r="G220">
        <v>40</v>
      </c>
    </row>
    <row r="221" spans="1:8">
      <c r="A221" t="str">
        <f t="shared" si="3"/>
        <v>Bovensteweg 41</v>
      </c>
      <c r="B221" t="s">
        <v>335</v>
      </c>
      <c r="C221" t="s">
        <v>306</v>
      </c>
      <c r="D221">
        <v>1989</v>
      </c>
      <c r="E221">
        <v>140</v>
      </c>
      <c r="F221" t="s">
        <v>332</v>
      </c>
      <c r="G221">
        <v>41</v>
      </c>
    </row>
    <row r="222" spans="1:8">
      <c r="A222" t="str">
        <f t="shared" si="3"/>
        <v>Bovensteweg 42</v>
      </c>
      <c r="B222" t="s">
        <v>334</v>
      </c>
      <c r="C222" t="s">
        <v>306</v>
      </c>
      <c r="D222">
        <v>2021</v>
      </c>
      <c r="E222">
        <v>258</v>
      </c>
      <c r="F222" t="s">
        <v>332</v>
      </c>
      <c r="G222">
        <v>42</v>
      </c>
    </row>
    <row r="223" spans="1:8">
      <c r="A223" t="str">
        <f t="shared" si="3"/>
        <v>Bovensteweg 43</v>
      </c>
      <c r="B223" t="s">
        <v>335</v>
      </c>
      <c r="C223" t="s">
        <v>306</v>
      </c>
      <c r="D223">
        <v>1996</v>
      </c>
      <c r="E223">
        <v>391</v>
      </c>
      <c r="F223" t="s">
        <v>332</v>
      </c>
      <c r="G223">
        <v>43</v>
      </c>
    </row>
    <row r="224" spans="1:8">
      <c r="A224" t="str">
        <f t="shared" si="3"/>
        <v>Bovensteweg 45</v>
      </c>
      <c r="B224" t="s">
        <v>335</v>
      </c>
      <c r="C224" t="s">
        <v>306</v>
      </c>
      <c r="D224">
        <v>1997</v>
      </c>
      <c r="E224">
        <v>225</v>
      </c>
      <c r="F224" t="s">
        <v>332</v>
      </c>
      <c r="G224">
        <v>45</v>
      </c>
    </row>
    <row r="225" spans="1:8">
      <c r="A225" t="str">
        <f t="shared" si="3"/>
        <v>Bovensteweg 46</v>
      </c>
      <c r="B225" t="s">
        <v>334</v>
      </c>
      <c r="C225" t="s">
        <v>306</v>
      </c>
      <c r="D225">
        <v>1940</v>
      </c>
      <c r="E225">
        <v>303</v>
      </c>
      <c r="F225" t="s">
        <v>332</v>
      </c>
      <c r="G225">
        <v>46</v>
      </c>
    </row>
    <row r="226" spans="1:8">
      <c r="A226" t="str">
        <f t="shared" si="3"/>
        <v>Bovensteweg 47</v>
      </c>
      <c r="B226" t="s">
        <v>335</v>
      </c>
      <c r="C226" t="s">
        <v>306</v>
      </c>
      <c r="D226">
        <v>1997</v>
      </c>
      <c r="E226">
        <v>291</v>
      </c>
      <c r="F226" t="s">
        <v>332</v>
      </c>
      <c r="G226">
        <v>47</v>
      </c>
    </row>
    <row r="227" spans="1:8">
      <c r="A227" t="str">
        <f t="shared" si="3"/>
        <v>Bovensteweg 48</v>
      </c>
      <c r="B227" t="s">
        <v>334</v>
      </c>
      <c r="C227" t="s">
        <v>306</v>
      </c>
      <c r="D227">
        <v>1965</v>
      </c>
      <c r="E227">
        <v>1626</v>
      </c>
      <c r="F227" t="s">
        <v>332</v>
      </c>
      <c r="G227">
        <v>48</v>
      </c>
    </row>
    <row r="228" spans="1:8">
      <c r="A228" t="str">
        <f t="shared" si="3"/>
        <v>Bovensteweg 49</v>
      </c>
      <c r="B228" t="s">
        <v>335</v>
      </c>
      <c r="C228" t="s">
        <v>306</v>
      </c>
      <c r="D228">
        <v>1997</v>
      </c>
      <c r="E228">
        <v>212</v>
      </c>
      <c r="F228" t="s">
        <v>332</v>
      </c>
      <c r="G228">
        <v>49</v>
      </c>
    </row>
    <row r="229" spans="1:8">
      <c r="A229" t="str">
        <f t="shared" si="3"/>
        <v>Bovensteweg 50</v>
      </c>
      <c r="B229" t="s">
        <v>334</v>
      </c>
      <c r="C229" t="s">
        <v>306</v>
      </c>
      <c r="D229">
        <v>1957</v>
      </c>
      <c r="E229">
        <v>150</v>
      </c>
      <c r="F229" t="s">
        <v>332</v>
      </c>
      <c r="G229">
        <v>50</v>
      </c>
    </row>
    <row r="230" spans="1:8">
      <c r="A230" t="str">
        <f t="shared" si="3"/>
        <v>Bovensteweg 51</v>
      </c>
      <c r="B230" t="s">
        <v>335</v>
      </c>
      <c r="C230" t="s">
        <v>306</v>
      </c>
      <c r="D230">
        <v>1997</v>
      </c>
      <c r="E230">
        <v>237</v>
      </c>
      <c r="F230" t="s">
        <v>332</v>
      </c>
      <c r="G230">
        <v>51</v>
      </c>
    </row>
    <row r="231" spans="1:8">
      <c r="A231" t="str">
        <f t="shared" si="3"/>
        <v>Bovensteweg 53</v>
      </c>
      <c r="B231" t="s">
        <v>335</v>
      </c>
      <c r="C231" t="s">
        <v>306</v>
      </c>
      <c r="D231">
        <v>1997</v>
      </c>
      <c r="E231">
        <v>218</v>
      </c>
      <c r="F231" t="s">
        <v>332</v>
      </c>
      <c r="G231">
        <v>53</v>
      </c>
    </row>
    <row r="232" spans="1:8">
      <c r="A232" t="str">
        <f t="shared" si="3"/>
        <v>Bovensteweg 56a</v>
      </c>
      <c r="B232" t="s">
        <v>334</v>
      </c>
      <c r="C232" t="s">
        <v>306</v>
      </c>
      <c r="D232">
        <v>1965</v>
      </c>
      <c r="E232">
        <v>7785</v>
      </c>
      <c r="F232" t="s">
        <v>332</v>
      </c>
      <c r="G232">
        <v>56</v>
      </c>
      <c r="H232" t="s">
        <v>304</v>
      </c>
    </row>
    <row r="233" spans="1:8">
      <c r="A233" t="str">
        <f t="shared" si="3"/>
        <v>Bovensteweg 56b</v>
      </c>
      <c r="B233" t="s">
        <v>334</v>
      </c>
      <c r="C233" t="s">
        <v>306</v>
      </c>
      <c r="D233">
        <v>1965</v>
      </c>
      <c r="E233">
        <v>7785</v>
      </c>
      <c r="F233" t="s">
        <v>332</v>
      </c>
      <c r="G233">
        <v>56</v>
      </c>
      <c r="H233" t="s">
        <v>298</v>
      </c>
    </row>
    <row r="234" spans="1:8">
      <c r="A234" t="str">
        <f t="shared" si="3"/>
        <v>Bovensteweg 56</v>
      </c>
      <c r="B234" t="s">
        <v>334</v>
      </c>
      <c r="C234" t="s">
        <v>306</v>
      </c>
      <c r="D234">
        <v>1965</v>
      </c>
      <c r="E234">
        <v>7785</v>
      </c>
      <c r="F234" t="s">
        <v>332</v>
      </c>
      <c r="G234">
        <v>56</v>
      </c>
    </row>
    <row r="235" spans="1:8">
      <c r="A235" t="str">
        <f t="shared" si="3"/>
        <v>Bovensteweg 58</v>
      </c>
      <c r="B235" t="s">
        <v>334</v>
      </c>
      <c r="C235" t="s">
        <v>306</v>
      </c>
      <c r="D235">
        <v>2017</v>
      </c>
      <c r="E235">
        <v>2359</v>
      </c>
      <c r="F235" t="s">
        <v>332</v>
      </c>
      <c r="G235">
        <v>58</v>
      </c>
    </row>
    <row r="236" spans="1:8">
      <c r="A236" t="str">
        <f t="shared" si="3"/>
        <v>Bovensteweg 59</v>
      </c>
      <c r="B236" t="s">
        <v>335</v>
      </c>
      <c r="C236" t="s">
        <v>306</v>
      </c>
      <c r="D236">
        <v>1935</v>
      </c>
      <c r="E236">
        <v>111</v>
      </c>
      <c r="F236" t="s">
        <v>332</v>
      </c>
      <c r="G236">
        <v>59</v>
      </c>
    </row>
    <row r="237" spans="1:8">
      <c r="A237" t="str">
        <f t="shared" si="3"/>
        <v>Bovensteweg 61</v>
      </c>
      <c r="B237" t="s">
        <v>335</v>
      </c>
      <c r="C237" t="s">
        <v>306</v>
      </c>
      <c r="D237">
        <v>1977</v>
      </c>
      <c r="E237">
        <v>680</v>
      </c>
      <c r="F237" t="s">
        <v>332</v>
      </c>
      <c r="G237">
        <v>61</v>
      </c>
    </row>
    <row r="238" spans="1:8">
      <c r="A238" t="str">
        <f t="shared" si="3"/>
        <v>Bovensteweg 63</v>
      </c>
      <c r="B238" t="s">
        <v>335</v>
      </c>
      <c r="C238" t="s">
        <v>306</v>
      </c>
      <c r="D238">
        <v>1993</v>
      </c>
      <c r="E238">
        <v>2400</v>
      </c>
      <c r="F238" t="s">
        <v>332</v>
      </c>
      <c r="G238">
        <v>63</v>
      </c>
    </row>
    <row r="239" spans="1:8">
      <c r="A239" t="str">
        <f t="shared" si="3"/>
        <v>Bovensteweg 75</v>
      </c>
      <c r="B239" t="s">
        <v>335</v>
      </c>
      <c r="C239" t="s">
        <v>306</v>
      </c>
      <c r="D239">
        <v>1950</v>
      </c>
      <c r="E239">
        <v>472</v>
      </c>
      <c r="F239" t="s">
        <v>332</v>
      </c>
      <c r="G239">
        <v>75</v>
      </c>
    </row>
    <row r="240" spans="1:8">
      <c r="A240" t="str">
        <f t="shared" si="3"/>
        <v>Bovensteweg 77a</v>
      </c>
      <c r="B240" t="s">
        <v>335</v>
      </c>
      <c r="C240" t="s">
        <v>306</v>
      </c>
      <c r="D240">
        <v>1980</v>
      </c>
      <c r="E240">
        <v>16</v>
      </c>
      <c r="F240" t="s">
        <v>332</v>
      </c>
      <c r="G240">
        <v>77</v>
      </c>
      <c r="H240" t="s">
        <v>304</v>
      </c>
    </row>
    <row r="241" spans="1:8">
      <c r="A241" t="str">
        <f t="shared" si="3"/>
        <v>Bovensteweg 77</v>
      </c>
      <c r="B241" t="s">
        <v>335</v>
      </c>
      <c r="C241" t="s">
        <v>306</v>
      </c>
      <c r="D241">
        <v>1952</v>
      </c>
      <c r="E241">
        <v>50</v>
      </c>
      <c r="F241" t="s">
        <v>332</v>
      </c>
      <c r="G241">
        <v>77</v>
      </c>
    </row>
    <row r="242" spans="1:8">
      <c r="A242" t="str">
        <f t="shared" si="3"/>
        <v>Bovensteweg 79</v>
      </c>
      <c r="B242" t="s">
        <v>335</v>
      </c>
      <c r="C242" t="s">
        <v>306</v>
      </c>
      <c r="D242">
        <v>1952</v>
      </c>
      <c r="E242">
        <v>550</v>
      </c>
      <c r="F242" t="s">
        <v>332</v>
      </c>
      <c r="G242">
        <v>79</v>
      </c>
    </row>
    <row r="243" spans="1:8">
      <c r="A243" t="str">
        <f t="shared" si="3"/>
        <v>Bovensteweg 81</v>
      </c>
      <c r="B243" t="s">
        <v>335</v>
      </c>
      <c r="C243" t="s">
        <v>306</v>
      </c>
      <c r="D243">
        <v>1972</v>
      </c>
      <c r="E243">
        <v>390</v>
      </c>
      <c r="F243" t="s">
        <v>332</v>
      </c>
      <c r="G243">
        <v>81</v>
      </c>
    </row>
    <row r="244" spans="1:8">
      <c r="A244" t="str">
        <f t="shared" si="3"/>
        <v>Bovensteweg 83</v>
      </c>
      <c r="B244" t="s">
        <v>335</v>
      </c>
      <c r="C244" t="s">
        <v>306</v>
      </c>
      <c r="D244">
        <v>1972</v>
      </c>
      <c r="E244">
        <v>98</v>
      </c>
      <c r="F244" t="s">
        <v>332</v>
      </c>
      <c r="G244">
        <v>83</v>
      </c>
    </row>
    <row r="245" spans="1:8">
      <c r="A245" t="str">
        <f t="shared" si="3"/>
        <v>Bovensteweg 85</v>
      </c>
      <c r="B245" t="s">
        <v>335</v>
      </c>
      <c r="C245" t="s">
        <v>306</v>
      </c>
      <c r="D245">
        <v>1972</v>
      </c>
      <c r="E245">
        <v>286</v>
      </c>
      <c r="F245" t="s">
        <v>332</v>
      </c>
      <c r="G245">
        <v>85</v>
      </c>
    </row>
    <row r="246" spans="1:8">
      <c r="A246" t="str">
        <f t="shared" si="3"/>
        <v>Bovensteweg 87a</v>
      </c>
      <c r="B246" t="s">
        <v>335</v>
      </c>
      <c r="C246" t="s">
        <v>306</v>
      </c>
      <c r="D246">
        <v>1982</v>
      </c>
      <c r="E246">
        <v>300</v>
      </c>
      <c r="F246" t="s">
        <v>332</v>
      </c>
      <c r="G246">
        <v>87</v>
      </c>
      <c r="H246" t="s">
        <v>304</v>
      </c>
    </row>
    <row r="247" spans="1:8">
      <c r="A247" t="str">
        <f t="shared" si="3"/>
        <v>Bovensteweg 87</v>
      </c>
      <c r="B247" t="s">
        <v>335</v>
      </c>
      <c r="C247" t="s">
        <v>306</v>
      </c>
      <c r="D247">
        <v>1973</v>
      </c>
      <c r="E247">
        <v>194</v>
      </c>
      <c r="F247" t="s">
        <v>332</v>
      </c>
      <c r="G247">
        <v>87</v>
      </c>
    </row>
    <row r="248" spans="1:8">
      <c r="A248" t="str">
        <f t="shared" si="3"/>
        <v>Bovensteweg 91</v>
      </c>
      <c r="B248" t="s">
        <v>335</v>
      </c>
      <c r="C248" t="s">
        <v>306</v>
      </c>
      <c r="D248">
        <v>1972</v>
      </c>
      <c r="E248">
        <v>1048</v>
      </c>
      <c r="F248" t="s">
        <v>332</v>
      </c>
      <c r="G248">
        <v>91</v>
      </c>
    </row>
    <row r="249" spans="1:8">
      <c r="A249" t="str">
        <f t="shared" si="3"/>
        <v>Bovensteweg 95</v>
      </c>
      <c r="B249" t="s">
        <v>335</v>
      </c>
      <c r="C249" t="s">
        <v>306</v>
      </c>
      <c r="D249">
        <v>1960</v>
      </c>
      <c r="E249">
        <v>189</v>
      </c>
      <c r="F249" t="s">
        <v>332</v>
      </c>
      <c r="G249">
        <v>95</v>
      </c>
    </row>
    <row r="250" spans="1:8">
      <c r="A250" t="str">
        <f t="shared" si="3"/>
        <v>Bovensteweg 97</v>
      </c>
      <c r="B250" t="s">
        <v>335</v>
      </c>
      <c r="C250" t="s">
        <v>306</v>
      </c>
      <c r="D250">
        <v>1960</v>
      </c>
      <c r="E250">
        <v>187</v>
      </c>
      <c r="F250" t="s">
        <v>332</v>
      </c>
      <c r="G250">
        <v>97</v>
      </c>
    </row>
    <row r="251" spans="1:8">
      <c r="A251" t="str">
        <f t="shared" si="3"/>
        <v>Bovensteweg 99</v>
      </c>
      <c r="B251" t="s">
        <v>335</v>
      </c>
      <c r="C251" t="s">
        <v>306</v>
      </c>
      <c r="D251">
        <v>1950</v>
      </c>
      <c r="E251">
        <v>375</v>
      </c>
      <c r="F251" t="s">
        <v>332</v>
      </c>
      <c r="G251">
        <v>99</v>
      </c>
    </row>
    <row r="252" spans="1:8">
      <c r="A252" t="str">
        <f t="shared" si="3"/>
        <v>Bovensteweg 101</v>
      </c>
      <c r="B252" t="s">
        <v>335</v>
      </c>
      <c r="C252" t="s">
        <v>306</v>
      </c>
      <c r="D252">
        <v>1930</v>
      </c>
      <c r="E252">
        <v>150</v>
      </c>
      <c r="F252" t="s">
        <v>332</v>
      </c>
      <c r="G252">
        <v>101</v>
      </c>
    </row>
    <row r="253" spans="1:8">
      <c r="A253" t="str">
        <f t="shared" si="3"/>
        <v>Bovensteweg 105</v>
      </c>
      <c r="B253" t="s">
        <v>335</v>
      </c>
      <c r="C253" t="s">
        <v>306</v>
      </c>
      <c r="D253">
        <v>1998</v>
      </c>
      <c r="E253">
        <v>1329</v>
      </c>
      <c r="F253" t="s">
        <v>332</v>
      </c>
      <c r="G253">
        <v>105</v>
      </c>
    </row>
    <row r="254" spans="1:8">
      <c r="A254" t="str">
        <f t="shared" si="3"/>
        <v>Bracamonteweg 2</v>
      </c>
      <c r="B254" t="s">
        <v>336</v>
      </c>
      <c r="C254" t="s">
        <v>306</v>
      </c>
      <c r="D254">
        <v>1935</v>
      </c>
      <c r="E254">
        <v>176</v>
      </c>
      <c r="F254" t="s">
        <v>337</v>
      </c>
      <c r="G254">
        <v>2</v>
      </c>
    </row>
    <row r="255" spans="1:8">
      <c r="A255" t="str">
        <f t="shared" si="3"/>
        <v>Bracamonteweg 3</v>
      </c>
      <c r="B255" t="s">
        <v>336</v>
      </c>
      <c r="C255" t="s">
        <v>306</v>
      </c>
      <c r="D255">
        <v>1980</v>
      </c>
      <c r="E255">
        <v>56</v>
      </c>
      <c r="F255" t="s">
        <v>337</v>
      </c>
      <c r="G255">
        <v>3</v>
      </c>
    </row>
    <row r="256" spans="1:8">
      <c r="A256" t="str">
        <f t="shared" si="3"/>
        <v>Bracamonteweg 4</v>
      </c>
      <c r="B256" t="s">
        <v>336</v>
      </c>
      <c r="C256" t="s">
        <v>306</v>
      </c>
      <c r="D256">
        <v>1963</v>
      </c>
      <c r="E256">
        <v>220</v>
      </c>
      <c r="F256" t="s">
        <v>337</v>
      </c>
      <c r="G256">
        <v>4</v>
      </c>
    </row>
    <row r="257" spans="1:7">
      <c r="A257" t="str">
        <f t="shared" si="3"/>
        <v>Bracamonteweg 5</v>
      </c>
      <c r="B257" t="s">
        <v>336</v>
      </c>
      <c r="C257" t="s">
        <v>306</v>
      </c>
      <c r="D257">
        <v>1976</v>
      </c>
      <c r="E257">
        <v>41</v>
      </c>
      <c r="F257" t="s">
        <v>337</v>
      </c>
      <c r="G257">
        <v>5</v>
      </c>
    </row>
    <row r="258" spans="1:7">
      <c r="A258" t="str">
        <f t="shared" ref="A258:A321" si="4">CONCATENATE(F258," ",G258,H258)</f>
        <v>Bracamonteweg 6</v>
      </c>
      <c r="B258" t="s">
        <v>336</v>
      </c>
      <c r="C258" t="s">
        <v>306</v>
      </c>
      <c r="D258">
        <v>1968</v>
      </c>
      <c r="E258">
        <v>237</v>
      </c>
      <c r="F258" t="s">
        <v>337</v>
      </c>
      <c r="G258">
        <v>6</v>
      </c>
    </row>
    <row r="259" spans="1:7">
      <c r="A259" t="str">
        <f t="shared" si="4"/>
        <v>Bracamonteweg 7</v>
      </c>
      <c r="B259" t="s">
        <v>336</v>
      </c>
      <c r="C259" t="s">
        <v>306</v>
      </c>
      <c r="D259">
        <v>1976</v>
      </c>
      <c r="E259">
        <v>50</v>
      </c>
      <c r="F259" t="s">
        <v>337</v>
      </c>
      <c r="G259">
        <v>7</v>
      </c>
    </row>
    <row r="260" spans="1:7">
      <c r="A260" t="str">
        <f t="shared" si="4"/>
        <v>Bracamonteweg 9</v>
      </c>
      <c r="B260" t="s">
        <v>336</v>
      </c>
      <c r="C260" t="s">
        <v>306</v>
      </c>
      <c r="D260">
        <v>2021</v>
      </c>
      <c r="E260">
        <v>157</v>
      </c>
      <c r="F260" t="s">
        <v>337</v>
      </c>
      <c r="G260">
        <v>9</v>
      </c>
    </row>
    <row r="261" spans="1:7">
      <c r="A261" t="str">
        <f t="shared" si="4"/>
        <v>Bracamonteweg 11</v>
      </c>
      <c r="B261" t="s">
        <v>336</v>
      </c>
      <c r="C261" t="s">
        <v>306</v>
      </c>
      <c r="D261">
        <v>1976</v>
      </c>
      <c r="E261">
        <v>300</v>
      </c>
      <c r="F261" t="s">
        <v>337</v>
      </c>
      <c r="G261">
        <v>11</v>
      </c>
    </row>
    <row r="262" spans="1:7">
      <c r="A262" t="str">
        <f t="shared" si="4"/>
        <v>Bracamonteweg 12</v>
      </c>
      <c r="B262" t="s">
        <v>336</v>
      </c>
      <c r="C262" t="s">
        <v>306</v>
      </c>
      <c r="D262">
        <v>1978</v>
      </c>
      <c r="E262">
        <v>235</v>
      </c>
      <c r="F262" t="s">
        <v>337</v>
      </c>
      <c r="G262">
        <v>12</v>
      </c>
    </row>
    <row r="263" spans="1:7">
      <c r="A263" t="str">
        <f t="shared" si="4"/>
        <v>Bracamonteweg 13</v>
      </c>
      <c r="B263" t="s">
        <v>336</v>
      </c>
      <c r="C263" t="s">
        <v>306</v>
      </c>
      <c r="D263">
        <v>1970</v>
      </c>
      <c r="E263">
        <v>184</v>
      </c>
      <c r="F263" t="s">
        <v>337</v>
      </c>
      <c r="G263">
        <v>13</v>
      </c>
    </row>
    <row r="264" spans="1:7">
      <c r="A264" t="str">
        <f t="shared" si="4"/>
        <v>Bracamonteweg 14</v>
      </c>
      <c r="B264" t="s">
        <v>336</v>
      </c>
      <c r="C264" t="s">
        <v>306</v>
      </c>
      <c r="D264">
        <v>1975</v>
      </c>
      <c r="E264">
        <v>319</v>
      </c>
      <c r="F264" t="s">
        <v>337</v>
      </c>
      <c r="G264">
        <v>14</v>
      </c>
    </row>
    <row r="265" spans="1:7">
      <c r="A265" t="str">
        <f t="shared" si="4"/>
        <v>Bracamonteweg 15</v>
      </c>
      <c r="B265" t="s">
        <v>336</v>
      </c>
      <c r="C265" t="s">
        <v>306</v>
      </c>
      <c r="D265">
        <v>2015</v>
      </c>
      <c r="E265">
        <v>120</v>
      </c>
      <c r="F265" t="s">
        <v>337</v>
      </c>
      <c r="G265">
        <v>15</v>
      </c>
    </row>
    <row r="266" spans="1:7">
      <c r="A266" t="str">
        <f t="shared" si="4"/>
        <v>Bracamonteweg 22</v>
      </c>
      <c r="B266" t="s">
        <v>336</v>
      </c>
      <c r="C266" t="s">
        <v>306</v>
      </c>
      <c r="D266">
        <v>1960</v>
      </c>
      <c r="E266">
        <v>131</v>
      </c>
      <c r="F266" t="s">
        <v>337</v>
      </c>
      <c r="G266">
        <v>22</v>
      </c>
    </row>
    <row r="267" spans="1:7">
      <c r="A267" t="str">
        <f t="shared" si="4"/>
        <v>Bracamonteweg 24</v>
      </c>
      <c r="B267" t="s">
        <v>336</v>
      </c>
      <c r="C267" t="s">
        <v>306</v>
      </c>
      <c r="D267">
        <v>2016</v>
      </c>
      <c r="E267">
        <v>232</v>
      </c>
      <c r="F267" t="s">
        <v>337</v>
      </c>
      <c r="G267">
        <v>24</v>
      </c>
    </row>
    <row r="268" spans="1:7">
      <c r="A268" t="str">
        <f t="shared" si="4"/>
        <v>Bracamonteweg 26</v>
      </c>
      <c r="B268" t="s">
        <v>336</v>
      </c>
      <c r="C268" t="s">
        <v>306</v>
      </c>
      <c r="D268">
        <v>1960</v>
      </c>
      <c r="E268">
        <v>213</v>
      </c>
      <c r="F268" t="s">
        <v>337</v>
      </c>
      <c r="G268">
        <v>26</v>
      </c>
    </row>
    <row r="269" spans="1:7">
      <c r="A269" t="str">
        <f t="shared" si="4"/>
        <v>Bracamonteweg 28</v>
      </c>
      <c r="B269" t="s">
        <v>336</v>
      </c>
      <c r="C269" t="s">
        <v>306</v>
      </c>
      <c r="D269">
        <v>1960</v>
      </c>
      <c r="E269">
        <v>606</v>
      </c>
      <c r="F269" t="s">
        <v>337</v>
      </c>
      <c r="G269">
        <v>28</v>
      </c>
    </row>
    <row r="270" spans="1:7">
      <c r="A270" t="str">
        <f t="shared" si="4"/>
        <v>Bracamonteweg 49</v>
      </c>
      <c r="B270" t="s">
        <v>336</v>
      </c>
      <c r="C270" t="s">
        <v>306</v>
      </c>
      <c r="D270">
        <v>1978</v>
      </c>
      <c r="E270">
        <v>384</v>
      </c>
      <c r="F270" t="s">
        <v>337</v>
      </c>
      <c r="G270">
        <v>49</v>
      </c>
    </row>
    <row r="271" spans="1:7">
      <c r="A271" t="str">
        <f t="shared" si="4"/>
        <v>Bracamonteweg 51</v>
      </c>
      <c r="B271" t="s">
        <v>336</v>
      </c>
      <c r="C271" t="s">
        <v>306</v>
      </c>
      <c r="D271">
        <v>1970</v>
      </c>
      <c r="E271">
        <v>556</v>
      </c>
      <c r="F271" t="s">
        <v>337</v>
      </c>
      <c r="G271">
        <v>51</v>
      </c>
    </row>
    <row r="272" spans="1:7">
      <c r="A272" t="str">
        <f t="shared" si="4"/>
        <v>Bracamonteweg 53</v>
      </c>
      <c r="B272" t="s">
        <v>336</v>
      </c>
      <c r="C272" t="s">
        <v>306</v>
      </c>
      <c r="D272">
        <v>2018</v>
      </c>
      <c r="E272">
        <v>69</v>
      </c>
      <c r="F272" t="s">
        <v>337</v>
      </c>
      <c r="G272">
        <v>53</v>
      </c>
    </row>
    <row r="273" spans="1:7">
      <c r="A273" t="str">
        <f t="shared" si="4"/>
        <v>Bracamonteweg 55</v>
      </c>
      <c r="B273" t="s">
        <v>336</v>
      </c>
      <c r="C273" t="s">
        <v>306</v>
      </c>
      <c r="D273">
        <v>1970</v>
      </c>
      <c r="E273">
        <v>121</v>
      </c>
      <c r="F273" t="s">
        <v>337</v>
      </c>
      <c r="G273">
        <v>55</v>
      </c>
    </row>
    <row r="274" spans="1:7">
      <c r="A274" t="str">
        <f t="shared" si="4"/>
        <v>Bracamonteweg 57</v>
      </c>
      <c r="B274" t="s">
        <v>336</v>
      </c>
      <c r="C274" t="s">
        <v>306</v>
      </c>
      <c r="D274">
        <v>1962</v>
      </c>
      <c r="E274">
        <v>230</v>
      </c>
      <c r="F274" t="s">
        <v>337</v>
      </c>
      <c r="G274">
        <v>57</v>
      </c>
    </row>
    <row r="275" spans="1:7">
      <c r="A275" t="str">
        <f t="shared" si="4"/>
        <v>Bracamonteweg 59</v>
      </c>
      <c r="B275" t="s">
        <v>336</v>
      </c>
      <c r="C275" t="s">
        <v>306</v>
      </c>
      <c r="D275">
        <v>1968</v>
      </c>
      <c r="E275">
        <v>256</v>
      </c>
      <c r="F275" t="s">
        <v>337</v>
      </c>
      <c r="G275">
        <v>59</v>
      </c>
    </row>
    <row r="276" spans="1:7">
      <c r="A276" t="str">
        <f t="shared" si="4"/>
        <v>Bracamonteweg 69</v>
      </c>
      <c r="B276" t="s">
        <v>336</v>
      </c>
      <c r="C276" t="s">
        <v>306</v>
      </c>
      <c r="D276">
        <v>1976</v>
      </c>
      <c r="E276">
        <v>374</v>
      </c>
      <c r="F276" t="s">
        <v>337</v>
      </c>
      <c r="G276">
        <v>69</v>
      </c>
    </row>
    <row r="277" spans="1:7">
      <c r="A277" t="str">
        <f t="shared" si="4"/>
        <v>Brandenburgstraat 1</v>
      </c>
      <c r="B277" t="s">
        <v>338</v>
      </c>
      <c r="C277" t="s">
        <v>296</v>
      </c>
      <c r="D277">
        <v>2003</v>
      </c>
      <c r="E277">
        <v>160</v>
      </c>
      <c r="F277" t="s">
        <v>339</v>
      </c>
      <c r="G277">
        <v>1</v>
      </c>
    </row>
    <row r="278" spans="1:7">
      <c r="A278" t="str">
        <f t="shared" si="4"/>
        <v>Brandenburgstraat 2</v>
      </c>
      <c r="B278" t="s">
        <v>338</v>
      </c>
      <c r="C278" t="s">
        <v>296</v>
      </c>
      <c r="D278">
        <v>1987</v>
      </c>
      <c r="E278">
        <v>86</v>
      </c>
      <c r="F278" t="s">
        <v>339</v>
      </c>
      <c r="G278">
        <v>2</v>
      </c>
    </row>
    <row r="279" spans="1:7">
      <c r="A279" t="str">
        <f t="shared" si="4"/>
        <v>Brandenburgstraat 3</v>
      </c>
      <c r="B279" t="s">
        <v>338</v>
      </c>
      <c r="C279" t="s">
        <v>296</v>
      </c>
      <c r="D279">
        <v>1987</v>
      </c>
      <c r="E279">
        <v>108</v>
      </c>
      <c r="F279" t="s">
        <v>339</v>
      </c>
      <c r="G279">
        <v>3</v>
      </c>
    </row>
    <row r="280" spans="1:7">
      <c r="A280" t="str">
        <f t="shared" si="4"/>
        <v>Brandenburgstraat 4</v>
      </c>
      <c r="B280" t="s">
        <v>338</v>
      </c>
      <c r="C280" t="s">
        <v>296</v>
      </c>
      <c r="D280">
        <v>1987</v>
      </c>
      <c r="E280">
        <v>86</v>
      </c>
      <c r="F280" t="s">
        <v>339</v>
      </c>
      <c r="G280">
        <v>4</v>
      </c>
    </row>
    <row r="281" spans="1:7">
      <c r="A281" t="str">
        <f t="shared" si="4"/>
        <v>Brandenburgstraat 6</v>
      </c>
      <c r="B281" t="s">
        <v>338</v>
      </c>
      <c r="C281" t="s">
        <v>296</v>
      </c>
      <c r="D281">
        <v>1987</v>
      </c>
      <c r="E281">
        <v>86</v>
      </c>
      <c r="F281" t="s">
        <v>339</v>
      </c>
      <c r="G281">
        <v>6</v>
      </c>
    </row>
    <row r="282" spans="1:7">
      <c r="A282" t="str">
        <f t="shared" si="4"/>
        <v>Brandenburgstraat 8</v>
      </c>
      <c r="B282" t="s">
        <v>338</v>
      </c>
      <c r="C282" t="s">
        <v>296</v>
      </c>
      <c r="D282">
        <v>1987</v>
      </c>
      <c r="E282">
        <v>86</v>
      </c>
      <c r="F282" t="s">
        <v>339</v>
      </c>
      <c r="G282">
        <v>8</v>
      </c>
    </row>
    <row r="283" spans="1:7">
      <c r="A283" t="str">
        <f t="shared" si="4"/>
        <v>Brandenburgstraat 10</v>
      </c>
      <c r="B283" t="s">
        <v>338</v>
      </c>
      <c r="C283" t="s">
        <v>296</v>
      </c>
      <c r="D283">
        <v>1987</v>
      </c>
      <c r="E283">
        <v>86</v>
      </c>
      <c r="F283" t="s">
        <v>339</v>
      </c>
      <c r="G283">
        <v>10</v>
      </c>
    </row>
    <row r="284" spans="1:7">
      <c r="A284" t="str">
        <f t="shared" si="4"/>
        <v>Brandenburgstraat 12</v>
      </c>
      <c r="B284" t="s">
        <v>338</v>
      </c>
      <c r="C284" t="s">
        <v>296</v>
      </c>
      <c r="D284">
        <v>1987</v>
      </c>
      <c r="E284">
        <v>86</v>
      </c>
      <c r="F284" t="s">
        <v>339</v>
      </c>
      <c r="G284">
        <v>12</v>
      </c>
    </row>
    <row r="285" spans="1:7">
      <c r="A285" t="str">
        <f t="shared" si="4"/>
        <v>Brandenburgstraat 14</v>
      </c>
      <c r="B285" t="s">
        <v>338</v>
      </c>
      <c r="C285" t="s">
        <v>296</v>
      </c>
      <c r="D285">
        <v>1987</v>
      </c>
      <c r="E285">
        <v>86</v>
      </c>
      <c r="F285" t="s">
        <v>339</v>
      </c>
      <c r="G285">
        <v>14</v>
      </c>
    </row>
    <row r="286" spans="1:7">
      <c r="A286" t="str">
        <f t="shared" si="4"/>
        <v>Brandenburgstraat 16</v>
      </c>
      <c r="B286" t="s">
        <v>338</v>
      </c>
      <c r="C286" t="s">
        <v>296</v>
      </c>
      <c r="D286">
        <v>1987</v>
      </c>
      <c r="E286">
        <v>86</v>
      </c>
      <c r="F286" t="s">
        <v>339</v>
      </c>
      <c r="G286">
        <v>16</v>
      </c>
    </row>
    <row r="287" spans="1:7">
      <c r="A287" t="str">
        <f t="shared" si="4"/>
        <v>Brandenburgstraat 18</v>
      </c>
      <c r="B287" t="s">
        <v>338</v>
      </c>
      <c r="C287" t="s">
        <v>296</v>
      </c>
      <c r="D287">
        <v>1987</v>
      </c>
      <c r="E287">
        <v>86</v>
      </c>
      <c r="F287" t="s">
        <v>339</v>
      </c>
      <c r="G287">
        <v>18</v>
      </c>
    </row>
    <row r="288" spans="1:7">
      <c r="A288" t="str">
        <f t="shared" si="4"/>
        <v>Brandenburgstraat 20</v>
      </c>
      <c r="B288" t="s">
        <v>338</v>
      </c>
      <c r="C288" t="s">
        <v>296</v>
      </c>
      <c r="D288">
        <v>1987</v>
      </c>
      <c r="E288">
        <v>86</v>
      </c>
      <c r="F288" t="s">
        <v>339</v>
      </c>
      <c r="G288">
        <v>20</v>
      </c>
    </row>
    <row r="289" spans="1:7">
      <c r="A289" t="str">
        <f t="shared" si="4"/>
        <v>Brempad 1</v>
      </c>
      <c r="B289" t="s">
        <v>340</v>
      </c>
      <c r="C289" t="s">
        <v>296</v>
      </c>
      <c r="D289">
        <v>1975</v>
      </c>
      <c r="E289">
        <v>199</v>
      </c>
      <c r="F289" t="s">
        <v>341</v>
      </c>
      <c r="G289">
        <v>1</v>
      </c>
    </row>
    <row r="290" spans="1:7">
      <c r="A290" t="str">
        <f t="shared" si="4"/>
        <v>Brempad 2</v>
      </c>
      <c r="B290" t="s">
        <v>340</v>
      </c>
      <c r="C290" t="s">
        <v>296</v>
      </c>
      <c r="D290">
        <v>1975</v>
      </c>
      <c r="E290">
        <v>213</v>
      </c>
      <c r="F290" t="s">
        <v>341</v>
      </c>
      <c r="G290">
        <v>2</v>
      </c>
    </row>
    <row r="291" spans="1:7">
      <c r="A291" t="str">
        <f t="shared" si="4"/>
        <v>Brempad 4</v>
      </c>
      <c r="B291" t="s">
        <v>340</v>
      </c>
      <c r="C291" t="s">
        <v>296</v>
      </c>
      <c r="D291">
        <v>1967</v>
      </c>
      <c r="E291">
        <v>207</v>
      </c>
      <c r="F291" t="s">
        <v>341</v>
      </c>
      <c r="G291">
        <v>4</v>
      </c>
    </row>
    <row r="292" spans="1:7">
      <c r="A292" t="str">
        <f t="shared" si="4"/>
        <v>Broekweg 1</v>
      </c>
      <c r="B292" t="s">
        <v>342</v>
      </c>
      <c r="C292" t="s">
        <v>343</v>
      </c>
      <c r="D292">
        <v>1993</v>
      </c>
      <c r="E292">
        <v>79</v>
      </c>
      <c r="F292" t="s">
        <v>344</v>
      </c>
      <c r="G292">
        <v>1</v>
      </c>
    </row>
    <row r="293" spans="1:7">
      <c r="A293" t="str">
        <f t="shared" si="4"/>
        <v>Broekweg 2</v>
      </c>
      <c r="B293" t="s">
        <v>342</v>
      </c>
      <c r="C293" t="s">
        <v>343</v>
      </c>
      <c r="D293">
        <v>1993</v>
      </c>
      <c r="E293">
        <v>79</v>
      </c>
      <c r="F293" t="s">
        <v>344</v>
      </c>
      <c r="G293">
        <v>2</v>
      </c>
    </row>
    <row r="294" spans="1:7">
      <c r="A294" t="str">
        <f t="shared" si="4"/>
        <v>Broekweg 3</v>
      </c>
      <c r="B294" t="s">
        <v>342</v>
      </c>
      <c r="C294" t="s">
        <v>343</v>
      </c>
      <c r="D294">
        <v>1993</v>
      </c>
      <c r="E294">
        <v>79</v>
      </c>
      <c r="F294" t="s">
        <v>344</v>
      </c>
      <c r="G294">
        <v>3</v>
      </c>
    </row>
    <row r="295" spans="1:7">
      <c r="A295" t="str">
        <f t="shared" si="4"/>
        <v>Broekweg 4</v>
      </c>
      <c r="B295" t="s">
        <v>342</v>
      </c>
      <c r="C295" t="s">
        <v>343</v>
      </c>
      <c r="D295">
        <v>1993</v>
      </c>
      <c r="E295">
        <v>79</v>
      </c>
      <c r="F295" t="s">
        <v>344</v>
      </c>
      <c r="G295">
        <v>4</v>
      </c>
    </row>
    <row r="296" spans="1:7">
      <c r="A296" t="str">
        <f t="shared" si="4"/>
        <v>Broekweg 5</v>
      </c>
      <c r="B296" t="s">
        <v>342</v>
      </c>
      <c r="C296" t="s">
        <v>343</v>
      </c>
      <c r="D296">
        <v>1993</v>
      </c>
      <c r="E296">
        <v>79</v>
      </c>
      <c r="F296" t="s">
        <v>344</v>
      </c>
      <c r="G296">
        <v>5</v>
      </c>
    </row>
    <row r="297" spans="1:7">
      <c r="A297" t="str">
        <f t="shared" si="4"/>
        <v>Broekweg 6</v>
      </c>
      <c r="B297" t="s">
        <v>342</v>
      </c>
      <c r="C297" t="s">
        <v>343</v>
      </c>
      <c r="D297">
        <v>1993</v>
      </c>
      <c r="E297">
        <v>79</v>
      </c>
      <c r="F297" t="s">
        <v>344</v>
      </c>
      <c r="G297">
        <v>6</v>
      </c>
    </row>
    <row r="298" spans="1:7">
      <c r="A298" t="str">
        <f t="shared" si="4"/>
        <v>Broekweg 7</v>
      </c>
      <c r="B298" t="s">
        <v>342</v>
      </c>
      <c r="C298" t="s">
        <v>343</v>
      </c>
      <c r="D298">
        <v>1993</v>
      </c>
      <c r="E298">
        <v>79</v>
      </c>
      <c r="F298" t="s">
        <v>344</v>
      </c>
      <c r="G298">
        <v>7</v>
      </c>
    </row>
    <row r="299" spans="1:7">
      <c r="A299" t="str">
        <f t="shared" si="4"/>
        <v>Broekweg 8</v>
      </c>
      <c r="B299" t="s">
        <v>342</v>
      </c>
      <c r="C299" t="s">
        <v>343</v>
      </c>
      <c r="D299">
        <v>1993</v>
      </c>
      <c r="E299">
        <v>83</v>
      </c>
      <c r="F299" t="s">
        <v>344</v>
      </c>
      <c r="G299">
        <v>8</v>
      </c>
    </row>
    <row r="300" spans="1:7">
      <c r="A300" t="str">
        <f t="shared" si="4"/>
        <v>Broekweg 9</v>
      </c>
      <c r="B300" t="s">
        <v>342</v>
      </c>
      <c r="C300" t="s">
        <v>343</v>
      </c>
      <c r="D300">
        <v>1993</v>
      </c>
      <c r="E300">
        <v>83</v>
      </c>
      <c r="F300" t="s">
        <v>344</v>
      </c>
      <c r="G300">
        <v>9</v>
      </c>
    </row>
    <row r="301" spans="1:7">
      <c r="A301" t="str">
        <f t="shared" si="4"/>
        <v>Broekweg 10</v>
      </c>
      <c r="B301" t="s">
        <v>342</v>
      </c>
      <c r="C301" t="s">
        <v>343</v>
      </c>
      <c r="D301">
        <v>1993</v>
      </c>
      <c r="E301">
        <v>83</v>
      </c>
      <c r="F301" t="s">
        <v>344</v>
      </c>
      <c r="G301">
        <v>10</v>
      </c>
    </row>
    <row r="302" spans="1:7">
      <c r="A302" t="str">
        <f t="shared" si="4"/>
        <v>Broekweg 11</v>
      </c>
      <c r="B302" t="s">
        <v>342</v>
      </c>
      <c r="C302" t="s">
        <v>343</v>
      </c>
      <c r="D302">
        <v>1993</v>
      </c>
      <c r="E302">
        <v>79</v>
      </c>
      <c r="F302" t="s">
        <v>344</v>
      </c>
      <c r="G302">
        <v>11</v>
      </c>
    </row>
    <row r="303" spans="1:7">
      <c r="A303" t="str">
        <f t="shared" si="4"/>
        <v>Broekweg 12</v>
      </c>
      <c r="B303" t="s">
        <v>342</v>
      </c>
      <c r="C303" t="s">
        <v>343</v>
      </c>
      <c r="D303">
        <v>1993</v>
      </c>
      <c r="E303">
        <v>79</v>
      </c>
      <c r="F303" t="s">
        <v>344</v>
      </c>
      <c r="G303">
        <v>12</v>
      </c>
    </row>
    <row r="304" spans="1:7">
      <c r="A304" t="str">
        <f t="shared" si="4"/>
        <v>Broekweg 13</v>
      </c>
      <c r="B304" t="s">
        <v>342</v>
      </c>
      <c r="C304" t="s">
        <v>343</v>
      </c>
      <c r="D304">
        <v>1993</v>
      </c>
      <c r="E304">
        <v>79</v>
      </c>
      <c r="F304" t="s">
        <v>344</v>
      </c>
      <c r="G304">
        <v>13</v>
      </c>
    </row>
    <row r="305" spans="1:8">
      <c r="A305" t="str">
        <f t="shared" si="4"/>
        <v>Broekweg 14</v>
      </c>
      <c r="B305" t="s">
        <v>342</v>
      </c>
      <c r="C305" t="s">
        <v>343</v>
      </c>
      <c r="D305">
        <v>1993</v>
      </c>
      <c r="E305">
        <v>79</v>
      </c>
      <c r="F305" t="s">
        <v>344</v>
      </c>
      <c r="G305">
        <v>14</v>
      </c>
    </row>
    <row r="306" spans="1:8">
      <c r="A306" t="str">
        <f t="shared" si="4"/>
        <v>Broekweg 15</v>
      </c>
      <c r="B306" t="s">
        <v>342</v>
      </c>
      <c r="C306" t="s">
        <v>343</v>
      </c>
      <c r="D306">
        <v>1993</v>
      </c>
      <c r="E306">
        <v>79</v>
      </c>
      <c r="F306" t="s">
        <v>344</v>
      </c>
      <c r="G306">
        <v>15</v>
      </c>
    </row>
    <row r="307" spans="1:8">
      <c r="A307" t="str">
        <f t="shared" si="4"/>
        <v>Broekweg 16</v>
      </c>
      <c r="B307" t="s">
        <v>342</v>
      </c>
      <c r="C307" t="s">
        <v>343</v>
      </c>
      <c r="D307">
        <v>1993</v>
      </c>
      <c r="E307">
        <v>79</v>
      </c>
      <c r="F307" t="s">
        <v>344</v>
      </c>
      <c r="G307">
        <v>16</v>
      </c>
    </row>
    <row r="308" spans="1:8">
      <c r="A308" t="str">
        <f t="shared" si="4"/>
        <v>Broekweg 17</v>
      </c>
      <c r="B308" t="s">
        <v>342</v>
      </c>
      <c r="C308" t="s">
        <v>343</v>
      </c>
      <c r="D308">
        <v>1993</v>
      </c>
      <c r="E308">
        <v>79</v>
      </c>
      <c r="F308" t="s">
        <v>344</v>
      </c>
      <c r="G308">
        <v>17</v>
      </c>
    </row>
    <row r="309" spans="1:8">
      <c r="A309" t="str">
        <f t="shared" si="4"/>
        <v>Broekweg 18</v>
      </c>
      <c r="B309" t="s">
        <v>342</v>
      </c>
      <c r="C309" t="s">
        <v>343</v>
      </c>
      <c r="D309">
        <v>1993</v>
      </c>
      <c r="E309">
        <v>79</v>
      </c>
      <c r="F309" t="s">
        <v>344</v>
      </c>
      <c r="G309">
        <v>18</v>
      </c>
    </row>
    <row r="310" spans="1:8">
      <c r="A310" t="str">
        <f t="shared" si="4"/>
        <v>Broekweg 19a</v>
      </c>
      <c r="B310" t="s">
        <v>342</v>
      </c>
      <c r="C310" t="s">
        <v>343</v>
      </c>
      <c r="D310">
        <v>1995</v>
      </c>
      <c r="E310">
        <v>64</v>
      </c>
      <c r="F310" t="s">
        <v>344</v>
      </c>
      <c r="G310">
        <v>19</v>
      </c>
      <c r="H310" t="s">
        <v>304</v>
      </c>
    </row>
    <row r="311" spans="1:8">
      <c r="A311" t="str">
        <f t="shared" si="4"/>
        <v>Broekweg 19</v>
      </c>
      <c r="B311" t="s">
        <v>342</v>
      </c>
      <c r="C311" t="s">
        <v>343</v>
      </c>
      <c r="D311">
        <v>1993</v>
      </c>
      <c r="E311">
        <v>79</v>
      </c>
      <c r="F311" t="s">
        <v>344</v>
      </c>
      <c r="G311">
        <v>19</v>
      </c>
    </row>
    <row r="312" spans="1:8">
      <c r="A312" t="str">
        <f t="shared" si="4"/>
        <v>Broekweg 20</v>
      </c>
      <c r="B312" t="s">
        <v>342</v>
      </c>
      <c r="C312" t="s">
        <v>343</v>
      </c>
      <c r="D312">
        <v>1995</v>
      </c>
      <c r="E312">
        <v>66</v>
      </c>
      <c r="F312" t="s">
        <v>344</v>
      </c>
      <c r="G312">
        <v>20</v>
      </c>
    </row>
    <row r="313" spans="1:8">
      <c r="A313" t="str">
        <f t="shared" si="4"/>
        <v>Broekweg 21</v>
      </c>
      <c r="B313" t="s">
        <v>342</v>
      </c>
      <c r="C313" t="s">
        <v>343</v>
      </c>
      <c r="D313">
        <v>1995</v>
      </c>
      <c r="E313">
        <v>66</v>
      </c>
      <c r="F313" t="s">
        <v>344</v>
      </c>
      <c r="G313">
        <v>21</v>
      </c>
    </row>
    <row r="314" spans="1:8">
      <c r="A314" t="str">
        <f t="shared" si="4"/>
        <v>Broekweg 22</v>
      </c>
      <c r="B314" t="s">
        <v>342</v>
      </c>
      <c r="C314" t="s">
        <v>343</v>
      </c>
      <c r="D314">
        <v>1995</v>
      </c>
      <c r="E314">
        <v>66</v>
      </c>
      <c r="F314" t="s">
        <v>344</v>
      </c>
      <c r="G314">
        <v>22</v>
      </c>
    </row>
    <row r="315" spans="1:8">
      <c r="A315" t="str">
        <f t="shared" si="4"/>
        <v>Broekweg 23</v>
      </c>
      <c r="B315" t="s">
        <v>342</v>
      </c>
      <c r="C315" t="s">
        <v>343</v>
      </c>
      <c r="D315">
        <v>1995</v>
      </c>
      <c r="E315">
        <v>66</v>
      </c>
      <c r="F315" t="s">
        <v>344</v>
      </c>
      <c r="G315">
        <v>23</v>
      </c>
    </row>
    <row r="316" spans="1:8">
      <c r="A316" t="str">
        <f t="shared" si="4"/>
        <v>Broekweg 24</v>
      </c>
      <c r="B316" t="s">
        <v>342</v>
      </c>
      <c r="C316" t="s">
        <v>343</v>
      </c>
      <c r="D316">
        <v>1995</v>
      </c>
      <c r="E316">
        <v>66</v>
      </c>
      <c r="F316" t="s">
        <v>344</v>
      </c>
      <c r="G316">
        <v>24</v>
      </c>
    </row>
    <row r="317" spans="1:8">
      <c r="A317" t="str">
        <f t="shared" si="4"/>
        <v>Broekweg 25</v>
      </c>
      <c r="B317" t="s">
        <v>342</v>
      </c>
      <c r="C317" t="s">
        <v>343</v>
      </c>
      <c r="D317">
        <v>1995</v>
      </c>
      <c r="E317">
        <v>66</v>
      </c>
      <c r="F317" t="s">
        <v>344</v>
      </c>
      <c r="G317">
        <v>25</v>
      </c>
    </row>
    <row r="318" spans="1:8">
      <c r="A318" t="str">
        <f t="shared" si="4"/>
        <v>Broekweg 26</v>
      </c>
      <c r="B318" t="s">
        <v>342</v>
      </c>
      <c r="C318" t="s">
        <v>343</v>
      </c>
      <c r="D318">
        <v>1995</v>
      </c>
      <c r="E318">
        <v>66</v>
      </c>
      <c r="F318" t="s">
        <v>344</v>
      </c>
      <c r="G318">
        <v>26</v>
      </c>
    </row>
    <row r="319" spans="1:8">
      <c r="A319" t="str">
        <f t="shared" si="4"/>
        <v>Broekweg 27</v>
      </c>
      <c r="B319" t="s">
        <v>342</v>
      </c>
      <c r="C319" t="s">
        <v>343</v>
      </c>
      <c r="D319">
        <v>1995</v>
      </c>
      <c r="E319">
        <v>66</v>
      </c>
      <c r="F319" t="s">
        <v>344</v>
      </c>
      <c r="G319">
        <v>27</v>
      </c>
    </row>
    <row r="320" spans="1:8">
      <c r="A320" t="str">
        <f t="shared" si="4"/>
        <v>Broekweg 28</v>
      </c>
      <c r="B320" t="s">
        <v>342</v>
      </c>
      <c r="C320" t="s">
        <v>343</v>
      </c>
      <c r="D320">
        <v>1995</v>
      </c>
      <c r="E320">
        <v>66</v>
      </c>
      <c r="F320" t="s">
        <v>344</v>
      </c>
      <c r="G320">
        <v>28</v>
      </c>
    </row>
    <row r="321" spans="1:7">
      <c r="A321" t="str">
        <f t="shared" si="4"/>
        <v>Broekweg 29</v>
      </c>
      <c r="B321" t="s">
        <v>342</v>
      </c>
      <c r="C321" t="s">
        <v>343</v>
      </c>
      <c r="D321">
        <v>1995</v>
      </c>
      <c r="E321">
        <v>66</v>
      </c>
      <c r="F321" t="s">
        <v>344</v>
      </c>
      <c r="G321">
        <v>29</v>
      </c>
    </row>
    <row r="322" spans="1:7">
      <c r="A322" t="str">
        <f t="shared" ref="A322:A385" si="5">CONCATENATE(F322," ",G322,H322)</f>
        <v>Broekweg 30</v>
      </c>
      <c r="B322" t="s">
        <v>342</v>
      </c>
      <c r="C322" t="s">
        <v>343</v>
      </c>
      <c r="D322">
        <v>1998</v>
      </c>
      <c r="E322">
        <v>60</v>
      </c>
      <c r="F322" t="s">
        <v>344</v>
      </c>
      <c r="G322">
        <v>30</v>
      </c>
    </row>
    <row r="323" spans="1:7">
      <c r="A323" t="str">
        <f t="shared" si="5"/>
        <v>Broekweg 31</v>
      </c>
      <c r="B323" t="s">
        <v>342</v>
      </c>
      <c r="C323" t="s">
        <v>343</v>
      </c>
      <c r="D323">
        <v>1998</v>
      </c>
      <c r="E323">
        <v>60</v>
      </c>
      <c r="F323" t="s">
        <v>344</v>
      </c>
      <c r="G323">
        <v>31</v>
      </c>
    </row>
    <row r="324" spans="1:7">
      <c r="A324" t="str">
        <f t="shared" si="5"/>
        <v>Broekweg 32</v>
      </c>
      <c r="B324" t="s">
        <v>342</v>
      </c>
      <c r="C324" t="s">
        <v>343</v>
      </c>
      <c r="D324">
        <v>1998</v>
      </c>
      <c r="E324">
        <v>60</v>
      </c>
      <c r="F324" t="s">
        <v>344</v>
      </c>
      <c r="G324">
        <v>32</v>
      </c>
    </row>
    <row r="325" spans="1:7">
      <c r="A325" t="str">
        <f t="shared" si="5"/>
        <v>Broekweg 33</v>
      </c>
      <c r="B325" t="s">
        <v>342</v>
      </c>
      <c r="C325" t="s">
        <v>343</v>
      </c>
      <c r="D325">
        <v>1998</v>
      </c>
      <c r="E325">
        <v>60</v>
      </c>
      <c r="F325" t="s">
        <v>344</v>
      </c>
      <c r="G325">
        <v>33</v>
      </c>
    </row>
    <row r="326" spans="1:7">
      <c r="A326" t="str">
        <f t="shared" si="5"/>
        <v>Broekweg 34</v>
      </c>
      <c r="B326" t="s">
        <v>342</v>
      </c>
      <c r="C326" t="s">
        <v>343</v>
      </c>
      <c r="D326">
        <v>1998</v>
      </c>
      <c r="E326">
        <v>60</v>
      </c>
      <c r="F326" t="s">
        <v>344</v>
      </c>
      <c r="G326">
        <v>34</v>
      </c>
    </row>
    <row r="327" spans="1:7">
      <c r="A327" t="str">
        <f t="shared" si="5"/>
        <v>Broekweg 35</v>
      </c>
      <c r="B327" t="s">
        <v>342</v>
      </c>
      <c r="C327" t="s">
        <v>343</v>
      </c>
      <c r="D327">
        <v>1998</v>
      </c>
      <c r="E327">
        <v>60</v>
      </c>
      <c r="F327" t="s">
        <v>344</v>
      </c>
      <c r="G327">
        <v>35</v>
      </c>
    </row>
    <row r="328" spans="1:7">
      <c r="A328" t="str">
        <f t="shared" si="5"/>
        <v>Broekweg 36</v>
      </c>
      <c r="B328" t="s">
        <v>342</v>
      </c>
      <c r="C328" t="s">
        <v>343</v>
      </c>
      <c r="D328">
        <v>1998</v>
      </c>
      <c r="E328">
        <v>60</v>
      </c>
      <c r="F328" t="s">
        <v>344</v>
      </c>
      <c r="G328">
        <v>36</v>
      </c>
    </row>
    <row r="329" spans="1:7">
      <c r="A329" t="str">
        <f t="shared" si="5"/>
        <v>Broekweg 37</v>
      </c>
      <c r="B329" t="s">
        <v>342</v>
      </c>
      <c r="C329" t="s">
        <v>343</v>
      </c>
      <c r="D329">
        <v>1998</v>
      </c>
      <c r="E329">
        <v>60</v>
      </c>
      <c r="F329" t="s">
        <v>344</v>
      </c>
      <c r="G329">
        <v>37</v>
      </c>
    </row>
    <row r="330" spans="1:7">
      <c r="A330" t="str">
        <f t="shared" si="5"/>
        <v>Broekweg 38</v>
      </c>
      <c r="B330" t="s">
        <v>342</v>
      </c>
      <c r="C330" t="s">
        <v>343</v>
      </c>
      <c r="D330">
        <v>1998</v>
      </c>
      <c r="E330">
        <v>60</v>
      </c>
      <c r="F330" t="s">
        <v>344</v>
      </c>
      <c r="G330">
        <v>38</v>
      </c>
    </row>
    <row r="331" spans="1:7">
      <c r="A331" t="str">
        <f t="shared" si="5"/>
        <v>Broekweg 39</v>
      </c>
      <c r="B331" t="s">
        <v>342</v>
      </c>
      <c r="C331" t="s">
        <v>343</v>
      </c>
      <c r="D331">
        <v>2001</v>
      </c>
      <c r="E331">
        <v>47</v>
      </c>
      <c r="F331" t="s">
        <v>344</v>
      </c>
      <c r="G331">
        <v>39</v>
      </c>
    </row>
    <row r="332" spans="1:7">
      <c r="A332" t="str">
        <f t="shared" si="5"/>
        <v>Broekweg 40</v>
      </c>
      <c r="B332" t="s">
        <v>342</v>
      </c>
      <c r="C332" t="s">
        <v>343</v>
      </c>
      <c r="D332">
        <v>2001</v>
      </c>
      <c r="E332">
        <v>47</v>
      </c>
      <c r="F332" t="s">
        <v>344</v>
      </c>
      <c r="G332">
        <v>40</v>
      </c>
    </row>
    <row r="333" spans="1:7">
      <c r="A333" t="str">
        <f t="shared" si="5"/>
        <v>Broekweg 41</v>
      </c>
      <c r="B333" t="s">
        <v>342</v>
      </c>
      <c r="C333" t="s">
        <v>343</v>
      </c>
      <c r="D333">
        <v>1998</v>
      </c>
      <c r="E333">
        <v>60</v>
      </c>
      <c r="F333" t="s">
        <v>344</v>
      </c>
      <c r="G333">
        <v>41</v>
      </c>
    </row>
    <row r="334" spans="1:7">
      <c r="A334" t="str">
        <f t="shared" si="5"/>
        <v>Broekweg 42</v>
      </c>
      <c r="B334" t="s">
        <v>342</v>
      </c>
      <c r="C334" t="s">
        <v>343</v>
      </c>
      <c r="D334">
        <v>1998</v>
      </c>
      <c r="E334">
        <v>60</v>
      </c>
      <c r="F334" t="s">
        <v>344</v>
      </c>
      <c r="G334">
        <v>42</v>
      </c>
    </row>
    <row r="335" spans="1:7">
      <c r="A335" t="str">
        <f t="shared" si="5"/>
        <v>Broekweg 43</v>
      </c>
      <c r="B335" t="s">
        <v>342</v>
      </c>
      <c r="C335" t="s">
        <v>343</v>
      </c>
      <c r="D335">
        <v>1998</v>
      </c>
      <c r="E335">
        <v>60</v>
      </c>
      <c r="F335" t="s">
        <v>344</v>
      </c>
      <c r="G335">
        <v>43</v>
      </c>
    </row>
    <row r="336" spans="1:7">
      <c r="A336" t="str">
        <f t="shared" si="5"/>
        <v>Broekweg 44</v>
      </c>
      <c r="B336" t="s">
        <v>342</v>
      </c>
      <c r="C336" t="s">
        <v>343</v>
      </c>
      <c r="D336">
        <v>1998</v>
      </c>
      <c r="E336">
        <v>60</v>
      </c>
      <c r="F336" t="s">
        <v>344</v>
      </c>
      <c r="G336">
        <v>44</v>
      </c>
    </row>
    <row r="337" spans="1:7">
      <c r="A337" t="str">
        <f t="shared" si="5"/>
        <v>Broekweg 45</v>
      </c>
      <c r="B337" t="s">
        <v>342</v>
      </c>
      <c r="C337" t="s">
        <v>343</v>
      </c>
      <c r="D337">
        <v>1998</v>
      </c>
      <c r="E337">
        <v>60</v>
      </c>
      <c r="F337" t="s">
        <v>344</v>
      </c>
      <c r="G337">
        <v>45</v>
      </c>
    </row>
    <row r="338" spans="1:7">
      <c r="A338" t="str">
        <f t="shared" si="5"/>
        <v>Broekweg 46</v>
      </c>
      <c r="B338" t="s">
        <v>342</v>
      </c>
      <c r="C338" t="s">
        <v>343</v>
      </c>
      <c r="D338">
        <v>1998</v>
      </c>
      <c r="E338">
        <v>60</v>
      </c>
      <c r="F338" t="s">
        <v>344</v>
      </c>
      <c r="G338">
        <v>46</v>
      </c>
    </row>
    <row r="339" spans="1:7">
      <c r="A339" t="str">
        <f t="shared" si="5"/>
        <v>Broekweg 47</v>
      </c>
      <c r="B339" t="s">
        <v>342</v>
      </c>
      <c r="C339" t="s">
        <v>343</v>
      </c>
      <c r="D339">
        <v>1998</v>
      </c>
      <c r="E339">
        <v>60</v>
      </c>
      <c r="F339" t="s">
        <v>344</v>
      </c>
      <c r="G339">
        <v>47</v>
      </c>
    </row>
    <row r="340" spans="1:7">
      <c r="A340" t="str">
        <f t="shared" si="5"/>
        <v>Broekweg 48</v>
      </c>
      <c r="B340" t="s">
        <v>342</v>
      </c>
      <c r="C340" t="s">
        <v>343</v>
      </c>
      <c r="D340">
        <v>1998</v>
      </c>
      <c r="E340">
        <v>60</v>
      </c>
      <c r="F340" t="s">
        <v>344</v>
      </c>
      <c r="G340">
        <v>48</v>
      </c>
    </row>
    <row r="341" spans="1:7">
      <c r="A341" t="str">
        <f t="shared" si="5"/>
        <v>Broekweg 49</v>
      </c>
      <c r="B341" t="s">
        <v>342</v>
      </c>
      <c r="C341" t="s">
        <v>343</v>
      </c>
      <c r="D341">
        <v>1998</v>
      </c>
      <c r="E341">
        <v>60</v>
      </c>
      <c r="F341" t="s">
        <v>344</v>
      </c>
      <c r="G341">
        <v>49</v>
      </c>
    </row>
    <row r="342" spans="1:7">
      <c r="A342" t="str">
        <f t="shared" si="5"/>
        <v>Burchtstraat 1</v>
      </c>
      <c r="B342" t="s">
        <v>345</v>
      </c>
      <c r="C342" t="s">
        <v>302</v>
      </c>
      <c r="D342">
        <v>1978</v>
      </c>
      <c r="E342">
        <v>131</v>
      </c>
      <c r="F342" t="s">
        <v>346</v>
      </c>
      <c r="G342">
        <v>1</v>
      </c>
    </row>
    <row r="343" spans="1:7">
      <c r="A343" t="str">
        <f t="shared" si="5"/>
        <v>Burchtstraat 2</v>
      </c>
      <c r="B343" t="s">
        <v>347</v>
      </c>
      <c r="C343" t="s">
        <v>302</v>
      </c>
      <c r="D343">
        <v>1985</v>
      </c>
      <c r="E343">
        <v>73</v>
      </c>
      <c r="F343" t="s">
        <v>346</v>
      </c>
      <c r="G343">
        <v>2</v>
      </c>
    </row>
    <row r="344" spans="1:7">
      <c r="A344" t="str">
        <f t="shared" si="5"/>
        <v>Burchtstraat 3</v>
      </c>
      <c r="B344" t="s">
        <v>345</v>
      </c>
      <c r="C344" t="s">
        <v>302</v>
      </c>
      <c r="D344">
        <v>1978</v>
      </c>
      <c r="E344">
        <v>141</v>
      </c>
      <c r="F344" t="s">
        <v>346</v>
      </c>
      <c r="G344">
        <v>3</v>
      </c>
    </row>
    <row r="345" spans="1:7">
      <c r="A345" t="str">
        <f t="shared" si="5"/>
        <v>Burchtstraat 4</v>
      </c>
      <c r="B345" t="s">
        <v>347</v>
      </c>
      <c r="C345" t="s">
        <v>302</v>
      </c>
      <c r="D345">
        <v>1985</v>
      </c>
      <c r="E345">
        <v>73</v>
      </c>
      <c r="F345" t="s">
        <v>346</v>
      </c>
      <c r="G345">
        <v>4</v>
      </c>
    </row>
    <row r="346" spans="1:7">
      <c r="A346" t="str">
        <f t="shared" si="5"/>
        <v>Burchtstraat 5</v>
      </c>
      <c r="B346" t="s">
        <v>345</v>
      </c>
      <c r="C346" t="s">
        <v>302</v>
      </c>
      <c r="D346">
        <v>1978</v>
      </c>
      <c r="E346">
        <v>145</v>
      </c>
      <c r="F346" t="s">
        <v>346</v>
      </c>
      <c r="G346">
        <v>5</v>
      </c>
    </row>
    <row r="347" spans="1:7">
      <c r="A347" t="str">
        <f t="shared" si="5"/>
        <v>Burchtstraat 6</v>
      </c>
      <c r="B347" t="s">
        <v>347</v>
      </c>
      <c r="C347" t="s">
        <v>302</v>
      </c>
      <c r="D347">
        <v>1985</v>
      </c>
      <c r="E347">
        <v>73</v>
      </c>
      <c r="F347" t="s">
        <v>346</v>
      </c>
      <c r="G347">
        <v>6</v>
      </c>
    </row>
    <row r="348" spans="1:7">
      <c r="A348" t="str">
        <f t="shared" si="5"/>
        <v>Burchtstraat 7</v>
      </c>
      <c r="B348" t="s">
        <v>345</v>
      </c>
      <c r="C348" t="s">
        <v>302</v>
      </c>
      <c r="D348">
        <v>1978</v>
      </c>
      <c r="E348">
        <v>144</v>
      </c>
      <c r="F348" t="s">
        <v>346</v>
      </c>
      <c r="G348">
        <v>7</v>
      </c>
    </row>
    <row r="349" spans="1:7">
      <c r="A349" t="str">
        <f t="shared" si="5"/>
        <v>Burchtstraat 8</v>
      </c>
      <c r="B349" t="s">
        <v>347</v>
      </c>
      <c r="C349" t="s">
        <v>302</v>
      </c>
      <c r="D349">
        <v>1985</v>
      </c>
      <c r="E349">
        <v>73</v>
      </c>
      <c r="F349" t="s">
        <v>346</v>
      </c>
      <c r="G349">
        <v>8</v>
      </c>
    </row>
    <row r="350" spans="1:7">
      <c r="A350" t="str">
        <f t="shared" si="5"/>
        <v>Burchtstraat 9</v>
      </c>
      <c r="B350" t="s">
        <v>345</v>
      </c>
      <c r="C350" t="s">
        <v>302</v>
      </c>
      <c r="D350">
        <v>1978</v>
      </c>
      <c r="E350">
        <v>189</v>
      </c>
      <c r="F350" t="s">
        <v>346</v>
      </c>
      <c r="G350">
        <v>9</v>
      </c>
    </row>
    <row r="351" spans="1:7">
      <c r="A351" t="str">
        <f t="shared" si="5"/>
        <v>Burchtstraat 10</v>
      </c>
      <c r="B351" t="s">
        <v>347</v>
      </c>
      <c r="C351" t="s">
        <v>302</v>
      </c>
      <c r="D351">
        <v>1985</v>
      </c>
      <c r="E351">
        <v>73</v>
      </c>
      <c r="F351" t="s">
        <v>346</v>
      </c>
      <c r="G351">
        <v>10</v>
      </c>
    </row>
    <row r="352" spans="1:7">
      <c r="A352" t="str">
        <f t="shared" si="5"/>
        <v>Burchtstraat 11</v>
      </c>
      <c r="B352" t="s">
        <v>345</v>
      </c>
      <c r="C352" t="s">
        <v>302</v>
      </c>
      <c r="D352">
        <v>1978</v>
      </c>
      <c r="E352">
        <v>144</v>
      </c>
      <c r="F352" t="s">
        <v>346</v>
      </c>
      <c r="G352">
        <v>11</v>
      </c>
    </row>
    <row r="353" spans="1:7">
      <c r="A353" t="str">
        <f t="shared" si="5"/>
        <v>Burchtstraat 12</v>
      </c>
      <c r="B353" t="s">
        <v>347</v>
      </c>
      <c r="C353" t="s">
        <v>302</v>
      </c>
      <c r="D353">
        <v>1984</v>
      </c>
      <c r="E353">
        <v>138</v>
      </c>
      <c r="F353" t="s">
        <v>346</v>
      </c>
      <c r="G353">
        <v>12</v>
      </c>
    </row>
    <row r="354" spans="1:7">
      <c r="A354" t="str">
        <f t="shared" si="5"/>
        <v>Burchtstraat 13</v>
      </c>
      <c r="B354" t="s">
        <v>345</v>
      </c>
      <c r="C354" t="s">
        <v>302</v>
      </c>
      <c r="D354">
        <v>1978</v>
      </c>
      <c r="E354">
        <v>215</v>
      </c>
      <c r="F354" t="s">
        <v>346</v>
      </c>
      <c r="G354">
        <v>13</v>
      </c>
    </row>
    <row r="355" spans="1:7">
      <c r="A355" t="str">
        <f t="shared" si="5"/>
        <v>Burchtstraat 14</v>
      </c>
      <c r="B355" t="s">
        <v>347</v>
      </c>
      <c r="C355" t="s">
        <v>302</v>
      </c>
      <c r="D355">
        <v>1984</v>
      </c>
      <c r="E355">
        <v>148</v>
      </c>
      <c r="F355" t="s">
        <v>346</v>
      </c>
      <c r="G355">
        <v>14</v>
      </c>
    </row>
    <row r="356" spans="1:7">
      <c r="A356" t="str">
        <f t="shared" si="5"/>
        <v>Burchtstraat 15</v>
      </c>
      <c r="B356" t="s">
        <v>345</v>
      </c>
      <c r="C356" t="s">
        <v>302</v>
      </c>
      <c r="D356">
        <v>1978</v>
      </c>
      <c r="E356">
        <v>155</v>
      </c>
      <c r="F356" t="s">
        <v>346</v>
      </c>
      <c r="G356">
        <v>15</v>
      </c>
    </row>
    <row r="357" spans="1:7">
      <c r="A357" t="str">
        <f t="shared" si="5"/>
        <v>Burchtstraat 16</v>
      </c>
      <c r="B357" t="s">
        <v>347</v>
      </c>
      <c r="C357" t="s">
        <v>302</v>
      </c>
      <c r="D357">
        <v>1985</v>
      </c>
      <c r="E357">
        <v>97</v>
      </c>
      <c r="F357" t="s">
        <v>346</v>
      </c>
      <c r="G357">
        <v>16</v>
      </c>
    </row>
    <row r="358" spans="1:7">
      <c r="A358" t="str">
        <f t="shared" si="5"/>
        <v>Burchtstraat 17</v>
      </c>
      <c r="B358" t="s">
        <v>345</v>
      </c>
      <c r="C358" t="s">
        <v>302</v>
      </c>
      <c r="D358">
        <v>1978</v>
      </c>
      <c r="E358">
        <v>135</v>
      </c>
      <c r="F358" t="s">
        <v>346</v>
      </c>
      <c r="G358">
        <v>17</v>
      </c>
    </row>
    <row r="359" spans="1:7">
      <c r="A359" t="str">
        <f t="shared" si="5"/>
        <v>Burchtstraat 18</v>
      </c>
      <c r="B359" t="s">
        <v>347</v>
      </c>
      <c r="C359" t="s">
        <v>302</v>
      </c>
      <c r="D359">
        <v>1985</v>
      </c>
      <c r="E359">
        <v>97</v>
      </c>
      <c r="F359" t="s">
        <v>346</v>
      </c>
      <c r="G359">
        <v>18</v>
      </c>
    </row>
    <row r="360" spans="1:7">
      <c r="A360" t="str">
        <f t="shared" si="5"/>
        <v>Burchtstraat 19</v>
      </c>
      <c r="B360" t="s">
        <v>345</v>
      </c>
      <c r="C360" t="s">
        <v>302</v>
      </c>
      <c r="D360">
        <v>1978</v>
      </c>
      <c r="E360">
        <v>159</v>
      </c>
      <c r="F360" t="s">
        <v>346</v>
      </c>
      <c r="G360">
        <v>19</v>
      </c>
    </row>
    <row r="361" spans="1:7">
      <c r="A361" t="str">
        <f t="shared" si="5"/>
        <v>Burchtstraat 20</v>
      </c>
      <c r="B361" t="s">
        <v>347</v>
      </c>
      <c r="C361" t="s">
        <v>302</v>
      </c>
      <c r="D361">
        <v>1985</v>
      </c>
      <c r="E361">
        <v>109</v>
      </c>
      <c r="F361" t="s">
        <v>346</v>
      </c>
      <c r="G361">
        <v>20</v>
      </c>
    </row>
    <row r="362" spans="1:7">
      <c r="A362" t="str">
        <f t="shared" si="5"/>
        <v>Burchtstraat 21</v>
      </c>
      <c r="B362" t="s">
        <v>345</v>
      </c>
      <c r="C362" t="s">
        <v>302</v>
      </c>
      <c r="D362">
        <v>1978</v>
      </c>
      <c r="E362">
        <v>179</v>
      </c>
      <c r="F362" t="s">
        <v>346</v>
      </c>
      <c r="G362">
        <v>21</v>
      </c>
    </row>
    <row r="363" spans="1:7">
      <c r="A363" t="str">
        <f t="shared" si="5"/>
        <v>Burchtstraat 22</v>
      </c>
      <c r="B363" t="s">
        <v>347</v>
      </c>
      <c r="C363" t="s">
        <v>302</v>
      </c>
      <c r="D363">
        <v>1985</v>
      </c>
      <c r="E363">
        <v>108</v>
      </c>
      <c r="F363" t="s">
        <v>346</v>
      </c>
      <c r="G363">
        <v>22</v>
      </c>
    </row>
    <row r="364" spans="1:7">
      <c r="A364" t="str">
        <f t="shared" si="5"/>
        <v>Burchtstraat 23</v>
      </c>
      <c r="B364" t="s">
        <v>345</v>
      </c>
      <c r="C364" t="s">
        <v>302</v>
      </c>
      <c r="D364">
        <v>1978</v>
      </c>
      <c r="E364">
        <v>153</v>
      </c>
      <c r="F364" t="s">
        <v>346</v>
      </c>
      <c r="G364">
        <v>23</v>
      </c>
    </row>
    <row r="365" spans="1:7">
      <c r="A365" t="str">
        <f t="shared" si="5"/>
        <v>Burchtstraat 24</v>
      </c>
      <c r="B365" t="s">
        <v>347</v>
      </c>
      <c r="C365" t="s">
        <v>302</v>
      </c>
      <c r="D365">
        <v>1985</v>
      </c>
      <c r="E365">
        <v>124</v>
      </c>
      <c r="F365" t="s">
        <v>346</v>
      </c>
      <c r="G365">
        <v>24</v>
      </c>
    </row>
    <row r="366" spans="1:7">
      <c r="A366" t="str">
        <f t="shared" si="5"/>
        <v>Burchtstraat 25</v>
      </c>
      <c r="B366" t="s">
        <v>345</v>
      </c>
      <c r="C366" t="s">
        <v>302</v>
      </c>
      <c r="D366">
        <v>1978</v>
      </c>
      <c r="E366">
        <v>133</v>
      </c>
      <c r="F366" t="s">
        <v>346</v>
      </c>
      <c r="G366">
        <v>25</v>
      </c>
    </row>
    <row r="367" spans="1:7">
      <c r="A367" t="str">
        <f t="shared" si="5"/>
        <v>Burchtstraat 26</v>
      </c>
      <c r="B367" t="s">
        <v>347</v>
      </c>
      <c r="C367" t="s">
        <v>302</v>
      </c>
      <c r="D367">
        <v>1985</v>
      </c>
      <c r="E367">
        <v>121</v>
      </c>
      <c r="F367" t="s">
        <v>346</v>
      </c>
      <c r="G367">
        <v>26</v>
      </c>
    </row>
    <row r="368" spans="1:7">
      <c r="A368" t="str">
        <f t="shared" si="5"/>
        <v>Burchtstraat 27</v>
      </c>
      <c r="B368" t="s">
        <v>345</v>
      </c>
      <c r="C368" t="s">
        <v>302</v>
      </c>
      <c r="D368">
        <v>1978</v>
      </c>
      <c r="E368">
        <v>161</v>
      </c>
      <c r="F368" t="s">
        <v>346</v>
      </c>
      <c r="G368">
        <v>27</v>
      </c>
    </row>
    <row r="369" spans="1:7">
      <c r="A369" t="str">
        <f t="shared" si="5"/>
        <v>Burchtstraat 28</v>
      </c>
      <c r="B369" t="s">
        <v>347</v>
      </c>
      <c r="C369" t="s">
        <v>302</v>
      </c>
      <c r="D369">
        <v>1985</v>
      </c>
      <c r="E369">
        <v>114</v>
      </c>
      <c r="F369" t="s">
        <v>346</v>
      </c>
      <c r="G369">
        <v>28</v>
      </c>
    </row>
    <row r="370" spans="1:7">
      <c r="A370" t="str">
        <f t="shared" si="5"/>
        <v>Burchtstraat 29</v>
      </c>
      <c r="B370" t="s">
        <v>345</v>
      </c>
      <c r="C370" t="s">
        <v>302</v>
      </c>
      <c r="D370">
        <v>1978</v>
      </c>
      <c r="E370">
        <v>231</v>
      </c>
      <c r="F370" t="s">
        <v>346</v>
      </c>
      <c r="G370">
        <v>29</v>
      </c>
    </row>
    <row r="371" spans="1:7">
      <c r="A371" t="str">
        <f t="shared" si="5"/>
        <v>Burchtstraat 30</v>
      </c>
      <c r="B371" t="s">
        <v>347</v>
      </c>
      <c r="C371" t="s">
        <v>302</v>
      </c>
      <c r="D371">
        <v>1987</v>
      </c>
      <c r="E371">
        <v>102</v>
      </c>
      <c r="F371" t="s">
        <v>346</v>
      </c>
      <c r="G371">
        <v>30</v>
      </c>
    </row>
    <row r="372" spans="1:7">
      <c r="A372" t="str">
        <f t="shared" si="5"/>
        <v>Burchtstraat 31</v>
      </c>
      <c r="B372" t="s">
        <v>345</v>
      </c>
      <c r="C372" t="s">
        <v>302</v>
      </c>
      <c r="D372">
        <v>1992</v>
      </c>
      <c r="E372">
        <v>158</v>
      </c>
      <c r="F372" t="s">
        <v>346</v>
      </c>
      <c r="G372">
        <v>31</v>
      </c>
    </row>
    <row r="373" spans="1:7">
      <c r="A373" t="str">
        <f t="shared" si="5"/>
        <v>Burchtstraat 32</v>
      </c>
      <c r="B373" t="s">
        <v>347</v>
      </c>
      <c r="C373" t="s">
        <v>302</v>
      </c>
      <c r="D373">
        <v>1987</v>
      </c>
      <c r="E373">
        <v>103</v>
      </c>
      <c r="F373" t="s">
        <v>346</v>
      </c>
      <c r="G373">
        <v>32</v>
      </c>
    </row>
    <row r="374" spans="1:7">
      <c r="A374" t="str">
        <f t="shared" si="5"/>
        <v>Burchtstraat 33</v>
      </c>
      <c r="B374" t="s">
        <v>345</v>
      </c>
      <c r="C374" t="s">
        <v>302</v>
      </c>
      <c r="D374">
        <v>1992</v>
      </c>
      <c r="E374">
        <v>160</v>
      </c>
      <c r="F374" t="s">
        <v>346</v>
      </c>
      <c r="G374">
        <v>33</v>
      </c>
    </row>
    <row r="375" spans="1:7">
      <c r="A375" t="str">
        <f t="shared" si="5"/>
        <v>Burchtstraat 34</v>
      </c>
      <c r="B375" t="s">
        <v>347</v>
      </c>
      <c r="C375" t="s">
        <v>302</v>
      </c>
      <c r="D375">
        <v>1987</v>
      </c>
      <c r="E375">
        <v>98</v>
      </c>
      <c r="F375" t="s">
        <v>346</v>
      </c>
      <c r="G375">
        <v>34</v>
      </c>
    </row>
    <row r="376" spans="1:7">
      <c r="A376" t="str">
        <f t="shared" si="5"/>
        <v>Burchtstraat 35</v>
      </c>
      <c r="B376" t="s">
        <v>345</v>
      </c>
      <c r="C376" t="s">
        <v>302</v>
      </c>
      <c r="D376">
        <v>1983</v>
      </c>
      <c r="E376">
        <v>194</v>
      </c>
      <c r="F376" t="s">
        <v>346</v>
      </c>
      <c r="G376">
        <v>35</v>
      </c>
    </row>
    <row r="377" spans="1:7">
      <c r="A377" t="str">
        <f t="shared" si="5"/>
        <v>Burchtstraat 36</v>
      </c>
      <c r="B377" t="s">
        <v>347</v>
      </c>
      <c r="C377" t="s">
        <v>302</v>
      </c>
      <c r="D377">
        <v>1987</v>
      </c>
      <c r="E377">
        <v>105</v>
      </c>
      <c r="F377" t="s">
        <v>346</v>
      </c>
      <c r="G377">
        <v>36</v>
      </c>
    </row>
    <row r="378" spans="1:7">
      <c r="A378" t="str">
        <f t="shared" si="5"/>
        <v>Burchtstraat 37</v>
      </c>
      <c r="B378" t="s">
        <v>345</v>
      </c>
      <c r="C378" t="s">
        <v>302</v>
      </c>
      <c r="D378">
        <v>1981</v>
      </c>
      <c r="E378">
        <v>275</v>
      </c>
      <c r="F378" t="s">
        <v>346</v>
      </c>
      <c r="G378">
        <v>37</v>
      </c>
    </row>
    <row r="379" spans="1:7">
      <c r="A379" t="str">
        <f t="shared" si="5"/>
        <v>Burchtstraat 38</v>
      </c>
      <c r="B379" t="s">
        <v>347</v>
      </c>
      <c r="C379" t="s">
        <v>302</v>
      </c>
      <c r="D379">
        <v>1994</v>
      </c>
      <c r="E379">
        <v>105</v>
      </c>
      <c r="F379" t="s">
        <v>346</v>
      </c>
      <c r="G379">
        <v>38</v>
      </c>
    </row>
    <row r="380" spans="1:7">
      <c r="A380" t="str">
        <f t="shared" si="5"/>
        <v>Burchtstraat 39</v>
      </c>
      <c r="B380" t="s">
        <v>345</v>
      </c>
      <c r="C380" t="s">
        <v>302</v>
      </c>
      <c r="D380">
        <v>1981</v>
      </c>
      <c r="E380">
        <v>169</v>
      </c>
      <c r="F380" t="s">
        <v>346</v>
      </c>
      <c r="G380">
        <v>39</v>
      </c>
    </row>
    <row r="381" spans="1:7">
      <c r="A381" t="str">
        <f t="shared" si="5"/>
        <v>Burchtstraat 40</v>
      </c>
      <c r="B381" t="s">
        <v>347</v>
      </c>
      <c r="C381" t="s">
        <v>302</v>
      </c>
      <c r="D381">
        <v>1994</v>
      </c>
      <c r="E381">
        <v>94</v>
      </c>
      <c r="F381" t="s">
        <v>346</v>
      </c>
      <c r="G381">
        <v>40</v>
      </c>
    </row>
    <row r="382" spans="1:7">
      <c r="A382" t="str">
        <f t="shared" si="5"/>
        <v>Burchtstraat 41</v>
      </c>
      <c r="B382" t="s">
        <v>345</v>
      </c>
      <c r="C382" t="s">
        <v>302</v>
      </c>
      <c r="D382">
        <v>1981</v>
      </c>
      <c r="E382">
        <v>251</v>
      </c>
      <c r="F382" t="s">
        <v>346</v>
      </c>
      <c r="G382">
        <v>41</v>
      </c>
    </row>
    <row r="383" spans="1:7">
      <c r="A383" t="str">
        <f t="shared" si="5"/>
        <v>Burchtstraat 42</v>
      </c>
      <c r="B383" t="s">
        <v>347</v>
      </c>
      <c r="C383" t="s">
        <v>302</v>
      </c>
      <c r="D383">
        <v>1994</v>
      </c>
      <c r="E383">
        <v>94</v>
      </c>
      <c r="F383" t="s">
        <v>346</v>
      </c>
      <c r="G383">
        <v>42</v>
      </c>
    </row>
    <row r="384" spans="1:7">
      <c r="A384" t="str">
        <f t="shared" si="5"/>
        <v>Burchtstraat 43</v>
      </c>
      <c r="B384" t="s">
        <v>345</v>
      </c>
      <c r="C384" t="s">
        <v>302</v>
      </c>
      <c r="D384">
        <v>1981</v>
      </c>
      <c r="E384">
        <v>179</v>
      </c>
      <c r="F384" t="s">
        <v>346</v>
      </c>
      <c r="G384">
        <v>43</v>
      </c>
    </row>
    <row r="385" spans="1:7">
      <c r="A385" t="str">
        <f t="shared" si="5"/>
        <v>Burchtstraat 44</v>
      </c>
      <c r="B385" t="s">
        <v>347</v>
      </c>
      <c r="C385" t="s">
        <v>302</v>
      </c>
      <c r="D385">
        <v>1994</v>
      </c>
      <c r="E385">
        <v>94</v>
      </c>
      <c r="F385" t="s">
        <v>346</v>
      </c>
      <c r="G385">
        <v>44</v>
      </c>
    </row>
    <row r="386" spans="1:7">
      <c r="A386" t="str">
        <f t="shared" ref="A386:A449" si="6">CONCATENATE(F386," ",G386,H386)</f>
        <v>Burchtstraat 45</v>
      </c>
      <c r="B386" t="s">
        <v>345</v>
      </c>
      <c r="C386" t="s">
        <v>302</v>
      </c>
      <c r="D386">
        <v>1981</v>
      </c>
      <c r="E386">
        <v>169</v>
      </c>
      <c r="F386" t="s">
        <v>346</v>
      </c>
      <c r="G386">
        <v>45</v>
      </c>
    </row>
    <row r="387" spans="1:7">
      <c r="A387" t="str">
        <f t="shared" si="6"/>
        <v>Burchtstraat 46</v>
      </c>
      <c r="B387" t="s">
        <v>347</v>
      </c>
      <c r="C387" t="s">
        <v>302</v>
      </c>
      <c r="D387">
        <v>1994</v>
      </c>
      <c r="E387">
        <v>94</v>
      </c>
      <c r="F387" t="s">
        <v>346</v>
      </c>
      <c r="G387">
        <v>46</v>
      </c>
    </row>
    <row r="388" spans="1:7">
      <c r="A388" t="str">
        <f t="shared" si="6"/>
        <v>Burchtstraat 47</v>
      </c>
      <c r="B388" t="s">
        <v>348</v>
      </c>
      <c r="C388" t="s">
        <v>302</v>
      </c>
      <c r="D388">
        <v>1977</v>
      </c>
      <c r="E388">
        <v>234</v>
      </c>
      <c r="F388" t="s">
        <v>346</v>
      </c>
      <c r="G388">
        <v>47</v>
      </c>
    </row>
    <row r="389" spans="1:7">
      <c r="A389" t="str">
        <f t="shared" si="6"/>
        <v>Burchtstraat 48</v>
      </c>
      <c r="B389" t="s">
        <v>347</v>
      </c>
      <c r="C389" t="s">
        <v>302</v>
      </c>
      <c r="D389">
        <v>1995</v>
      </c>
      <c r="E389">
        <v>144</v>
      </c>
      <c r="F389" t="s">
        <v>346</v>
      </c>
      <c r="G389">
        <v>48</v>
      </c>
    </row>
    <row r="390" spans="1:7">
      <c r="A390" t="str">
        <f t="shared" si="6"/>
        <v>Burchtstraat 49</v>
      </c>
      <c r="B390" t="s">
        <v>348</v>
      </c>
      <c r="C390" t="s">
        <v>302</v>
      </c>
      <c r="D390">
        <v>1988</v>
      </c>
      <c r="E390">
        <v>185</v>
      </c>
      <c r="F390" t="s">
        <v>346</v>
      </c>
      <c r="G390">
        <v>49</v>
      </c>
    </row>
    <row r="391" spans="1:7">
      <c r="A391" t="str">
        <f t="shared" si="6"/>
        <v>Burchtstraat 50</v>
      </c>
      <c r="B391" t="s">
        <v>347</v>
      </c>
      <c r="C391" t="s">
        <v>302</v>
      </c>
      <c r="D391">
        <v>1995</v>
      </c>
      <c r="E391">
        <v>185</v>
      </c>
      <c r="F391" t="s">
        <v>346</v>
      </c>
      <c r="G391">
        <v>50</v>
      </c>
    </row>
    <row r="392" spans="1:7">
      <c r="A392" t="str">
        <f t="shared" si="6"/>
        <v>Burchtstraat 51</v>
      </c>
      <c r="B392" t="s">
        <v>348</v>
      </c>
      <c r="C392" t="s">
        <v>302</v>
      </c>
      <c r="D392">
        <v>1988</v>
      </c>
      <c r="E392">
        <v>240</v>
      </c>
      <c r="F392" t="s">
        <v>346</v>
      </c>
      <c r="G392">
        <v>51</v>
      </c>
    </row>
    <row r="393" spans="1:7">
      <c r="A393" t="str">
        <f t="shared" si="6"/>
        <v>Burchtstraat 53</v>
      </c>
      <c r="B393" t="s">
        <v>348</v>
      </c>
      <c r="C393" t="s">
        <v>302</v>
      </c>
      <c r="D393">
        <v>1987</v>
      </c>
      <c r="E393">
        <v>106</v>
      </c>
      <c r="F393" t="s">
        <v>346</v>
      </c>
      <c r="G393">
        <v>53</v>
      </c>
    </row>
    <row r="394" spans="1:7">
      <c r="A394" t="str">
        <f t="shared" si="6"/>
        <v>Burchtstraat 55</v>
      </c>
      <c r="B394" t="s">
        <v>348</v>
      </c>
      <c r="C394" t="s">
        <v>302</v>
      </c>
      <c r="D394">
        <v>1987</v>
      </c>
      <c r="E394">
        <v>154</v>
      </c>
      <c r="F394" t="s">
        <v>346</v>
      </c>
      <c r="G394">
        <v>55</v>
      </c>
    </row>
    <row r="395" spans="1:7">
      <c r="A395" t="str">
        <f t="shared" si="6"/>
        <v>Burchtstraat 57</v>
      </c>
      <c r="B395" t="s">
        <v>348</v>
      </c>
      <c r="C395" t="s">
        <v>302</v>
      </c>
      <c r="D395">
        <v>1987</v>
      </c>
      <c r="E395">
        <v>139</v>
      </c>
      <c r="F395" t="s">
        <v>346</v>
      </c>
      <c r="G395">
        <v>57</v>
      </c>
    </row>
    <row r="396" spans="1:7">
      <c r="A396" t="str">
        <f t="shared" si="6"/>
        <v>Burchtstraat 59</v>
      </c>
      <c r="B396" t="s">
        <v>348</v>
      </c>
      <c r="C396" t="s">
        <v>302</v>
      </c>
      <c r="D396">
        <v>1987</v>
      </c>
      <c r="E396">
        <v>133</v>
      </c>
      <c r="F396" t="s">
        <v>346</v>
      </c>
      <c r="G396">
        <v>59</v>
      </c>
    </row>
    <row r="397" spans="1:7">
      <c r="A397" t="str">
        <f t="shared" si="6"/>
        <v>Burchtstraat 61</v>
      </c>
      <c r="B397" t="s">
        <v>348</v>
      </c>
      <c r="C397" t="s">
        <v>302</v>
      </c>
      <c r="D397">
        <v>1997</v>
      </c>
      <c r="E397">
        <v>308</v>
      </c>
      <c r="F397" t="s">
        <v>346</v>
      </c>
      <c r="G397">
        <v>61</v>
      </c>
    </row>
    <row r="398" spans="1:7">
      <c r="A398" t="str">
        <f t="shared" si="6"/>
        <v>Burchtstraat 63</v>
      </c>
      <c r="B398" t="s">
        <v>348</v>
      </c>
      <c r="C398" t="s">
        <v>302</v>
      </c>
      <c r="D398">
        <v>1997</v>
      </c>
      <c r="E398">
        <v>165</v>
      </c>
      <c r="F398" t="s">
        <v>346</v>
      </c>
      <c r="G398">
        <v>63</v>
      </c>
    </row>
    <row r="399" spans="1:7">
      <c r="A399" t="str">
        <f t="shared" si="6"/>
        <v>Burchtstraat 65</v>
      </c>
      <c r="B399" t="s">
        <v>348</v>
      </c>
      <c r="C399" t="s">
        <v>302</v>
      </c>
      <c r="D399">
        <v>1997</v>
      </c>
      <c r="E399">
        <v>165</v>
      </c>
      <c r="F399" t="s">
        <v>346</v>
      </c>
      <c r="G399">
        <v>65</v>
      </c>
    </row>
    <row r="400" spans="1:7">
      <c r="A400" t="str">
        <f t="shared" si="6"/>
        <v>Burchtstraat 67</v>
      </c>
      <c r="B400" t="s">
        <v>348</v>
      </c>
      <c r="C400" t="s">
        <v>302</v>
      </c>
      <c r="D400">
        <v>1995</v>
      </c>
      <c r="E400">
        <v>157</v>
      </c>
      <c r="F400" t="s">
        <v>346</v>
      </c>
      <c r="G400">
        <v>67</v>
      </c>
    </row>
    <row r="401" spans="1:7">
      <c r="A401" t="str">
        <f t="shared" si="6"/>
        <v>Burchtstraat 69</v>
      </c>
      <c r="B401" t="s">
        <v>348</v>
      </c>
      <c r="C401" t="s">
        <v>302</v>
      </c>
      <c r="D401">
        <v>1997</v>
      </c>
      <c r="E401">
        <v>127</v>
      </c>
      <c r="F401" t="s">
        <v>346</v>
      </c>
      <c r="G401">
        <v>69</v>
      </c>
    </row>
    <row r="402" spans="1:7">
      <c r="A402" t="str">
        <f t="shared" si="6"/>
        <v>Burchtstraat 71</v>
      </c>
      <c r="B402" t="s">
        <v>348</v>
      </c>
      <c r="C402" t="s">
        <v>302</v>
      </c>
      <c r="D402">
        <v>1996</v>
      </c>
      <c r="E402">
        <v>223</v>
      </c>
      <c r="F402" t="s">
        <v>346</v>
      </c>
      <c r="G402">
        <v>71</v>
      </c>
    </row>
    <row r="403" spans="1:7">
      <c r="A403" t="str">
        <f t="shared" si="6"/>
        <v>Burchtstraat 73</v>
      </c>
      <c r="B403" t="s">
        <v>348</v>
      </c>
      <c r="C403" t="s">
        <v>302</v>
      </c>
      <c r="D403">
        <v>1996</v>
      </c>
      <c r="E403">
        <v>166</v>
      </c>
      <c r="F403" t="s">
        <v>346</v>
      </c>
      <c r="G403">
        <v>73</v>
      </c>
    </row>
    <row r="404" spans="1:7">
      <c r="A404" t="str">
        <f t="shared" si="6"/>
        <v>Burchtstraat 75</v>
      </c>
      <c r="B404" t="s">
        <v>348</v>
      </c>
      <c r="C404" t="s">
        <v>302</v>
      </c>
      <c r="D404">
        <v>1997</v>
      </c>
      <c r="E404">
        <v>192</v>
      </c>
      <c r="F404" t="s">
        <v>346</v>
      </c>
      <c r="G404">
        <v>75</v>
      </c>
    </row>
    <row r="405" spans="1:7">
      <c r="A405" t="str">
        <f t="shared" si="6"/>
        <v>Burchtstraat 77</v>
      </c>
      <c r="B405" t="s">
        <v>348</v>
      </c>
      <c r="C405" t="s">
        <v>302</v>
      </c>
      <c r="D405">
        <v>1995</v>
      </c>
      <c r="E405">
        <v>177</v>
      </c>
      <c r="F405" t="s">
        <v>346</v>
      </c>
      <c r="G405">
        <v>77</v>
      </c>
    </row>
    <row r="406" spans="1:7">
      <c r="A406" t="str">
        <f t="shared" si="6"/>
        <v>Chopinstraat 1</v>
      </c>
      <c r="B406" t="s">
        <v>349</v>
      </c>
      <c r="C406" t="s">
        <v>296</v>
      </c>
      <c r="D406">
        <v>2000</v>
      </c>
      <c r="E406">
        <v>117</v>
      </c>
      <c r="F406" t="s">
        <v>350</v>
      </c>
      <c r="G406">
        <v>1</v>
      </c>
    </row>
    <row r="407" spans="1:7">
      <c r="A407" t="str">
        <f t="shared" si="6"/>
        <v>Chopinstraat 2</v>
      </c>
      <c r="B407" t="s">
        <v>349</v>
      </c>
      <c r="C407" t="s">
        <v>296</v>
      </c>
      <c r="D407">
        <v>2000</v>
      </c>
      <c r="E407">
        <v>144</v>
      </c>
      <c r="F407" t="s">
        <v>350</v>
      </c>
      <c r="G407">
        <v>2</v>
      </c>
    </row>
    <row r="408" spans="1:7">
      <c r="A408" t="str">
        <f t="shared" si="6"/>
        <v>Chopinstraat 3</v>
      </c>
      <c r="B408" t="s">
        <v>349</v>
      </c>
      <c r="C408" t="s">
        <v>296</v>
      </c>
      <c r="D408">
        <v>2000</v>
      </c>
      <c r="E408">
        <v>144</v>
      </c>
      <c r="F408" t="s">
        <v>350</v>
      </c>
      <c r="G408">
        <v>3</v>
      </c>
    </row>
    <row r="409" spans="1:7">
      <c r="A409" t="str">
        <f t="shared" si="6"/>
        <v>Chopinstraat 4</v>
      </c>
      <c r="B409" t="s">
        <v>349</v>
      </c>
      <c r="C409" t="s">
        <v>296</v>
      </c>
      <c r="D409">
        <v>2000</v>
      </c>
      <c r="E409">
        <v>132</v>
      </c>
      <c r="F409" t="s">
        <v>350</v>
      </c>
      <c r="G409">
        <v>4</v>
      </c>
    </row>
    <row r="410" spans="1:7">
      <c r="A410" t="str">
        <f t="shared" si="6"/>
        <v>Chopinstraat 5</v>
      </c>
      <c r="B410" t="s">
        <v>349</v>
      </c>
      <c r="C410" t="s">
        <v>296</v>
      </c>
      <c r="D410">
        <v>2000</v>
      </c>
      <c r="E410">
        <v>149</v>
      </c>
      <c r="F410" t="s">
        <v>350</v>
      </c>
      <c r="G410">
        <v>5</v>
      </c>
    </row>
    <row r="411" spans="1:7">
      <c r="A411" t="str">
        <f t="shared" si="6"/>
        <v>Chopinstraat 6</v>
      </c>
      <c r="B411" t="s">
        <v>349</v>
      </c>
      <c r="C411" t="s">
        <v>296</v>
      </c>
      <c r="D411">
        <v>2000</v>
      </c>
      <c r="E411">
        <v>164</v>
      </c>
      <c r="F411" t="s">
        <v>350</v>
      </c>
      <c r="G411">
        <v>6</v>
      </c>
    </row>
    <row r="412" spans="1:7">
      <c r="A412" t="str">
        <f t="shared" si="6"/>
        <v>Chopinstraat 7</v>
      </c>
      <c r="B412" t="s">
        <v>349</v>
      </c>
      <c r="C412" t="s">
        <v>296</v>
      </c>
      <c r="D412">
        <v>2000</v>
      </c>
      <c r="E412">
        <v>160</v>
      </c>
      <c r="F412" t="s">
        <v>350</v>
      </c>
      <c r="G412">
        <v>7</v>
      </c>
    </row>
    <row r="413" spans="1:7">
      <c r="A413" t="str">
        <f t="shared" si="6"/>
        <v>Chopinstraat 8</v>
      </c>
      <c r="B413" t="s">
        <v>349</v>
      </c>
      <c r="C413" t="s">
        <v>296</v>
      </c>
      <c r="D413">
        <v>2000</v>
      </c>
      <c r="E413">
        <v>167</v>
      </c>
      <c r="F413" t="s">
        <v>350</v>
      </c>
      <c r="G413">
        <v>8</v>
      </c>
    </row>
    <row r="414" spans="1:7">
      <c r="A414" t="str">
        <f t="shared" si="6"/>
        <v>Chopinstraat 9</v>
      </c>
      <c r="B414" t="s">
        <v>349</v>
      </c>
      <c r="C414" t="s">
        <v>296</v>
      </c>
      <c r="D414">
        <v>2000</v>
      </c>
      <c r="E414">
        <v>150</v>
      </c>
      <c r="F414" t="s">
        <v>350</v>
      </c>
      <c r="G414">
        <v>9</v>
      </c>
    </row>
    <row r="415" spans="1:7">
      <c r="A415" t="str">
        <f t="shared" si="6"/>
        <v>Chopinstraat 10</v>
      </c>
      <c r="B415" t="s">
        <v>349</v>
      </c>
      <c r="C415" t="s">
        <v>296</v>
      </c>
      <c r="D415">
        <v>2000</v>
      </c>
      <c r="E415">
        <v>155</v>
      </c>
      <c r="F415" t="s">
        <v>350</v>
      </c>
      <c r="G415">
        <v>10</v>
      </c>
    </row>
    <row r="416" spans="1:7">
      <c r="A416" t="str">
        <f t="shared" si="6"/>
        <v>Chopinstraat 11</v>
      </c>
      <c r="B416" t="s">
        <v>349</v>
      </c>
      <c r="C416" t="s">
        <v>296</v>
      </c>
      <c r="D416">
        <v>2000</v>
      </c>
      <c r="E416">
        <v>139</v>
      </c>
      <c r="F416" t="s">
        <v>350</v>
      </c>
      <c r="G416">
        <v>11</v>
      </c>
    </row>
    <row r="417" spans="1:7">
      <c r="A417" t="str">
        <f t="shared" si="6"/>
        <v>Chopinstraat 12</v>
      </c>
      <c r="B417" t="s">
        <v>349</v>
      </c>
      <c r="C417" t="s">
        <v>296</v>
      </c>
      <c r="D417">
        <v>2000</v>
      </c>
      <c r="E417">
        <v>152</v>
      </c>
      <c r="F417" t="s">
        <v>350</v>
      </c>
      <c r="G417">
        <v>12</v>
      </c>
    </row>
    <row r="418" spans="1:7">
      <c r="A418" t="str">
        <f t="shared" si="6"/>
        <v>Chopinstraat 13</v>
      </c>
      <c r="B418" t="s">
        <v>349</v>
      </c>
      <c r="C418" t="s">
        <v>296</v>
      </c>
      <c r="D418">
        <v>2000</v>
      </c>
      <c r="E418">
        <v>145</v>
      </c>
      <c r="F418" t="s">
        <v>350</v>
      </c>
      <c r="G418">
        <v>13</v>
      </c>
    </row>
    <row r="419" spans="1:7">
      <c r="A419" t="str">
        <f t="shared" si="6"/>
        <v>Chopinstraat 14</v>
      </c>
      <c r="B419" t="s">
        <v>349</v>
      </c>
      <c r="C419" t="s">
        <v>296</v>
      </c>
      <c r="D419">
        <v>2000</v>
      </c>
      <c r="E419">
        <v>146</v>
      </c>
      <c r="F419" t="s">
        <v>350</v>
      </c>
      <c r="G419">
        <v>14</v>
      </c>
    </row>
    <row r="420" spans="1:7">
      <c r="A420" t="str">
        <f t="shared" si="6"/>
        <v>Chopinstraat 15</v>
      </c>
      <c r="B420" t="s">
        <v>349</v>
      </c>
      <c r="C420" t="s">
        <v>296</v>
      </c>
      <c r="D420">
        <v>2000</v>
      </c>
      <c r="E420">
        <v>151</v>
      </c>
      <c r="F420" t="s">
        <v>350</v>
      </c>
      <c r="G420">
        <v>15</v>
      </c>
    </row>
    <row r="421" spans="1:7">
      <c r="A421" t="str">
        <f t="shared" si="6"/>
        <v>Chopinstraat 16</v>
      </c>
      <c r="B421" t="s">
        <v>349</v>
      </c>
      <c r="C421" t="s">
        <v>296</v>
      </c>
      <c r="D421">
        <v>2000</v>
      </c>
      <c r="E421">
        <v>149</v>
      </c>
      <c r="F421" t="s">
        <v>350</v>
      </c>
      <c r="G421">
        <v>16</v>
      </c>
    </row>
    <row r="422" spans="1:7">
      <c r="A422" t="str">
        <f t="shared" si="6"/>
        <v>Chopinstraat 17</v>
      </c>
      <c r="B422" t="s">
        <v>349</v>
      </c>
      <c r="C422" t="s">
        <v>296</v>
      </c>
      <c r="D422">
        <v>2000</v>
      </c>
      <c r="E422">
        <v>152</v>
      </c>
      <c r="F422" t="s">
        <v>350</v>
      </c>
      <c r="G422">
        <v>17</v>
      </c>
    </row>
    <row r="423" spans="1:7">
      <c r="A423" t="str">
        <f t="shared" si="6"/>
        <v>Chopinstraat 18</v>
      </c>
      <c r="B423" t="s">
        <v>349</v>
      </c>
      <c r="C423" t="s">
        <v>296</v>
      </c>
      <c r="D423">
        <v>2000</v>
      </c>
      <c r="E423">
        <v>149</v>
      </c>
      <c r="F423" t="s">
        <v>350</v>
      </c>
      <c r="G423">
        <v>18</v>
      </c>
    </row>
    <row r="424" spans="1:7">
      <c r="A424" t="str">
        <f t="shared" si="6"/>
        <v>Chopinstraat 19</v>
      </c>
      <c r="B424" t="s">
        <v>349</v>
      </c>
      <c r="C424" t="s">
        <v>296</v>
      </c>
      <c r="D424">
        <v>2000</v>
      </c>
      <c r="E424">
        <v>184</v>
      </c>
      <c r="F424" t="s">
        <v>350</v>
      </c>
      <c r="G424">
        <v>19</v>
      </c>
    </row>
    <row r="425" spans="1:7">
      <c r="A425" t="str">
        <f t="shared" si="6"/>
        <v>Chopinstraat 20</v>
      </c>
      <c r="B425" t="s">
        <v>349</v>
      </c>
      <c r="C425" t="s">
        <v>296</v>
      </c>
      <c r="D425">
        <v>2000</v>
      </c>
      <c r="E425">
        <v>148</v>
      </c>
      <c r="F425" t="s">
        <v>350</v>
      </c>
      <c r="G425">
        <v>20</v>
      </c>
    </row>
    <row r="426" spans="1:7">
      <c r="A426" t="str">
        <f t="shared" si="6"/>
        <v>Chopinstraat 21</v>
      </c>
      <c r="B426" t="s">
        <v>349</v>
      </c>
      <c r="C426" t="s">
        <v>296</v>
      </c>
      <c r="D426">
        <v>2000</v>
      </c>
      <c r="E426">
        <v>142</v>
      </c>
      <c r="F426" t="s">
        <v>350</v>
      </c>
      <c r="G426">
        <v>21</v>
      </c>
    </row>
    <row r="427" spans="1:7">
      <c r="A427" t="str">
        <f t="shared" si="6"/>
        <v>Chopinstraat 22</v>
      </c>
      <c r="B427" t="s">
        <v>349</v>
      </c>
      <c r="C427" t="s">
        <v>296</v>
      </c>
      <c r="D427">
        <v>2000</v>
      </c>
      <c r="E427">
        <v>169</v>
      </c>
      <c r="F427" t="s">
        <v>350</v>
      </c>
      <c r="G427">
        <v>22</v>
      </c>
    </row>
    <row r="428" spans="1:7">
      <c r="A428" t="str">
        <f t="shared" si="6"/>
        <v>Chopinstraat 23</v>
      </c>
      <c r="B428" t="s">
        <v>349</v>
      </c>
      <c r="C428" t="s">
        <v>296</v>
      </c>
      <c r="D428">
        <v>2000</v>
      </c>
      <c r="E428">
        <v>144</v>
      </c>
      <c r="F428" t="s">
        <v>350</v>
      </c>
      <c r="G428">
        <v>23</v>
      </c>
    </row>
    <row r="429" spans="1:7">
      <c r="A429" t="str">
        <f t="shared" si="6"/>
        <v>Chopinstraat 24</v>
      </c>
      <c r="B429" t="s">
        <v>349</v>
      </c>
      <c r="C429" t="s">
        <v>296</v>
      </c>
      <c r="D429">
        <v>2000</v>
      </c>
      <c r="E429">
        <v>168</v>
      </c>
      <c r="F429" t="s">
        <v>350</v>
      </c>
      <c r="G429">
        <v>24</v>
      </c>
    </row>
    <row r="430" spans="1:7">
      <c r="A430" t="str">
        <f t="shared" si="6"/>
        <v>Chopinstraat 25</v>
      </c>
      <c r="B430" t="s">
        <v>349</v>
      </c>
      <c r="C430" t="s">
        <v>296</v>
      </c>
      <c r="D430">
        <v>2000</v>
      </c>
      <c r="E430">
        <v>161</v>
      </c>
      <c r="F430" t="s">
        <v>350</v>
      </c>
      <c r="G430">
        <v>25</v>
      </c>
    </row>
    <row r="431" spans="1:7">
      <c r="A431" t="str">
        <f t="shared" si="6"/>
        <v>Chopinstraat 26</v>
      </c>
      <c r="B431" t="s">
        <v>349</v>
      </c>
      <c r="C431" t="s">
        <v>296</v>
      </c>
      <c r="D431">
        <v>2000</v>
      </c>
      <c r="E431">
        <v>149</v>
      </c>
      <c r="F431" t="s">
        <v>350</v>
      </c>
      <c r="G431">
        <v>26</v>
      </c>
    </row>
    <row r="432" spans="1:7">
      <c r="A432" t="str">
        <f t="shared" si="6"/>
        <v>Chopinstraat 27</v>
      </c>
      <c r="B432" t="s">
        <v>349</v>
      </c>
      <c r="C432" t="s">
        <v>296</v>
      </c>
      <c r="D432">
        <v>2000</v>
      </c>
      <c r="E432">
        <v>144</v>
      </c>
      <c r="F432" t="s">
        <v>350</v>
      </c>
      <c r="G432">
        <v>27</v>
      </c>
    </row>
    <row r="433" spans="1:8">
      <c r="A433" t="str">
        <f t="shared" si="6"/>
        <v>Chopinstraat 28</v>
      </c>
      <c r="B433" t="s">
        <v>349</v>
      </c>
      <c r="C433" t="s">
        <v>296</v>
      </c>
      <c r="D433">
        <v>2000</v>
      </c>
      <c r="E433">
        <v>144</v>
      </c>
      <c r="F433" t="s">
        <v>350</v>
      </c>
      <c r="G433">
        <v>28</v>
      </c>
    </row>
    <row r="434" spans="1:8">
      <c r="A434" t="str">
        <f t="shared" si="6"/>
        <v>Chopinstraat 29</v>
      </c>
      <c r="B434" t="s">
        <v>349</v>
      </c>
      <c r="C434" t="s">
        <v>296</v>
      </c>
      <c r="D434">
        <v>2000</v>
      </c>
      <c r="E434">
        <v>151</v>
      </c>
      <c r="F434" t="s">
        <v>350</v>
      </c>
      <c r="G434">
        <v>29</v>
      </c>
    </row>
    <row r="435" spans="1:8">
      <c r="A435" t="str">
        <f t="shared" si="6"/>
        <v>Chopinstraat 30</v>
      </c>
      <c r="B435" t="s">
        <v>349</v>
      </c>
      <c r="C435" t="s">
        <v>296</v>
      </c>
      <c r="D435">
        <v>2000</v>
      </c>
      <c r="E435">
        <v>150</v>
      </c>
      <c r="F435" t="s">
        <v>350</v>
      </c>
      <c r="G435">
        <v>30</v>
      </c>
    </row>
    <row r="436" spans="1:8">
      <c r="A436" t="str">
        <f t="shared" si="6"/>
        <v>Chopinstraat 31</v>
      </c>
      <c r="B436" t="s">
        <v>349</v>
      </c>
      <c r="C436" t="s">
        <v>296</v>
      </c>
      <c r="D436">
        <v>2000</v>
      </c>
      <c r="E436">
        <v>132</v>
      </c>
      <c r="F436" t="s">
        <v>350</v>
      </c>
      <c r="G436">
        <v>31</v>
      </c>
    </row>
    <row r="437" spans="1:8">
      <c r="A437" t="str">
        <f t="shared" si="6"/>
        <v>Chopinstraat 32</v>
      </c>
      <c r="B437" t="s">
        <v>349</v>
      </c>
      <c r="C437" t="s">
        <v>296</v>
      </c>
      <c r="D437">
        <v>2000</v>
      </c>
      <c r="E437">
        <v>145</v>
      </c>
      <c r="F437" t="s">
        <v>350</v>
      </c>
      <c r="G437">
        <v>32</v>
      </c>
    </row>
    <row r="438" spans="1:8">
      <c r="A438" t="str">
        <f t="shared" si="6"/>
        <v>Chopinstraat 33</v>
      </c>
      <c r="B438" t="s">
        <v>349</v>
      </c>
      <c r="C438" t="s">
        <v>296</v>
      </c>
      <c r="D438">
        <v>2000</v>
      </c>
      <c r="E438">
        <v>133</v>
      </c>
      <c r="F438" t="s">
        <v>350</v>
      </c>
      <c r="G438">
        <v>33</v>
      </c>
    </row>
    <row r="439" spans="1:8">
      <c r="A439" t="str">
        <f t="shared" si="6"/>
        <v>Chopinstraat 34</v>
      </c>
      <c r="B439" t="s">
        <v>349</v>
      </c>
      <c r="C439" t="s">
        <v>296</v>
      </c>
      <c r="D439">
        <v>2000</v>
      </c>
      <c r="E439">
        <v>139</v>
      </c>
      <c r="F439" t="s">
        <v>350</v>
      </c>
      <c r="G439">
        <v>34</v>
      </c>
    </row>
    <row r="440" spans="1:8">
      <c r="A440" t="str">
        <f t="shared" si="6"/>
        <v>Chopinstraat 35</v>
      </c>
      <c r="B440" t="s">
        <v>349</v>
      </c>
      <c r="C440" t="s">
        <v>296</v>
      </c>
      <c r="D440">
        <v>2000</v>
      </c>
      <c r="E440">
        <v>142</v>
      </c>
      <c r="F440" t="s">
        <v>350</v>
      </c>
      <c r="G440">
        <v>35</v>
      </c>
    </row>
    <row r="441" spans="1:8">
      <c r="A441" t="str">
        <f t="shared" si="6"/>
        <v>Chopinstraat 36</v>
      </c>
      <c r="B441" t="s">
        <v>349</v>
      </c>
      <c r="C441" t="s">
        <v>296</v>
      </c>
      <c r="D441">
        <v>2000</v>
      </c>
      <c r="E441">
        <v>143</v>
      </c>
      <c r="F441" t="s">
        <v>350</v>
      </c>
      <c r="G441">
        <v>36</v>
      </c>
    </row>
    <row r="442" spans="1:8">
      <c r="A442" t="str">
        <f t="shared" si="6"/>
        <v>Chopinstraat 37</v>
      </c>
      <c r="B442" t="s">
        <v>349</v>
      </c>
      <c r="C442" t="s">
        <v>296</v>
      </c>
      <c r="D442">
        <v>2000</v>
      </c>
      <c r="E442">
        <v>134</v>
      </c>
      <c r="F442" t="s">
        <v>350</v>
      </c>
      <c r="G442">
        <v>37</v>
      </c>
    </row>
    <row r="443" spans="1:8">
      <c r="A443" t="str">
        <f t="shared" si="6"/>
        <v>Chopinstraat 38</v>
      </c>
      <c r="B443" t="s">
        <v>349</v>
      </c>
      <c r="C443" t="s">
        <v>296</v>
      </c>
      <c r="D443">
        <v>2000</v>
      </c>
      <c r="E443">
        <v>142</v>
      </c>
      <c r="F443" t="s">
        <v>350</v>
      </c>
      <c r="G443">
        <v>38</v>
      </c>
    </row>
    <row r="444" spans="1:8">
      <c r="A444" t="str">
        <f t="shared" si="6"/>
        <v>Christoffelweg 1</v>
      </c>
      <c r="B444" t="s">
        <v>351</v>
      </c>
      <c r="C444" t="s">
        <v>306</v>
      </c>
      <c r="D444">
        <v>1960</v>
      </c>
      <c r="E444">
        <v>258</v>
      </c>
      <c r="F444" t="s">
        <v>352</v>
      </c>
      <c r="G444">
        <v>1</v>
      </c>
    </row>
    <row r="445" spans="1:8">
      <c r="A445" t="str">
        <f t="shared" si="6"/>
        <v>Christoffelweg 3</v>
      </c>
      <c r="B445" t="s">
        <v>351</v>
      </c>
      <c r="C445" t="s">
        <v>306</v>
      </c>
      <c r="D445">
        <v>1915</v>
      </c>
      <c r="E445">
        <v>185</v>
      </c>
      <c r="F445" t="s">
        <v>352</v>
      </c>
      <c r="G445">
        <v>3</v>
      </c>
    </row>
    <row r="446" spans="1:8">
      <c r="A446" t="str">
        <f t="shared" si="6"/>
        <v>Christoffelweg 5a</v>
      </c>
      <c r="B446" t="s">
        <v>351</v>
      </c>
      <c r="C446" t="s">
        <v>306</v>
      </c>
      <c r="D446">
        <v>2018</v>
      </c>
      <c r="E446">
        <v>173</v>
      </c>
      <c r="F446" t="s">
        <v>352</v>
      </c>
      <c r="G446">
        <v>5</v>
      </c>
      <c r="H446" t="s">
        <v>304</v>
      </c>
    </row>
    <row r="447" spans="1:8">
      <c r="A447" t="str">
        <f t="shared" si="6"/>
        <v>Christoffelweg 5</v>
      </c>
      <c r="B447" t="s">
        <v>351</v>
      </c>
      <c r="C447" t="s">
        <v>306</v>
      </c>
      <c r="D447">
        <v>1915</v>
      </c>
      <c r="E447">
        <v>198</v>
      </c>
      <c r="F447" t="s">
        <v>352</v>
      </c>
      <c r="G447">
        <v>5</v>
      </c>
    </row>
    <row r="448" spans="1:8">
      <c r="A448" t="str">
        <f t="shared" si="6"/>
        <v>Christoffelweg 6</v>
      </c>
      <c r="B448" t="s">
        <v>351</v>
      </c>
      <c r="C448" t="s">
        <v>306</v>
      </c>
      <c r="D448">
        <v>1950</v>
      </c>
      <c r="E448">
        <v>388</v>
      </c>
      <c r="F448" t="s">
        <v>352</v>
      </c>
      <c r="G448">
        <v>6</v>
      </c>
    </row>
    <row r="449" spans="1:12">
      <c r="A449" t="str">
        <f t="shared" si="6"/>
        <v>Christoffelweg 7</v>
      </c>
      <c r="B449" t="s">
        <v>351</v>
      </c>
      <c r="C449" t="s">
        <v>306</v>
      </c>
      <c r="D449">
        <v>2002</v>
      </c>
      <c r="E449">
        <v>174</v>
      </c>
      <c r="F449" t="s">
        <v>352</v>
      </c>
      <c r="G449">
        <v>7</v>
      </c>
    </row>
    <row r="450" spans="1:12">
      <c r="A450" t="str">
        <f t="shared" ref="A450:A513" si="7">CONCATENATE(F450," ",G450,H450)</f>
        <v>Christoffelweg 13</v>
      </c>
      <c r="B450" t="s">
        <v>351</v>
      </c>
      <c r="C450" t="s">
        <v>306</v>
      </c>
      <c r="D450">
        <v>1970</v>
      </c>
      <c r="E450">
        <v>397</v>
      </c>
      <c r="F450" t="s">
        <v>352</v>
      </c>
      <c r="G450">
        <v>13</v>
      </c>
    </row>
    <row r="451" spans="1:12">
      <c r="A451" t="str">
        <f t="shared" si="7"/>
        <v>Cuijksesteeg 1</v>
      </c>
      <c r="B451" t="s">
        <v>353</v>
      </c>
      <c r="C451" t="s">
        <v>302</v>
      </c>
      <c r="D451">
        <v>1953</v>
      </c>
      <c r="E451">
        <v>127</v>
      </c>
      <c r="F451" t="s">
        <v>354</v>
      </c>
      <c r="G451">
        <v>1</v>
      </c>
      <c r="K451" s="31"/>
      <c r="L451" s="31"/>
    </row>
    <row r="452" spans="1:12">
      <c r="A452" t="str">
        <f t="shared" si="7"/>
        <v>Cuijksesteeg 2</v>
      </c>
      <c r="B452" t="s">
        <v>355</v>
      </c>
      <c r="C452" t="s">
        <v>306</v>
      </c>
      <c r="D452">
        <v>2019</v>
      </c>
      <c r="E452">
        <v>1239</v>
      </c>
      <c r="F452" t="s">
        <v>354</v>
      </c>
      <c r="G452">
        <v>2</v>
      </c>
    </row>
    <row r="453" spans="1:12">
      <c r="A453" t="str">
        <f t="shared" si="7"/>
        <v>Cuijksesteeg 3</v>
      </c>
      <c r="B453" t="s">
        <v>353</v>
      </c>
      <c r="C453" t="s">
        <v>302</v>
      </c>
      <c r="D453">
        <v>1950</v>
      </c>
      <c r="E453">
        <v>97</v>
      </c>
      <c r="F453" t="s">
        <v>354</v>
      </c>
      <c r="G453">
        <v>3</v>
      </c>
    </row>
    <row r="454" spans="1:12">
      <c r="A454" t="str">
        <f t="shared" si="7"/>
        <v>Cuijksesteeg 4</v>
      </c>
      <c r="B454" t="s">
        <v>355</v>
      </c>
      <c r="C454" t="s">
        <v>306</v>
      </c>
      <c r="D454">
        <v>1979</v>
      </c>
      <c r="E454">
        <v>85</v>
      </c>
      <c r="F454" t="s">
        <v>354</v>
      </c>
      <c r="G454">
        <v>4</v>
      </c>
    </row>
    <row r="455" spans="1:12">
      <c r="A455" t="str">
        <f t="shared" si="7"/>
        <v>De Bongerd 2</v>
      </c>
      <c r="B455" t="s">
        <v>356</v>
      </c>
      <c r="C455" t="s">
        <v>296</v>
      </c>
      <c r="D455">
        <v>1984</v>
      </c>
      <c r="E455">
        <v>168</v>
      </c>
      <c r="F455" t="s">
        <v>357</v>
      </c>
      <c r="G455">
        <v>2</v>
      </c>
    </row>
    <row r="456" spans="1:12">
      <c r="A456" t="str">
        <f t="shared" si="7"/>
        <v>De Bongerd 4</v>
      </c>
      <c r="B456" t="s">
        <v>356</v>
      </c>
      <c r="C456" t="s">
        <v>296</v>
      </c>
      <c r="D456">
        <v>1983</v>
      </c>
      <c r="E456">
        <v>158</v>
      </c>
      <c r="F456" t="s">
        <v>357</v>
      </c>
      <c r="G456">
        <v>4</v>
      </c>
    </row>
    <row r="457" spans="1:12">
      <c r="A457" t="str">
        <f t="shared" si="7"/>
        <v>De Bongerd 6</v>
      </c>
      <c r="B457" t="s">
        <v>356</v>
      </c>
      <c r="C457" t="s">
        <v>296</v>
      </c>
      <c r="D457">
        <v>1982</v>
      </c>
      <c r="E457">
        <v>154</v>
      </c>
      <c r="F457" t="s">
        <v>357</v>
      </c>
      <c r="G457">
        <v>6</v>
      </c>
    </row>
    <row r="458" spans="1:12">
      <c r="A458" t="str">
        <f t="shared" si="7"/>
        <v>De Bongerd 7</v>
      </c>
      <c r="B458" t="s">
        <v>358</v>
      </c>
      <c r="C458" t="s">
        <v>296</v>
      </c>
      <c r="D458">
        <v>1985</v>
      </c>
      <c r="E458">
        <v>235</v>
      </c>
      <c r="F458" t="s">
        <v>357</v>
      </c>
      <c r="G458">
        <v>7</v>
      </c>
    </row>
    <row r="459" spans="1:12">
      <c r="A459" t="str">
        <f t="shared" si="7"/>
        <v>De Bongerd 8</v>
      </c>
      <c r="B459" t="s">
        <v>356</v>
      </c>
      <c r="C459" t="s">
        <v>296</v>
      </c>
      <c r="D459">
        <v>1983</v>
      </c>
      <c r="E459">
        <v>215</v>
      </c>
      <c r="F459" t="s">
        <v>357</v>
      </c>
      <c r="G459">
        <v>8</v>
      </c>
    </row>
    <row r="460" spans="1:12">
      <c r="A460" t="str">
        <f t="shared" si="7"/>
        <v>De Bongerd 9</v>
      </c>
      <c r="B460" t="s">
        <v>358</v>
      </c>
      <c r="C460" t="s">
        <v>296</v>
      </c>
      <c r="D460">
        <v>1986</v>
      </c>
      <c r="E460">
        <v>228</v>
      </c>
      <c r="F460" t="s">
        <v>357</v>
      </c>
      <c r="G460">
        <v>9</v>
      </c>
    </row>
    <row r="461" spans="1:12">
      <c r="A461" t="str">
        <f t="shared" si="7"/>
        <v>De Bongerd 10</v>
      </c>
      <c r="B461" t="s">
        <v>356</v>
      </c>
      <c r="C461" t="s">
        <v>296</v>
      </c>
      <c r="D461">
        <v>1983</v>
      </c>
      <c r="E461">
        <v>187</v>
      </c>
      <c r="F461" t="s">
        <v>357</v>
      </c>
      <c r="G461">
        <v>10</v>
      </c>
    </row>
    <row r="462" spans="1:12">
      <c r="A462" t="str">
        <f t="shared" si="7"/>
        <v>De Bongerd 11</v>
      </c>
      <c r="B462" t="s">
        <v>358</v>
      </c>
      <c r="C462" t="s">
        <v>296</v>
      </c>
      <c r="D462">
        <v>1986</v>
      </c>
      <c r="E462">
        <v>173</v>
      </c>
      <c r="F462" t="s">
        <v>357</v>
      </c>
      <c r="G462">
        <v>11</v>
      </c>
    </row>
    <row r="463" spans="1:12">
      <c r="A463" t="str">
        <f t="shared" si="7"/>
        <v>De Bongerd 12</v>
      </c>
      <c r="B463" t="s">
        <v>356</v>
      </c>
      <c r="C463" t="s">
        <v>296</v>
      </c>
      <c r="D463">
        <v>1984</v>
      </c>
      <c r="E463">
        <v>267</v>
      </c>
      <c r="F463" t="s">
        <v>357</v>
      </c>
      <c r="G463">
        <v>12</v>
      </c>
    </row>
    <row r="464" spans="1:12">
      <c r="A464" t="str">
        <f t="shared" si="7"/>
        <v>De Bongerd 13</v>
      </c>
      <c r="B464" t="s">
        <v>358</v>
      </c>
      <c r="C464" t="s">
        <v>296</v>
      </c>
      <c r="D464">
        <v>1987</v>
      </c>
      <c r="E464">
        <v>136</v>
      </c>
      <c r="F464" t="s">
        <v>357</v>
      </c>
      <c r="G464">
        <v>13</v>
      </c>
    </row>
    <row r="465" spans="1:7">
      <c r="A465" t="str">
        <f t="shared" si="7"/>
        <v>De Bongerd 14</v>
      </c>
      <c r="B465" t="s">
        <v>356</v>
      </c>
      <c r="C465" t="s">
        <v>296</v>
      </c>
      <c r="D465">
        <v>1984</v>
      </c>
      <c r="E465">
        <v>158</v>
      </c>
      <c r="F465" t="s">
        <v>357</v>
      </c>
      <c r="G465">
        <v>14</v>
      </c>
    </row>
    <row r="466" spans="1:7">
      <c r="A466" t="str">
        <f t="shared" si="7"/>
        <v>De Bongerd 15</v>
      </c>
      <c r="B466" t="s">
        <v>358</v>
      </c>
      <c r="C466" t="s">
        <v>296</v>
      </c>
      <c r="D466">
        <v>1987</v>
      </c>
      <c r="E466">
        <v>135</v>
      </c>
      <c r="F466" t="s">
        <v>357</v>
      </c>
      <c r="G466">
        <v>15</v>
      </c>
    </row>
    <row r="467" spans="1:7">
      <c r="A467" t="str">
        <f t="shared" si="7"/>
        <v>De Bongerd 16</v>
      </c>
      <c r="B467" t="s">
        <v>356</v>
      </c>
      <c r="C467" t="s">
        <v>296</v>
      </c>
      <c r="D467">
        <v>1984</v>
      </c>
      <c r="E467">
        <v>319</v>
      </c>
      <c r="F467" t="s">
        <v>357</v>
      </c>
      <c r="G467">
        <v>16</v>
      </c>
    </row>
    <row r="468" spans="1:7">
      <c r="A468" t="str">
        <f t="shared" si="7"/>
        <v>De Bongerd 17</v>
      </c>
      <c r="B468" t="s">
        <v>358</v>
      </c>
      <c r="C468" t="s">
        <v>296</v>
      </c>
      <c r="D468">
        <v>1987</v>
      </c>
      <c r="E468">
        <v>146</v>
      </c>
      <c r="F468" t="s">
        <v>357</v>
      </c>
      <c r="G468">
        <v>17</v>
      </c>
    </row>
    <row r="469" spans="1:7">
      <c r="A469" t="str">
        <f t="shared" si="7"/>
        <v>De Bongerd 18</v>
      </c>
      <c r="B469" t="s">
        <v>356</v>
      </c>
      <c r="C469" t="s">
        <v>296</v>
      </c>
      <c r="D469">
        <v>1984</v>
      </c>
      <c r="E469">
        <v>169</v>
      </c>
      <c r="F469" t="s">
        <v>357</v>
      </c>
      <c r="G469">
        <v>18</v>
      </c>
    </row>
    <row r="470" spans="1:7">
      <c r="A470" t="str">
        <f t="shared" si="7"/>
        <v>De Bongerd 19</v>
      </c>
      <c r="B470" t="s">
        <v>358</v>
      </c>
      <c r="C470" t="s">
        <v>296</v>
      </c>
      <c r="D470">
        <v>1987</v>
      </c>
      <c r="E470">
        <v>141</v>
      </c>
      <c r="F470" t="s">
        <v>357</v>
      </c>
      <c r="G470">
        <v>19</v>
      </c>
    </row>
    <row r="471" spans="1:7">
      <c r="A471" t="str">
        <f t="shared" si="7"/>
        <v>De Bongerd 20</v>
      </c>
      <c r="B471" t="s">
        <v>356</v>
      </c>
      <c r="C471" t="s">
        <v>296</v>
      </c>
      <c r="D471">
        <v>1984</v>
      </c>
      <c r="E471">
        <v>196</v>
      </c>
      <c r="F471" t="s">
        <v>357</v>
      </c>
      <c r="G471">
        <v>20</v>
      </c>
    </row>
    <row r="472" spans="1:7">
      <c r="A472" t="str">
        <f t="shared" si="7"/>
        <v>De Bongerd 21</v>
      </c>
      <c r="B472" t="s">
        <v>358</v>
      </c>
      <c r="C472" t="s">
        <v>296</v>
      </c>
      <c r="D472">
        <v>1987</v>
      </c>
      <c r="E472">
        <v>134</v>
      </c>
      <c r="F472" t="s">
        <v>357</v>
      </c>
      <c r="G472">
        <v>21</v>
      </c>
    </row>
    <row r="473" spans="1:7">
      <c r="A473" t="str">
        <f t="shared" si="7"/>
        <v>De Bongerd 22</v>
      </c>
      <c r="B473" t="s">
        <v>356</v>
      </c>
      <c r="C473" t="s">
        <v>296</v>
      </c>
      <c r="D473">
        <v>1984</v>
      </c>
      <c r="E473">
        <v>259</v>
      </c>
      <c r="F473" t="s">
        <v>357</v>
      </c>
      <c r="G473">
        <v>22</v>
      </c>
    </row>
    <row r="474" spans="1:7">
      <c r="A474" t="str">
        <f t="shared" si="7"/>
        <v>De Bongerd 23</v>
      </c>
      <c r="B474" t="s">
        <v>358</v>
      </c>
      <c r="C474" t="s">
        <v>296</v>
      </c>
      <c r="D474">
        <v>1987</v>
      </c>
      <c r="E474">
        <v>138</v>
      </c>
      <c r="F474" t="s">
        <v>357</v>
      </c>
      <c r="G474">
        <v>23</v>
      </c>
    </row>
    <row r="475" spans="1:7">
      <c r="A475" t="str">
        <f t="shared" si="7"/>
        <v>De Bongerd 24</v>
      </c>
      <c r="B475" t="s">
        <v>356</v>
      </c>
      <c r="C475" t="s">
        <v>296</v>
      </c>
      <c r="D475">
        <v>1984</v>
      </c>
      <c r="E475">
        <v>162</v>
      </c>
      <c r="F475" t="s">
        <v>357</v>
      </c>
      <c r="G475">
        <v>24</v>
      </c>
    </row>
    <row r="476" spans="1:7">
      <c r="A476" t="str">
        <f t="shared" si="7"/>
        <v>De Bongerd 25</v>
      </c>
      <c r="B476" t="s">
        <v>358</v>
      </c>
      <c r="C476" t="s">
        <v>296</v>
      </c>
      <c r="D476">
        <v>1987</v>
      </c>
      <c r="E476">
        <v>138</v>
      </c>
      <c r="F476" t="s">
        <v>357</v>
      </c>
      <c r="G476">
        <v>25</v>
      </c>
    </row>
    <row r="477" spans="1:7">
      <c r="A477" t="str">
        <f t="shared" si="7"/>
        <v>De Bongerd 26</v>
      </c>
      <c r="B477" t="s">
        <v>356</v>
      </c>
      <c r="C477" t="s">
        <v>296</v>
      </c>
      <c r="D477">
        <v>1984</v>
      </c>
      <c r="E477">
        <v>152</v>
      </c>
      <c r="F477" t="s">
        <v>357</v>
      </c>
      <c r="G477">
        <v>26</v>
      </c>
    </row>
    <row r="478" spans="1:7">
      <c r="A478" t="str">
        <f t="shared" si="7"/>
        <v>De Bongerd 27</v>
      </c>
      <c r="B478" t="s">
        <v>358</v>
      </c>
      <c r="C478" t="s">
        <v>296</v>
      </c>
      <c r="D478">
        <v>1987</v>
      </c>
      <c r="E478">
        <v>133</v>
      </c>
      <c r="F478" t="s">
        <v>357</v>
      </c>
      <c r="G478">
        <v>27</v>
      </c>
    </row>
    <row r="479" spans="1:7">
      <c r="A479" t="str">
        <f t="shared" si="7"/>
        <v>De Bongerd 28</v>
      </c>
      <c r="B479" t="s">
        <v>356</v>
      </c>
      <c r="C479" t="s">
        <v>296</v>
      </c>
      <c r="D479">
        <v>1983</v>
      </c>
      <c r="E479">
        <v>194</v>
      </c>
      <c r="F479" t="s">
        <v>357</v>
      </c>
      <c r="G479">
        <v>28</v>
      </c>
    </row>
    <row r="480" spans="1:7">
      <c r="A480" t="str">
        <f t="shared" si="7"/>
        <v>De Bongerd 29</v>
      </c>
      <c r="B480" t="s">
        <v>358</v>
      </c>
      <c r="C480" t="s">
        <v>296</v>
      </c>
      <c r="D480">
        <v>1987</v>
      </c>
      <c r="E480">
        <v>136</v>
      </c>
      <c r="F480" t="s">
        <v>357</v>
      </c>
      <c r="G480">
        <v>29</v>
      </c>
    </row>
    <row r="481" spans="1:8">
      <c r="A481" t="str">
        <f t="shared" si="7"/>
        <v>De Bongerd 30</v>
      </c>
      <c r="B481" t="s">
        <v>356</v>
      </c>
      <c r="C481" t="s">
        <v>296</v>
      </c>
      <c r="D481">
        <v>1983</v>
      </c>
      <c r="E481">
        <v>161</v>
      </c>
      <c r="F481" t="s">
        <v>357</v>
      </c>
      <c r="G481">
        <v>30</v>
      </c>
    </row>
    <row r="482" spans="1:8">
      <c r="A482" t="str">
        <f t="shared" si="7"/>
        <v>De Bongerd 31</v>
      </c>
      <c r="B482" t="s">
        <v>358</v>
      </c>
      <c r="C482" t="s">
        <v>296</v>
      </c>
      <c r="D482">
        <v>1987</v>
      </c>
      <c r="E482">
        <v>136</v>
      </c>
      <c r="F482" t="s">
        <v>357</v>
      </c>
      <c r="G482">
        <v>31</v>
      </c>
    </row>
    <row r="483" spans="1:8">
      <c r="A483" t="str">
        <f t="shared" si="7"/>
        <v>De Bongerd 32a</v>
      </c>
      <c r="B483" t="s">
        <v>356</v>
      </c>
      <c r="C483" t="s">
        <v>296</v>
      </c>
      <c r="D483">
        <v>1984</v>
      </c>
      <c r="E483">
        <v>134</v>
      </c>
      <c r="F483" t="s">
        <v>357</v>
      </c>
      <c r="G483">
        <v>32</v>
      </c>
      <c r="H483" t="s">
        <v>304</v>
      </c>
    </row>
    <row r="484" spans="1:8">
      <c r="A484" t="str">
        <f t="shared" si="7"/>
        <v>De Bongerd 32</v>
      </c>
      <c r="B484" t="s">
        <v>356</v>
      </c>
      <c r="C484" t="s">
        <v>296</v>
      </c>
      <c r="D484">
        <v>1985</v>
      </c>
      <c r="E484">
        <v>173</v>
      </c>
      <c r="F484" t="s">
        <v>357</v>
      </c>
      <c r="G484">
        <v>32</v>
      </c>
    </row>
    <row r="485" spans="1:8">
      <c r="A485" t="str">
        <f t="shared" si="7"/>
        <v>De Bongerd 33</v>
      </c>
      <c r="B485" t="s">
        <v>358</v>
      </c>
      <c r="C485" t="s">
        <v>296</v>
      </c>
      <c r="D485">
        <v>1987</v>
      </c>
      <c r="E485">
        <v>136</v>
      </c>
      <c r="F485" t="s">
        <v>357</v>
      </c>
      <c r="G485">
        <v>33</v>
      </c>
    </row>
    <row r="486" spans="1:8">
      <c r="A486" t="str">
        <f t="shared" si="7"/>
        <v>De Bongerd 34</v>
      </c>
      <c r="B486" t="s">
        <v>356</v>
      </c>
      <c r="C486" t="s">
        <v>296</v>
      </c>
      <c r="D486">
        <v>1984</v>
      </c>
      <c r="E486">
        <v>123</v>
      </c>
      <c r="F486" t="s">
        <v>357</v>
      </c>
      <c r="G486">
        <v>34</v>
      </c>
    </row>
    <row r="487" spans="1:8">
      <c r="A487" t="str">
        <f t="shared" si="7"/>
        <v>De Bongerd 35</v>
      </c>
      <c r="B487" t="s">
        <v>358</v>
      </c>
      <c r="C487" t="s">
        <v>296</v>
      </c>
      <c r="D487">
        <v>1987</v>
      </c>
      <c r="E487">
        <v>135</v>
      </c>
      <c r="F487" t="s">
        <v>357</v>
      </c>
      <c r="G487">
        <v>35</v>
      </c>
    </row>
    <row r="488" spans="1:8">
      <c r="A488" t="str">
        <f t="shared" si="7"/>
        <v>De Bongerd 36</v>
      </c>
      <c r="B488" t="s">
        <v>356</v>
      </c>
      <c r="C488" t="s">
        <v>296</v>
      </c>
      <c r="D488">
        <v>1984</v>
      </c>
      <c r="E488">
        <v>85</v>
      </c>
      <c r="F488" t="s">
        <v>357</v>
      </c>
      <c r="G488">
        <v>36</v>
      </c>
    </row>
    <row r="489" spans="1:8">
      <c r="A489" t="str">
        <f t="shared" si="7"/>
        <v>De Bongerd 37</v>
      </c>
      <c r="B489" t="s">
        <v>358</v>
      </c>
      <c r="C489" t="s">
        <v>296</v>
      </c>
      <c r="D489">
        <v>1987</v>
      </c>
      <c r="E489">
        <v>155</v>
      </c>
      <c r="F489" t="s">
        <v>357</v>
      </c>
      <c r="G489">
        <v>37</v>
      </c>
    </row>
    <row r="490" spans="1:8">
      <c r="A490" t="str">
        <f t="shared" si="7"/>
        <v>De Bongerd 38</v>
      </c>
      <c r="B490" t="s">
        <v>356</v>
      </c>
      <c r="C490" t="s">
        <v>296</v>
      </c>
      <c r="D490">
        <v>1984</v>
      </c>
      <c r="E490">
        <v>86</v>
      </c>
      <c r="F490" t="s">
        <v>357</v>
      </c>
      <c r="G490">
        <v>38</v>
      </c>
    </row>
    <row r="491" spans="1:8">
      <c r="A491" t="str">
        <f t="shared" si="7"/>
        <v>De Bongerd 39</v>
      </c>
      <c r="B491" t="s">
        <v>358</v>
      </c>
      <c r="C491" t="s">
        <v>296</v>
      </c>
      <c r="D491">
        <v>1987</v>
      </c>
      <c r="E491">
        <v>136</v>
      </c>
      <c r="F491" t="s">
        <v>357</v>
      </c>
      <c r="G491">
        <v>39</v>
      </c>
    </row>
    <row r="492" spans="1:8">
      <c r="A492" t="str">
        <f t="shared" si="7"/>
        <v>De Bongerd 40</v>
      </c>
      <c r="B492" t="s">
        <v>356</v>
      </c>
      <c r="C492" t="s">
        <v>296</v>
      </c>
      <c r="D492">
        <v>1984</v>
      </c>
      <c r="E492">
        <v>107</v>
      </c>
      <c r="F492" t="s">
        <v>357</v>
      </c>
      <c r="G492">
        <v>40</v>
      </c>
    </row>
    <row r="493" spans="1:8">
      <c r="A493" t="str">
        <f t="shared" si="7"/>
        <v>De Bongerd 41a</v>
      </c>
      <c r="B493" t="s">
        <v>358</v>
      </c>
      <c r="C493" t="s">
        <v>296</v>
      </c>
      <c r="D493">
        <v>1985</v>
      </c>
      <c r="E493">
        <v>9</v>
      </c>
      <c r="F493" t="s">
        <v>357</v>
      </c>
      <c r="G493">
        <v>41</v>
      </c>
      <c r="H493" t="s">
        <v>304</v>
      </c>
    </row>
    <row r="494" spans="1:8">
      <c r="A494" t="str">
        <f t="shared" si="7"/>
        <v>De Bongerd 41</v>
      </c>
      <c r="B494" t="s">
        <v>358</v>
      </c>
      <c r="C494" t="s">
        <v>296</v>
      </c>
      <c r="D494">
        <v>1987</v>
      </c>
      <c r="E494">
        <v>136</v>
      </c>
      <c r="F494" t="s">
        <v>357</v>
      </c>
      <c r="G494">
        <v>41</v>
      </c>
    </row>
    <row r="495" spans="1:8">
      <c r="A495" t="str">
        <f t="shared" si="7"/>
        <v>De Bongerd 42</v>
      </c>
      <c r="B495" t="s">
        <v>359</v>
      </c>
      <c r="C495" t="s">
        <v>296</v>
      </c>
      <c r="D495">
        <v>1984</v>
      </c>
      <c r="E495">
        <v>114</v>
      </c>
      <c r="F495" t="s">
        <v>357</v>
      </c>
      <c r="G495">
        <v>42</v>
      </c>
    </row>
    <row r="496" spans="1:8">
      <c r="A496" t="str">
        <f t="shared" si="7"/>
        <v>De Bongerd 43</v>
      </c>
      <c r="B496" t="s">
        <v>358</v>
      </c>
      <c r="C496" t="s">
        <v>296</v>
      </c>
      <c r="D496">
        <v>1987</v>
      </c>
      <c r="E496">
        <v>136</v>
      </c>
      <c r="F496" t="s">
        <v>357</v>
      </c>
      <c r="G496">
        <v>43</v>
      </c>
    </row>
    <row r="497" spans="1:7">
      <c r="A497" t="str">
        <f t="shared" si="7"/>
        <v>De Bongerd 44</v>
      </c>
      <c r="B497" t="s">
        <v>359</v>
      </c>
      <c r="C497" t="s">
        <v>296</v>
      </c>
      <c r="D497">
        <v>1984</v>
      </c>
      <c r="E497">
        <v>109</v>
      </c>
      <c r="F497" t="s">
        <v>357</v>
      </c>
      <c r="G497">
        <v>44</v>
      </c>
    </row>
    <row r="498" spans="1:7">
      <c r="A498" t="str">
        <f t="shared" si="7"/>
        <v>De Bongerd 45</v>
      </c>
      <c r="B498" t="s">
        <v>358</v>
      </c>
      <c r="C498" t="s">
        <v>296</v>
      </c>
      <c r="D498">
        <v>1987</v>
      </c>
      <c r="E498">
        <v>133</v>
      </c>
      <c r="F498" t="s">
        <v>357</v>
      </c>
      <c r="G498">
        <v>45</v>
      </c>
    </row>
    <row r="499" spans="1:7">
      <c r="A499" t="str">
        <f t="shared" si="7"/>
        <v>De Bongerd 46</v>
      </c>
      <c r="B499" t="s">
        <v>359</v>
      </c>
      <c r="C499" t="s">
        <v>296</v>
      </c>
      <c r="D499">
        <v>1984</v>
      </c>
      <c r="E499">
        <v>109</v>
      </c>
      <c r="F499" t="s">
        <v>357</v>
      </c>
      <c r="G499">
        <v>46</v>
      </c>
    </row>
    <row r="500" spans="1:7">
      <c r="A500" t="str">
        <f t="shared" si="7"/>
        <v>De Bongerd 47</v>
      </c>
      <c r="B500" t="s">
        <v>358</v>
      </c>
      <c r="C500" t="s">
        <v>296</v>
      </c>
      <c r="D500">
        <v>1987</v>
      </c>
      <c r="E500">
        <v>133</v>
      </c>
      <c r="F500" t="s">
        <v>357</v>
      </c>
      <c r="G500">
        <v>47</v>
      </c>
    </row>
    <row r="501" spans="1:7">
      <c r="A501" t="str">
        <f t="shared" si="7"/>
        <v>De Bongerd 48</v>
      </c>
      <c r="B501" t="s">
        <v>359</v>
      </c>
      <c r="C501" t="s">
        <v>296</v>
      </c>
      <c r="D501">
        <v>1984</v>
      </c>
      <c r="E501">
        <v>107</v>
      </c>
      <c r="F501" t="s">
        <v>357</v>
      </c>
      <c r="G501">
        <v>48</v>
      </c>
    </row>
    <row r="502" spans="1:7">
      <c r="A502" t="str">
        <f t="shared" si="7"/>
        <v>De Bongerd 49</v>
      </c>
      <c r="B502" t="s">
        <v>360</v>
      </c>
      <c r="C502" t="s">
        <v>296</v>
      </c>
      <c r="D502">
        <v>1987</v>
      </c>
      <c r="E502">
        <v>136</v>
      </c>
      <c r="F502" t="s">
        <v>357</v>
      </c>
      <c r="G502">
        <v>49</v>
      </c>
    </row>
    <row r="503" spans="1:7">
      <c r="A503" t="str">
        <f t="shared" si="7"/>
        <v>De Bongerd 50</v>
      </c>
      <c r="B503" t="s">
        <v>359</v>
      </c>
      <c r="C503" t="s">
        <v>296</v>
      </c>
      <c r="D503">
        <v>1984</v>
      </c>
      <c r="E503">
        <v>109</v>
      </c>
      <c r="F503" t="s">
        <v>357</v>
      </c>
      <c r="G503">
        <v>50</v>
      </c>
    </row>
    <row r="504" spans="1:7">
      <c r="A504" t="str">
        <f t="shared" si="7"/>
        <v>De Bongerd 51</v>
      </c>
      <c r="B504" t="s">
        <v>360</v>
      </c>
      <c r="C504" t="s">
        <v>296</v>
      </c>
      <c r="D504">
        <v>1987</v>
      </c>
      <c r="E504">
        <v>134</v>
      </c>
      <c r="F504" t="s">
        <v>357</v>
      </c>
      <c r="G504">
        <v>51</v>
      </c>
    </row>
    <row r="505" spans="1:7">
      <c r="A505" t="str">
        <f t="shared" si="7"/>
        <v>De Bongerd 52</v>
      </c>
      <c r="B505" t="s">
        <v>359</v>
      </c>
      <c r="C505" t="s">
        <v>296</v>
      </c>
      <c r="D505">
        <v>1984</v>
      </c>
      <c r="E505">
        <v>109</v>
      </c>
      <c r="F505" t="s">
        <v>357</v>
      </c>
      <c r="G505">
        <v>52</v>
      </c>
    </row>
    <row r="506" spans="1:7">
      <c r="A506" t="str">
        <f t="shared" si="7"/>
        <v>De Bongerd 53</v>
      </c>
      <c r="B506" t="s">
        <v>360</v>
      </c>
      <c r="C506" t="s">
        <v>296</v>
      </c>
      <c r="D506">
        <v>1987</v>
      </c>
      <c r="E506">
        <v>139</v>
      </c>
      <c r="F506" t="s">
        <v>357</v>
      </c>
      <c r="G506">
        <v>53</v>
      </c>
    </row>
    <row r="507" spans="1:7">
      <c r="A507" t="str">
        <f t="shared" si="7"/>
        <v>De Bongerd 54</v>
      </c>
      <c r="B507" t="s">
        <v>359</v>
      </c>
      <c r="C507" t="s">
        <v>296</v>
      </c>
      <c r="D507">
        <v>1984</v>
      </c>
      <c r="E507">
        <v>115</v>
      </c>
      <c r="F507" t="s">
        <v>357</v>
      </c>
      <c r="G507">
        <v>54</v>
      </c>
    </row>
    <row r="508" spans="1:7">
      <c r="A508" t="str">
        <f t="shared" si="7"/>
        <v>De Bongerd 55</v>
      </c>
      <c r="B508" t="s">
        <v>360</v>
      </c>
      <c r="C508" t="s">
        <v>296</v>
      </c>
      <c r="D508">
        <v>1987</v>
      </c>
      <c r="E508">
        <v>133</v>
      </c>
      <c r="F508" t="s">
        <v>357</v>
      </c>
      <c r="G508">
        <v>55</v>
      </c>
    </row>
    <row r="509" spans="1:7">
      <c r="A509" t="str">
        <f t="shared" si="7"/>
        <v>De Bongerd 56</v>
      </c>
      <c r="B509" t="s">
        <v>359</v>
      </c>
      <c r="C509" t="s">
        <v>296</v>
      </c>
      <c r="D509">
        <v>1984</v>
      </c>
      <c r="E509">
        <v>115</v>
      </c>
      <c r="F509" t="s">
        <v>357</v>
      </c>
      <c r="G509">
        <v>56</v>
      </c>
    </row>
    <row r="510" spans="1:7">
      <c r="A510" t="str">
        <f t="shared" si="7"/>
        <v>De Bongerd 57</v>
      </c>
      <c r="B510" t="s">
        <v>360</v>
      </c>
      <c r="C510" t="s">
        <v>296</v>
      </c>
      <c r="D510">
        <v>1987</v>
      </c>
      <c r="E510">
        <v>133</v>
      </c>
      <c r="F510" t="s">
        <v>357</v>
      </c>
      <c r="G510">
        <v>57</v>
      </c>
    </row>
    <row r="511" spans="1:7">
      <c r="A511" t="str">
        <f t="shared" si="7"/>
        <v>De Bongerd 58</v>
      </c>
      <c r="B511" t="s">
        <v>359</v>
      </c>
      <c r="C511" t="s">
        <v>296</v>
      </c>
      <c r="D511">
        <v>1984</v>
      </c>
      <c r="E511">
        <v>143</v>
      </c>
      <c r="F511" t="s">
        <v>357</v>
      </c>
      <c r="G511">
        <v>58</v>
      </c>
    </row>
    <row r="512" spans="1:7">
      <c r="A512" t="str">
        <f t="shared" si="7"/>
        <v>De Bongerd 59</v>
      </c>
      <c r="B512" t="s">
        <v>360</v>
      </c>
      <c r="C512" t="s">
        <v>296</v>
      </c>
      <c r="D512">
        <v>1987</v>
      </c>
      <c r="E512">
        <v>133</v>
      </c>
      <c r="F512" t="s">
        <v>357</v>
      </c>
      <c r="G512">
        <v>59</v>
      </c>
    </row>
    <row r="513" spans="1:7">
      <c r="A513" t="str">
        <f t="shared" si="7"/>
        <v>De Bongerd 61</v>
      </c>
      <c r="B513" t="s">
        <v>360</v>
      </c>
      <c r="C513" t="s">
        <v>296</v>
      </c>
      <c r="D513">
        <v>1987</v>
      </c>
      <c r="E513">
        <v>140</v>
      </c>
      <c r="F513" t="s">
        <v>357</v>
      </c>
      <c r="G513">
        <v>61</v>
      </c>
    </row>
    <row r="514" spans="1:7">
      <c r="A514" t="str">
        <f t="shared" ref="A514:A577" si="8">CONCATENATE(F514," ",G514,H514)</f>
        <v>De Bongerd 63</v>
      </c>
      <c r="B514" t="s">
        <v>360</v>
      </c>
      <c r="C514" t="s">
        <v>296</v>
      </c>
      <c r="D514">
        <v>1985</v>
      </c>
      <c r="E514">
        <v>137</v>
      </c>
      <c r="F514" t="s">
        <v>357</v>
      </c>
      <c r="G514">
        <v>63</v>
      </c>
    </row>
    <row r="515" spans="1:7">
      <c r="A515" t="str">
        <f t="shared" si="8"/>
        <v>De Bongerd 65</v>
      </c>
      <c r="B515" t="s">
        <v>360</v>
      </c>
      <c r="C515" t="s">
        <v>296</v>
      </c>
      <c r="D515">
        <v>1985</v>
      </c>
      <c r="E515">
        <v>141</v>
      </c>
      <c r="F515" t="s">
        <v>357</v>
      </c>
      <c r="G515">
        <v>65</v>
      </c>
    </row>
    <row r="516" spans="1:7">
      <c r="A516" t="str">
        <f t="shared" si="8"/>
        <v>De Bongerd 67</v>
      </c>
      <c r="B516" t="s">
        <v>360</v>
      </c>
      <c r="C516" t="s">
        <v>296</v>
      </c>
      <c r="D516">
        <v>1985</v>
      </c>
      <c r="E516">
        <v>134</v>
      </c>
      <c r="F516" t="s">
        <v>357</v>
      </c>
      <c r="G516">
        <v>67</v>
      </c>
    </row>
    <row r="517" spans="1:7">
      <c r="A517" t="str">
        <f t="shared" si="8"/>
        <v>De Bongerd 69</v>
      </c>
      <c r="B517" t="s">
        <v>360</v>
      </c>
      <c r="C517" t="s">
        <v>296</v>
      </c>
      <c r="D517">
        <v>1985</v>
      </c>
      <c r="E517">
        <v>141</v>
      </c>
      <c r="F517" t="s">
        <v>357</v>
      </c>
      <c r="G517">
        <v>69</v>
      </c>
    </row>
    <row r="518" spans="1:7">
      <c r="A518" t="str">
        <f t="shared" si="8"/>
        <v>De Bongerd 71</v>
      </c>
      <c r="B518" t="s">
        <v>360</v>
      </c>
      <c r="C518" t="s">
        <v>296</v>
      </c>
      <c r="D518">
        <v>1985</v>
      </c>
      <c r="E518">
        <v>125</v>
      </c>
      <c r="F518" t="s">
        <v>357</v>
      </c>
      <c r="G518">
        <v>71</v>
      </c>
    </row>
    <row r="519" spans="1:7">
      <c r="A519" t="str">
        <f t="shared" si="8"/>
        <v>De Bongerd 73</v>
      </c>
      <c r="B519" t="s">
        <v>360</v>
      </c>
      <c r="C519" t="s">
        <v>296</v>
      </c>
      <c r="D519">
        <v>1985</v>
      </c>
      <c r="E519">
        <v>124</v>
      </c>
      <c r="F519" t="s">
        <v>357</v>
      </c>
      <c r="G519">
        <v>73</v>
      </c>
    </row>
    <row r="520" spans="1:7">
      <c r="A520" t="str">
        <f t="shared" si="8"/>
        <v>De Bongerd 75</v>
      </c>
      <c r="B520" t="s">
        <v>360</v>
      </c>
      <c r="C520" t="s">
        <v>296</v>
      </c>
      <c r="D520">
        <v>1985</v>
      </c>
      <c r="E520">
        <v>138</v>
      </c>
      <c r="F520" t="s">
        <v>357</v>
      </c>
      <c r="G520">
        <v>75</v>
      </c>
    </row>
    <row r="521" spans="1:7">
      <c r="A521" t="str">
        <f t="shared" si="8"/>
        <v>De Bongerd 77</v>
      </c>
      <c r="B521" t="s">
        <v>360</v>
      </c>
      <c r="C521" t="s">
        <v>296</v>
      </c>
      <c r="D521">
        <v>1985</v>
      </c>
      <c r="E521">
        <v>144</v>
      </c>
      <c r="F521" t="s">
        <v>357</v>
      </c>
      <c r="G521">
        <v>77</v>
      </c>
    </row>
    <row r="522" spans="1:7">
      <c r="A522" t="str">
        <f t="shared" si="8"/>
        <v>De Bongerd 79</v>
      </c>
      <c r="B522" t="s">
        <v>360</v>
      </c>
      <c r="C522" t="s">
        <v>296</v>
      </c>
      <c r="D522">
        <v>1984</v>
      </c>
      <c r="E522">
        <v>86</v>
      </c>
      <c r="F522" t="s">
        <v>357</v>
      </c>
      <c r="G522">
        <v>79</v>
      </c>
    </row>
    <row r="523" spans="1:7">
      <c r="A523" t="str">
        <f t="shared" si="8"/>
        <v>De Bongerd 81</v>
      </c>
      <c r="B523" t="s">
        <v>360</v>
      </c>
      <c r="C523" t="s">
        <v>296</v>
      </c>
      <c r="D523">
        <v>1984</v>
      </c>
      <c r="E523">
        <v>86</v>
      </c>
      <c r="F523" t="s">
        <v>357</v>
      </c>
      <c r="G523">
        <v>81</v>
      </c>
    </row>
    <row r="524" spans="1:7">
      <c r="A524" t="str">
        <f t="shared" si="8"/>
        <v>De Bongerd 83</v>
      </c>
      <c r="B524" t="s">
        <v>360</v>
      </c>
      <c r="C524" t="s">
        <v>296</v>
      </c>
      <c r="D524">
        <v>1984</v>
      </c>
      <c r="E524">
        <v>90</v>
      </c>
      <c r="F524" t="s">
        <v>357</v>
      </c>
      <c r="G524">
        <v>83</v>
      </c>
    </row>
    <row r="525" spans="1:7">
      <c r="A525" t="str">
        <f t="shared" si="8"/>
        <v>De Bongerd 85</v>
      </c>
      <c r="B525" t="s">
        <v>360</v>
      </c>
      <c r="C525" t="s">
        <v>296</v>
      </c>
      <c r="D525">
        <v>1984</v>
      </c>
      <c r="E525">
        <v>87</v>
      </c>
      <c r="F525" t="s">
        <v>357</v>
      </c>
      <c r="G525">
        <v>85</v>
      </c>
    </row>
    <row r="526" spans="1:7">
      <c r="A526" t="str">
        <f t="shared" si="8"/>
        <v>De Bongerd 87</v>
      </c>
      <c r="B526" t="s">
        <v>360</v>
      </c>
      <c r="C526" t="s">
        <v>296</v>
      </c>
      <c r="D526">
        <v>1984</v>
      </c>
      <c r="E526">
        <v>86</v>
      </c>
      <c r="F526" t="s">
        <v>357</v>
      </c>
      <c r="G526">
        <v>87</v>
      </c>
    </row>
    <row r="527" spans="1:7">
      <c r="A527" t="str">
        <f t="shared" si="8"/>
        <v>De Bongerd 89</v>
      </c>
      <c r="B527" t="s">
        <v>360</v>
      </c>
      <c r="C527" t="s">
        <v>296</v>
      </c>
      <c r="D527">
        <v>1984</v>
      </c>
      <c r="E527">
        <v>87</v>
      </c>
      <c r="F527" t="s">
        <v>357</v>
      </c>
      <c r="G527">
        <v>89</v>
      </c>
    </row>
    <row r="528" spans="1:7">
      <c r="A528" t="str">
        <f t="shared" si="8"/>
        <v>De Bongerd 91</v>
      </c>
      <c r="B528" t="s">
        <v>360</v>
      </c>
      <c r="C528" t="s">
        <v>296</v>
      </c>
      <c r="D528">
        <v>1984</v>
      </c>
      <c r="E528">
        <v>87</v>
      </c>
      <c r="F528" t="s">
        <v>357</v>
      </c>
      <c r="G528">
        <v>91</v>
      </c>
    </row>
    <row r="529" spans="1:7">
      <c r="A529" t="str">
        <f t="shared" si="8"/>
        <v>De Bongerd 93</v>
      </c>
      <c r="B529" t="s">
        <v>360</v>
      </c>
      <c r="C529" t="s">
        <v>296</v>
      </c>
      <c r="D529">
        <v>1984</v>
      </c>
      <c r="E529">
        <v>105</v>
      </c>
      <c r="F529" t="s">
        <v>357</v>
      </c>
      <c r="G529">
        <v>93</v>
      </c>
    </row>
    <row r="530" spans="1:7">
      <c r="A530" t="str">
        <f t="shared" si="8"/>
        <v>De Bongerd 95</v>
      </c>
      <c r="B530" t="s">
        <v>360</v>
      </c>
      <c r="C530" t="s">
        <v>296</v>
      </c>
      <c r="D530">
        <v>1984</v>
      </c>
      <c r="E530">
        <v>105</v>
      </c>
      <c r="F530" t="s">
        <v>357</v>
      </c>
      <c r="G530">
        <v>95</v>
      </c>
    </row>
    <row r="531" spans="1:7">
      <c r="A531" t="str">
        <f t="shared" si="8"/>
        <v>De Bongerd 97</v>
      </c>
      <c r="B531" t="s">
        <v>360</v>
      </c>
      <c r="C531" t="s">
        <v>296</v>
      </c>
      <c r="D531">
        <v>1984</v>
      </c>
      <c r="E531">
        <v>110</v>
      </c>
      <c r="F531" t="s">
        <v>357</v>
      </c>
      <c r="G531">
        <v>97</v>
      </c>
    </row>
    <row r="532" spans="1:7">
      <c r="A532" t="str">
        <f t="shared" si="8"/>
        <v>De Bongerd 99</v>
      </c>
      <c r="B532" t="s">
        <v>360</v>
      </c>
      <c r="C532" t="s">
        <v>296</v>
      </c>
      <c r="D532">
        <v>1984</v>
      </c>
      <c r="E532">
        <v>105</v>
      </c>
      <c r="F532" t="s">
        <v>357</v>
      </c>
      <c r="G532">
        <v>99</v>
      </c>
    </row>
    <row r="533" spans="1:7">
      <c r="A533" t="str">
        <f t="shared" si="8"/>
        <v>De Bongerd 101</v>
      </c>
      <c r="B533" t="s">
        <v>360</v>
      </c>
      <c r="C533" t="s">
        <v>296</v>
      </c>
      <c r="D533">
        <v>1984</v>
      </c>
      <c r="E533">
        <v>105</v>
      </c>
      <c r="F533" t="s">
        <v>357</v>
      </c>
      <c r="G533">
        <v>101</v>
      </c>
    </row>
    <row r="534" spans="1:7">
      <c r="A534" t="str">
        <f t="shared" si="8"/>
        <v>De Bongerd 103</v>
      </c>
      <c r="B534" t="s">
        <v>360</v>
      </c>
      <c r="C534" t="s">
        <v>296</v>
      </c>
      <c r="D534">
        <v>1984</v>
      </c>
      <c r="E534">
        <v>106</v>
      </c>
      <c r="F534" t="s">
        <v>357</v>
      </c>
      <c r="G534">
        <v>103</v>
      </c>
    </row>
    <row r="535" spans="1:7">
      <c r="A535" t="str">
        <f t="shared" si="8"/>
        <v>De Bongerd 105</v>
      </c>
      <c r="B535" t="s">
        <v>360</v>
      </c>
      <c r="C535" t="s">
        <v>296</v>
      </c>
      <c r="D535">
        <v>1984</v>
      </c>
      <c r="E535">
        <v>85</v>
      </c>
      <c r="F535" t="s">
        <v>357</v>
      </c>
      <c r="G535">
        <v>105</v>
      </c>
    </row>
    <row r="536" spans="1:7">
      <c r="A536" t="str">
        <f t="shared" si="8"/>
        <v>De Bongerd 107</v>
      </c>
      <c r="B536" t="s">
        <v>360</v>
      </c>
      <c r="C536" t="s">
        <v>296</v>
      </c>
      <c r="D536">
        <v>1984</v>
      </c>
      <c r="E536">
        <v>86</v>
      </c>
      <c r="F536" t="s">
        <v>357</v>
      </c>
      <c r="G536">
        <v>107</v>
      </c>
    </row>
    <row r="537" spans="1:7">
      <c r="A537" t="str">
        <f t="shared" si="8"/>
        <v>De Bongerd 109</v>
      </c>
      <c r="B537" t="s">
        <v>360</v>
      </c>
      <c r="C537" t="s">
        <v>296</v>
      </c>
      <c r="D537">
        <v>1984</v>
      </c>
      <c r="E537">
        <v>85</v>
      </c>
      <c r="F537" t="s">
        <v>357</v>
      </c>
      <c r="G537">
        <v>109</v>
      </c>
    </row>
    <row r="538" spans="1:7">
      <c r="A538" t="str">
        <f t="shared" si="8"/>
        <v>De Bongerd 111</v>
      </c>
      <c r="B538" t="s">
        <v>360</v>
      </c>
      <c r="C538" t="s">
        <v>296</v>
      </c>
      <c r="D538">
        <v>1984</v>
      </c>
      <c r="E538">
        <v>85</v>
      </c>
      <c r="F538" t="s">
        <v>357</v>
      </c>
      <c r="G538">
        <v>111</v>
      </c>
    </row>
    <row r="539" spans="1:7">
      <c r="A539" t="str">
        <f t="shared" si="8"/>
        <v>De Hazelaar 1</v>
      </c>
      <c r="B539" t="s">
        <v>361</v>
      </c>
      <c r="C539" t="s">
        <v>296</v>
      </c>
      <c r="D539">
        <v>1977</v>
      </c>
      <c r="E539">
        <v>146</v>
      </c>
      <c r="F539" t="s">
        <v>362</v>
      </c>
      <c r="G539">
        <v>1</v>
      </c>
    </row>
    <row r="540" spans="1:7">
      <c r="A540" t="str">
        <f t="shared" si="8"/>
        <v>De Hazelaar 2</v>
      </c>
      <c r="B540" t="s">
        <v>361</v>
      </c>
      <c r="C540" t="s">
        <v>296</v>
      </c>
      <c r="D540">
        <v>1977</v>
      </c>
      <c r="E540">
        <v>166</v>
      </c>
      <c r="F540" t="s">
        <v>362</v>
      </c>
      <c r="G540">
        <v>2</v>
      </c>
    </row>
    <row r="541" spans="1:7">
      <c r="A541" t="str">
        <f t="shared" si="8"/>
        <v>De Hazelaar 3</v>
      </c>
      <c r="B541" t="s">
        <v>361</v>
      </c>
      <c r="C541" t="s">
        <v>296</v>
      </c>
      <c r="D541">
        <v>1977</v>
      </c>
      <c r="E541">
        <v>166</v>
      </c>
      <c r="F541" t="s">
        <v>362</v>
      </c>
      <c r="G541">
        <v>3</v>
      </c>
    </row>
    <row r="542" spans="1:7">
      <c r="A542" t="str">
        <f t="shared" si="8"/>
        <v>De Hazelaar 4</v>
      </c>
      <c r="B542" t="s">
        <v>361</v>
      </c>
      <c r="C542" t="s">
        <v>296</v>
      </c>
      <c r="D542">
        <v>1977</v>
      </c>
      <c r="E542">
        <v>150</v>
      </c>
      <c r="F542" t="s">
        <v>362</v>
      </c>
      <c r="G542">
        <v>4</v>
      </c>
    </row>
    <row r="543" spans="1:7">
      <c r="A543" t="str">
        <f t="shared" si="8"/>
        <v>De Hazelaar 5</v>
      </c>
      <c r="B543" t="s">
        <v>361</v>
      </c>
      <c r="C543" t="s">
        <v>296</v>
      </c>
      <c r="D543">
        <v>1977</v>
      </c>
      <c r="E543">
        <v>163</v>
      </c>
      <c r="F543" t="s">
        <v>362</v>
      </c>
      <c r="G543">
        <v>5</v>
      </c>
    </row>
    <row r="544" spans="1:7">
      <c r="A544" t="str">
        <f t="shared" si="8"/>
        <v>De Hazelaar 6</v>
      </c>
      <c r="B544" t="s">
        <v>361</v>
      </c>
      <c r="C544" t="s">
        <v>296</v>
      </c>
      <c r="D544">
        <v>1977</v>
      </c>
      <c r="E544">
        <v>168</v>
      </c>
      <c r="F544" t="s">
        <v>362</v>
      </c>
      <c r="G544">
        <v>6</v>
      </c>
    </row>
    <row r="545" spans="1:7">
      <c r="A545" t="str">
        <f t="shared" si="8"/>
        <v>De Hazelaar 7</v>
      </c>
      <c r="B545" t="s">
        <v>361</v>
      </c>
      <c r="C545" t="s">
        <v>296</v>
      </c>
      <c r="D545">
        <v>1977</v>
      </c>
      <c r="E545">
        <v>167</v>
      </c>
      <c r="F545" t="s">
        <v>362</v>
      </c>
      <c r="G545">
        <v>7</v>
      </c>
    </row>
    <row r="546" spans="1:7">
      <c r="A546" t="str">
        <f t="shared" si="8"/>
        <v>De Hazelaar 8</v>
      </c>
      <c r="B546" t="s">
        <v>361</v>
      </c>
      <c r="C546" t="s">
        <v>296</v>
      </c>
      <c r="D546">
        <v>1977</v>
      </c>
      <c r="E546">
        <v>161</v>
      </c>
      <c r="F546" t="s">
        <v>362</v>
      </c>
      <c r="G546">
        <v>8</v>
      </c>
    </row>
    <row r="547" spans="1:7">
      <c r="A547" t="str">
        <f t="shared" si="8"/>
        <v>De Hazelaar 9</v>
      </c>
      <c r="B547" t="s">
        <v>361</v>
      </c>
      <c r="C547" t="s">
        <v>296</v>
      </c>
      <c r="D547">
        <v>1977</v>
      </c>
      <c r="E547">
        <v>167</v>
      </c>
      <c r="F547" t="s">
        <v>362</v>
      </c>
      <c r="G547">
        <v>9</v>
      </c>
    </row>
    <row r="548" spans="1:7">
      <c r="A548" t="str">
        <f t="shared" si="8"/>
        <v>De Hazelaar 10</v>
      </c>
      <c r="B548" t="s">
        <v>361</v>
      </c>
      <c r="C548" t="s">
        <v>296</v>
      </c>
      <c r="D548">
        <v>1977</v>
      </c>
      <c r="E548">
        <v>142</v>
      </c>
      <c r="F548" t="s">
        <v>362</v>
      </c>
      <c r="G548">
        <v>10</v>
      </c>
    </row>
    <row r="549" spans="1:7">
      <c r="A549" t="str">
        <f t="shared" si="8"/>
        <v>De Hazelaar 11</v>
      </c>
      <c r="B549" t="s">
        <v>361</v>
      </c>
      <c r="C549" t="s">
        <v>296</v>
      </c>
      <c r="D549">
        <v>1977</v>
      </c>
      <c r="E549">
        <v>168</v>
      </c>
      <c r="F549" t="s">
        <v>362</v>
      </c>
      <c r="G549">
        <v>11</v>
      </c>
    </row>
    <row r="550" spans="1:7">
      <c r="A550" t="str">
        <f t="shared" si="8"/>
        <v>De Hazelaar 12</v>
      </c>
      <c r="B550" t="s">
        <v>361</v>
      </c>
      <c r="C550" t="s">
        <v>296</v>
      </c>
      <c r="D550">
        <v>1977</v>
      </c>
      <c r="E550">
        <v>143</v>
      </c>
      <c r="F550" t="s">
        <v>362</v>
      </c>
      <c r="G550">
        <v>12</v>
      </c>
    </row>
    <row r="551" spans="1:7">
      <c r="A551" t="str">
        <f t="shared" si="8"/>
        <v>De Hazelaar 13</v>
      </c>
      <c r="B551" t="s">
        <v>361</v>
      </c>
      <c r="C551" t="s">
        <v>296</v>
      </c>
      <c r="D551">
        <v>1977</v>
      </c>
      <c r="E551">
        <v>148</v>
      </c>
      <c r="F551" t="s">
        <v>362</v>
      </c>
      <c r="G551">
        <v>13</v>
      </c>
    </row>
    <row r="552" spans="1:7">
      <c r="A552" t="str">
        <f t="shared" si="8"/>
        <v>De Hazelaar 14</v>
      </c>
      <c r="B552" t="s">
        <v>361</v>
      </c>
      <c r="C552" t="s">
        <v>296</v>
      </c>
      <c r="D552">
        <v>1977</v>
      </c>
      <c r="E552">
        <v>154</v>
      </c>
      <c r="F552" t="s">
        <v>362</v>
      </c>
      <c r="G552">
        <v>14</v>
      </c>
    </row>
    <row r="553" spans="1:7">
      <c r="A553" t="str">
        <f t="shared" si="8"/>
        <v>De Hazelaar 15</v>
      </c>
      <c r="B553" t="s">
        <v>361</v>
      </c>
      <c r="C553" t="s">
        <v>296</v>
      </c>
      <c r="D553">
        <v>1977</v>
      </c>
      <c r="E553">
        <v>148</v>
      </c>
      <c r="F553" t="s">
        <v>362</v>
      </c>
      <c r="G553">
        <v>15</v>
      </c>
    </row>
    <row r="554" spans="1:7">
      <c r="A554" t="str">
        <f t="shared" si="8"/>
        <v>De Hazelaar 17</v>
      </c>
      <c r="B554" t="s">
        <v>361</v>
      </c>
      <c r="C554" t="s">
        <v>296</v>
      </c>
      <c r="D554">
        <v>1977</v>
      </c>
      <c r="E554">
        <v>153</v>
      </c>
      <c r="F554" t="s">
        <v>362</v>
      </c>
      <c r="G554">
        <v>17</v>
      </c>
    </row>
    <row r="555" spans="1:7">
      <c r="A555" t="str">
        <f t="shared" si="8"/>
        <v>De Hazelaar 19</v>
      </c>
      <c r="B555" t="s">
        <v>361</v>
      </c>
      <c r="C555" t="s">
        <v>296</v>
      </c>
      <c r="D555">
        <v>1977</v>
      </c>
      <c r="E555">
        <v>147</v>
      </c>
      <c r="F555" t="s">
        <v>362</v>
      </c>
      <c r="G555">
        <v>19</v>
      </c>
    </row>
    <row r="556" spans="1:7">
      <c r="A556" t="str">
        <f t="shared" si="8"/>
        <v>De Hazelaar 21</v>
      </c>
      <c r="B556" t="s">
        <v>361</v>
      </c>
      <c r="C556" t="s">
        <v>296</v>
      </c>
      <c r="D556">
        <v>1977</v>
      </c>
      <c r="E556">
        <v>143</v>
      </c>
      <c r="F556" t="s">
        <v>362</v>
      </c>
      <c r="G556">
        <v>21</v>
      </c>
    </row>
    <row r="557" spans="1:7">
      <c r="A557" t="str">
        <f t="shared" si="8"/>
        <v>De Hove 1</v>
      </c>
      <c r="B557" t="s">
        <v>363</v>
      </c>
      <c r="C557" t="s">
        <v>306</v>
      </c>
      <c r="D557">
        <v>1954</v>
      </c>
      <c r="E557">
        <v>212</v>
      </c>
      <c r="F557" t="s">
        <v>364</v>
      </c>
      <c r="G557">
        <v>1</v>
      </c>
    </row>
    <row r="558" spans="1:7">
      <c r="A558" t="str">
        <f t="shared" si="8"/>
        <v>De Hove 2</v>
      </c>
      <c r="B558" t="s">
        <v>363</v>
      </c>
      <c r="C558" t="s">
        <v>306</v>
      </c>
      <c r="D558">
        <v>1988</v>
      </c>
      <c r="E558">
        <v>61</v>
      </c>
      <c r="F558" t="s">
        <v>364</v>
      </c>
      <c r="G558">
        <v>2</v>
      </c>
    </row>
    <row r="559" spans="1:7">
      <c r="A559" t="str">
        <f t="shared" si="8"/>
        <v>De Hove 3</v>
      </c>
      <c r="B559" t="s">
        <v>363</v>
      </c>
      <c r="C559" t="s">
        <v>306</v>
      </c>
      <c r="D559">
        <v>1998</v>
      </c>
      <c r="E559">
        <v>317</v>
      </c>
      <c r="F559" t="s">
        <v>364</v>
      </c>
      <c r="G559">
        <v>3</v>
      </c>
    </row>
    <row r="560" spans="1:7">
      <c r="A560" t="str">
        <f t="shared" si="8"/>
        <v>De Hove 4</v>
      </c>
      <c r="B560" t="s">
        <v>363</v>
      </c>
      <c r="C560" t="s">
        <v>306</v>
      </c>
      <c r="D560">
        <v>1988</v>
      </c>
      <c r="E560">
        <v>71</v>
      </c>
      <c r="F560" t="s">
        <v>364</v>
      </c>
      <c r="G560">
        <v>4</v>
      </c>
    </row>
    <row r="561" spans="1:8">
      <c r="A561" t="str">
        <f t="shared" si="8"/>
        <v>De Hove 5</v>
      </c>
      <c r="B561" t="s">
        <v>363</v>
      </c>
      <c r="C561" t="s">
        <v>306</v>
      </c>
      <c r="D561">
        <v>1955</v>
      </c>
      <c r="E561">
        <v>207</v>
      </c>
      <c r="F561" t="s">
        <v>364</v>
      </c>
      <c r="G561">
        <v>5</v>
      </c>
    </row>
    <row r="562" spans="1:8">
      <c r="A562" t="str">
        <f t="shared" si="8"/>
        <v>De Hove 6</v>
      </c>
      <c r="B562" t="s">
        <v>363</v>
      </c>
      <c r="C562" t="s">
        <v>306</v>
      </c>
      <c r="D562">
        <v>1988</v>
      </c>
      <c r="E562">
        <v>71</v>
      </c>
      <c r="F562" t="s">
        <v>364</v>
      </c>
      <c r="G562">
        <v>6</v>
      </c>
    </row>
    <row r="563" spans="1:8">
      <c r="A563" t="str">
        <f t="shared" si="8"/>
        <v>De Hove 7</v>
      </c>
      <c r="B563" t="s">
        <v>363</v>
      </c>
      <c r="C563" t="s">
        <v>306</v>
      </c>
      <c r="D563">
        <v>1954</v>
      </c>
      <c r="E563">
        <v>170</v>
      </c>
      <c r="F563" t="s">
        <v>364</v>
      </c>
      <c r="G563">
        <v>7</v>
      </c>
    </row>
    <row r="564" spans="1:8">
      <c r="A564" t="str">
        <f t="shared" si="8"/>
        <v>De Hove 8</v>
      </c>
      <c r="B564" t="s">
        <v>363</v>
      </c>
      <c r="C564" t="s">
        <v>306</v>
      </c>
      <c r="D564">
        <v>1988</v>
      </c>
      <c r="E564">
        <v>61</v>
      </c>
      <c r="F564" t="s">
        <v>364</v>
      </c>
      <c r="G564">
        <v>8</v>
      </c>
    </row>
    <row r="565" spans="1:8">
      <c r="A565" t="str">
        <f t="shared" si="8"/>
        <v>De Hove 9</v>
      </c>
      <c r="B565" t="s">
        <v>363</v>
      </c>
      <c r="C565" t="s">
        <v>306</v>
      </c>
      <c r="D565">
        <v>1958</v>
      </c>
      <c r="E565">
        <v>150</v>
      </c>
      <c r="F565" t="s">
        <v>364</v>
      </c>
      <c r="G565">
        <v>9</v>
      </c>
    </row>
    <row r="566" spans="1:8">
      <c r="A566" t="str">
        <f t="shared" si="8"/>
        <v>De Hove 10</v>
      </c>
      <c r="B566" t="s">
        <v>363</v>
      </c>
      <c r="C566" t="s">
        <v>306</v>
      </c>
      <c r="D566">
        <v>1988</v>
      </c>
      <c r="E566">
        <v>61</v>
      </c>
      <c r="F566" t="s">
        <v>364</v>
      </c>
      <c r="G566">
        <v>10</v>
      </c>
    </row>
    <row r="567" spans="1:8">
      <c r="A567" t="str">
        <f t="shared" si="8"/>
        <v>De Hove 11</v>
      </c>
      <c r="B567" t="s">
        <v>363</v>
      </c>
      <c r="C567" t="s">
        <v>306</v>
      </c>
      <c r="D567">
        <v>1950</v>
      </c>
      <c r="E567">
        <v>244</v>
      </c>
      <c r="F567" t="s">
        <v>364</v>
      </c>
      <c r="G567">
        <v>11</v>
      </c>
    </row>
    <row r="568" spans="1:8">
      <c r="A568" t="str">
        <f t="shared" si="8"/>
        <v>De Hove 12</v>
      </c>
      <c r="B568" t="s">
        <v>363</v>
      </c>
      <c r="C568" t="s">
        <v>306</v>
      </c>
      <c r="D568">
        <v>1988</v>
      </c>
      <c r="E568">
        <v>71</v>
      </c>
      <c r="F568" t="s">
        <v>364</v>
      </c>
      <c r="G568">
        <v>12</v>
      </c>
    </row>
    <row r="569" spans="1:8">
      <c r="A569" t="str">
        <f t="shared" si="8"/>
        <v>De Hove 13</v>
      </c>
      <c r="B569" t="s">
        <v>363</v>
      </c>
      <c r="C569" t="s">
        <v>306</v>
      </c>
      <c r="D569">
        <v>1950</v>
      </c>
      <c r="E569">
        <v>237</v>
      </c>
      <c r="F569" t="s">
        <v>364</v>
      </c>
      <c r="G569">
        <v>13</v>
      </c>
    </row>
    <row r="570" spans="1:8">
      <c r="A570" t="str">
        <f t="shared" si="8"/>
        <v>De Hove 14</v>
      </c>
      <c r="B570" t="s">
        <v>363</v>
      </c>
      <c r="C570" t="s">
        <v>306</v>
      </c>
      <c r="D570">
        <v>1988</v>
      </c>
      <c r="E570">
        <v>71</v>
      </c>
      <c r="F570" t="s">
        <v>364</v>
      </c>
      <c r="G570">
        <v>14</v>
      </c>
    </row>
    <row r="571" spans="1:8">
      <c r="A571" t="str">
        <f t="shared" si="8"/>
        <v>De Hove 15a</v>
      </c>
      <c r="B571" t="s">
        <v>363</v>
      </c>
      <c r="C571" t="s">
        <v>306</v>
      </c>
      <c r="D571">
        <v>1991</v>
      </c>
      <c r="E571">
        <v>230</v>
      </c>
      <c r="F571" t="s">
        <v>364</v>
      </c>
      <c r="G571">
        <v>15</v>
      </c>
      <c r="H571" t="s">
        <v>304</v>
      </c>
    </row>
    <row r="572" spans="1:8">
      <c r="A572" t="str">
        <f t="shared" si="8"/>
        <v>De Hove 15b</v>
      </c>
      <c r="B572" t="s">
        <v>363</v>
      </c>
      <c r="C572" t="s">
        <v>306</v>
      </c>
      <c r="D572">
        <v>1994</v>
      </c>
      <c r="E572">
        <v>241</v>
      </c>
      <c r="F572" t="s">
        <v>364</v>
      </c>
      <c r="G572">
        <v>15</v>
      </c>
      <c r="H572" t="s">
        <v>298</v>
      </c>
    </row>
    <row r="573" spans="1:8">
      <c r="A573" t="str">
        <f t="shared" si="8"/>
        <v>De Hove 15c</v>
      </c>
      <c r="C573" t="s">
        <v>306</v>
      </c>
      <c r="D573">
        <v>2002</v>
      </c>
      <c r="E573">
        <v>83</v>
      </c>
      <c r="F573" t="s">
        <v>364</v>
      </c>
      <c r="G573">
        <v>15</v>
      </c>
      <c r="H573" t="s">
        <v>299</v>
      </c>
    </row>
    <row r="574" spans="1:8">
      <c r="A574" t="str">
        <f t="shared" si="8"/>
        <v>De Hove 15</v>
      </c>
      <c r="B574" t="s">
        <v>363</v>
      </c>
      <c r="C574" t="s">
        <v>306</v>
      </c>
      <c r="D574">
        <v>1850</v>
      </c>
      <c r="E574">
        <v>254</v>
      </c>
      <c r="F574" t="s">
        <v>364</v>
      </c>
      <c r="G574">
        <v>15</v>
      </c>
    </row>
    <row r="575" spans="1:8">
      <c r="A575" t="str">
        <f t="shared" si="8"/>
        <v>De Hove 16</v>
      </c>
      <c r="B575" t="s">
        <v>363</v>
      </c>
      <c r="C575" t="s">
        <v>306</v>
      </c>
      <c r="D575">
        <v>1988</v>
      </c>
      <c r="E575">
        <v>61</v>
      </c>
      <c r="F575" t="s">
        <v>364</v>
      </c>
      <c r="G575">
        <v>16</v>
      </c>
    </row>
    <row r="576" spans="1:8">
      <c r="A576" t="str">
        <f t="shared" si="8"/>
        <v>De Hove 17</v>
      </c>
      <c r="B576" t="s">
        <v>363</v>
      </c>
      <c r="C576" t="s">
        <v>306</v>
      </c>
      <c r="D576">
        <v>1972</v>
      </c>
      <c r="E576">
        <v>683</v>
      </c>
      <c r="F576" t="s">
        <v>364</v>
      </c>
      <c r="G576">
        <v>17</v>
      </c>
    </row>
    <row r="577" spans="1:7">
      <c r="A577" t="str">
        <f t="shared" si="8"/>
        <v>De Hove 18</v>
      </c>
      <c r="B577" t="s">
        <v>363</v>
      </c>
      <c r="C577" t="s">
        <v>306</v>
      </c>
      <c r="D577">
        <v>1982</v>
      </c>
      <c r="E577">
        <v>107</v>
      </c>
      <c r="F577" t="s">
        <v>364</v>
      </c>
      <c r="G577">
        <v>18</v>
      </c>
    </row>
    <row r="578" spans="1:7">
      <c r="A578" t="str">
        <f t="shared" ref="A578:A641" si="9">CONCATENATE(F578," ",G578,H578)</f>
        <v>De Hove 19</v>
      </c>
      <c r="B578" t="s">
        <v>363</v>
      </c>
      <c r="C578" t="s">
        <v>306</v>
      </c>
      <c r="D578">
        <v>1970</v>
      </c>
      <c r="E578">
        <v>437</v>
      </c>
      <c r="F578" t="s">
        <v>364</v>
      </c>
      <c r="G578">
        <v>19</v>
      </c>
    </row>
    <row r="579" spans="1:7">
      <c r="A579" t="str">
        <f t="shared" si="9"/>
        <v>De Hove 20</v>
      </c>
      <c r="B579" t="s">
        <v>363</v>
      </c>
      <c r="C579" t="s">
        <v>306</v>
      </c>
      <c r="D579">
        <v>1982</v>
      </c>
      <c r="E579">
        <v>107</v>
      </c>
      <c r="F579" t="s">
        <v>364</v>
      </c>
      <c r="G579">
        <v>20</v>
      </c>
    </row>
    <row r="580" spans="1:7">
      <c r="A580" t="str">
        <f t="shared" si="9"/>
        <v>De Hove 22</v>
      </c>
      <c r="B580" t="s">
        <v>363</v>
      </c>
      <c r="C580" t="s">
        <v>306</v>
      </c>
      <c r="D580">
        <v>1982</v>
      </c>
      <c r="E580">
        <v>107</v>
      </c>
      <c r="F580" t="s">
        <v>364</v>
      </c>
      <c r="G580">
        <v>22</v>
      </c>
    </row>
    <row r="581" spans="1:7">
      <c r="A581" t="str">
        <f t="shared" si="9"/>
        <v>De Hove 24</v>
      </c>
      <c r="B581" t="s">
        <v>363</v>
      </c>
      <c r="C581" t="s">
        <v>306</v>
      </c>
      <c r="D581">
        <v>1982</v>
      </c>
      <c r="E581">
        <v>107</v>
      </c>
      <c r="F581" t="s">
        <v>364</v>
      </c>
      <c r="G581">
        <v>24</v>
      </c>
    </row>
    <row r="582" spans="1:7">
      <c r="A582" t="str">
        <f t="shared" si="9"/>
        <v>De Hove 26</v>
      </c>
      <c r="B582" t="s">
        <v>363</v>
      </c>
      <c r="C582" t="s">
        <v>306</v>
      </c>
      <c r="D582">
        <v>1982</v>
      </c>
      <c r="E582">
        <v>107</v>
      </c>
      <c r="F582" t="s">
        <v>364</v>
      </c>
      <c r="G582">
        <v>26</v>
      </c>
    </row>
    <row r="583" spans="1:7">
      <c r="A583" t="str">
        <f t="shared" si="9"/>
        <v>De Hove 28</v>
      </c>
      <c r="B583" t="s">
        <v>363</v>
      </c>
      <c r="C583" t="s">
        <v>306</v>
      </c>
      <c r="D583">
        <v>1982</v>
      </c>
      <c r="E583">
        <v>122</v>
      </c>
      <c r="F583" t="s">
        <v>364</v>
      </c>
      <c r="G583">
        <v>28</v>
      </c>
    </row>
    <row r="584" spans="1:7">
      <c r="A584" t="str">
        <f t="shared" si="9"/>
        <v>De Hove 30</v>
      </c>
      <c r="B584" t="s">
        <v>363</v>
      </c>
      <c r="C584" t="s">
        <v>306</v>
      </c>
      <c r="D584">
        <v>1959</v>
      </c>
      <c r="E584">
        <v>147</v>
      </c>
      <c r="F584" t="s">
        <v>364</v>
      </c>
      <c r="G584">
        <v>30</v>
      </c>
    </row>
    <row r="585" spans="1:7">
      <c r="A585" t="str">
        <f t="shared" si="9"/>
        <v>De Hove 32</v>
      </c>
      <c r="B585" t="s">
        <v>363</v>
      </c>
      <c r="C585" t="s">
        <v>306</v>
      </c>
      <c r="D585">
        <v>1955</v>
      </c>
      <c r="E585">
        <v>159</v>
      </c>
      <c r="F585" t="s">
        <v>364</v>
      </c>
      <c r="G585">
        <v>32</v>
      </c>
    </row>
    <row r="586" spans="1:7">
      <c r="A586" t="str">
        <f t="shared" si="9"/>
        <v>De Hove 34</v>
      </c>
      <c r="B586" t="s">
        <v>363</v>
      </c>
      <c r="C586" t="s">
        <v>306</v>
      </c>
      <c r="D586">
        <v>1955</v>
      </c>
      <c r="E586">
        <v>128</v>
      </c>
      <c r="F586" t="s">
        <v>364</v>
      </c>
      <c r="G586">
        <v>34</v>
      </c>
    </row>
    <row r="587" spans="1:7">
      <c r="A587" t="str">
        <f t="shared" si="9"/>
        <v>De Hove 36</v>
      </c>
      <c r="B587" t="s">
        <v>363</v>
      </c>
      <c r="C587" t="s">
        <v>306</v>
      </c>
      <c r="D587">
        <v>1957</v>
      </c>
      <c r="E587">
        <v>115</v>
      </c>
      <c r="F587" t="s">
        <v>364</v>
      </c>
      <c r="G587">
        <v>36</v>
      </c>
    </row>
    <row r="588" spans="1:7">
      <c r="A588" t="str">
        <f t="shared" si="9"/>
        <v>De Hove 38</v>
      </c>
      <c r="B588" t="s">
        <v>363</v>
      </c>
      <c r="C588" t="s">
        <v>306</v>
      </c>
      <c r="D588">
        <v>1957</v>
      </c>
      <c r="E588">
        <v>75</v>
      </c>
      <c r="F588" t="s">
        <v>364</v>
      </c>
      <c r="G588">
        <v>38</v>
      </c>
    </row>
    <row r="589" spans="1:7">
      <c r="A589" t="str">
        <f t="shared" si="9"/>
        <v>De Hove 40</v>
      </c>
      <c r="B589" t="s">
        <v>363</v>
      </c>
      <c r="C589" t="s">
        <v>306</v>
      </c>
      <c r="D589">
        <v>1955</v>
      </c>
      <c r="E589">
        <v>177</v>
      </c>
      <c r="F589" t="s">
        <v>364</v>
      </c>
      <c r="G589">
        <v>40</v>
      </c>
    </row>
    <row r="590" spans="1:7">
      <c r="A590" t="str">
        <f t="shared" si="9"/>
        <v>De Hove 42</v>
      </c>
      <c r="B590" t="s">
        <v>363</v>
      </c>
      <c r="C590" t="s">
        <v>306</v>
      </c>
      <c r="D590">
        <v>1989</v>
      </c>
      <c r="E590">
        <v>60</v>
      </c>
      <c r="F590" t="s">
        <v>364</v>
      </c>
      <c r="G590">
        <v>42</v>
      </c>
    </row>
    <row r="591" spans="1:7">
      <c r="A591" t="str">
        <f t="shared" si="9"/>
        <v>De Hove 44</v>
      </c>
      <c r="B591" t="s">
        <v>363</v>
      </c>
      <c r="C591" t="s">
        <v>306</v>
      </c>
      <c r="D591">
        <v>1989</v>
      </c>
      <c r="E591">
        <v>60</v>
      </c>
      <c r="F591" t="s">
        <v>364</v>
      </c>
      <c r="G591">
        <v>44</v>
      </c>
    </row>
    <row r="592" spans="1:7">
      <c r="A592" t="str">
        <f t="shared" si="9"/>
        <v>De Hove 46</v>
      </c>
      <c r="B592" t="s">
        <v>363</v>
      </c>
      <c r="C592" t="s">
        <v>306</v>
      </c>
      <c r="D592">
        <v>1989</v>
      </c>
      <c r="E592">
        <v>60</v>
      </c>
      <c r="F592" t="s">
        <v>364</v>
      </c>
      <c r="G592">
        <v>46</v>
      </c>
    </row>
    <row r="593" spans="1:7">
      <c r="A593" t="str">
        <f t="shared" si="9"/>
        <v>De Hove 48</v>
      </c>
      <c r="B593" t="s">
        <v>363</v>
      </c>
      <c r="C593" t="s">
        <v>306</v>
      </c>
      <c r="D593">
        <v>1989</v>
      </c>
      <c r="E593">
        <v>60</v>
      </c>
      <c r="F593" t="s">
        <v>364</v>
      </c>
      <c r="G593">
        <v>48</v>
      </c>
    </row>
    <row r="594" spans="1:7">
      <c r="A594" t="str">
        <f t="shared" si="9"/>
        <v>De Hove 50</v>
      </c>
      <c r="B594" t="s">
        <v>363</v>
      </c>
      <c r="C594" t="s">
        <v>306</v>
      </c>
      <c r="D594">
        <v>1989</v>
      </c>
      <c r="E594">
        <v>60</v>
      </c>
      <c r="F594" t="s">
        <v>364</v>
      </c>
      <c r="G594">
        <v>50</v>
      </c>
    </row>
    <row r="595" spans="1:7">
      <c r="A595" t="str">
        <f t="shared" si="9"/>
        <v>De Hove 52</v>
      </c>
      <c r="B595" t="s">
        <v>363</v>
      </c>
      <c r="C595" t="s">
        <v>306</v>
      </c>
      <c r="D595">
        <v>1989</v>
      </c>
      <c r="E595">
        <v>60</v>
      </c>
      <c r="F595" t="s">
        <v>364</v>
      </c>
      <c r="G595">
        <v>52</v>
      </c>
    </row>
    <row r="596" spans="1:7">
      <c r="A596" t="str">
        <f t="shared" si="9"/>
        <v>De Hove 54</v>
      </c>
      <c r="B596" t="s">
        <v>363</v>
      </c>
      <c r="C596" t="s">
        <v>306</v>
      </c>
      <c r="D596">
        <v>1989</v>
      </c>
      <c r="E596">
        <v>60</v>
      </c>
      <c r="F596" t="s">
        <v>364</v>
      </c>
      <c r="G596">
        <v>54</v>
      </c>
    </row>
    <row r="597" spans="1:7">
      <c r="A597" t="str">
        <f t="shared" si="9"/>
        <v>De Hove 56</v>
      </c>
      <c r="B597" t="s">
        <v>363</v>
      </c>
      <c r="C597" t="s">
        <v>306</v>
      </c>
      <c r="D597">
        <v>1989</v>
      </c>
      <c r="E597">
        <v>60</v>
      </c>
      <c r="F597" t="s">
        <v>364</v>
      </c>
      <c r="G597">
        <v>56</v>
      </c>
    </row>
    <row r="598" spans="1:7">
      <c r="A598" t="str">
        <f t="shared" si="9"/>
        <v>De Hove 58</v>
      </c>
      <c r="B598" t="s">
        <v>363</v>
      </c>
      <c r="C598" t="s">
        <v>306</v>
      </c>
      <c r="D598">
        <v>1989</v>
      </c>
      <c r="E598">
        <v>60</v>
      </c>
      <c r="F598" t="s">
        <v>364</v>
      </c>
      <c r="G598">
        <v>58</v>
      </c>
    </row>
    <row r="599" spans="1:7">
      <c r="A599" t="str">
        <f t="shared" si="9"/>
        <v>De Hove 60</v>
      </c>
      <c r="B599" t="s">
        <v>363</v>
      </c>
      <c r="C599" t="s">
        <v>306</v>
      </c>
      <c r="D599">
        <v>1989</v>
      </c>
      <c r="E599">
        <v>60</v>
      </c>
      <c r="F599" t="s">
        <v>364</v>
      </c>
      <c r="G599">
        <v>60</v>
      </c>
    </row>
    <row r="600" spans="1:7">
      <c r="A600" t="str">
        <f t="shared" si="9"/>
        <v>De Hove 62</v>
      </c>
      <c r="B600" t="s">
        <v>363</v>
      </c>
      <c r="C600" t="s">
        <v>306</v>
      </c>
      <c r="D600">
        <v>1989</v>
      </c>
      <c r="E600">
        <v>60</v>
      </c>
      <c r="F600" t="s">
        <v>364</v>
      </c>
      <c r="G600">
        <v>62</v>
      </c>
    </row>
    <row r="601" spans="1:7">
      <c r="A601" t="str">
        <f t="shared" si="9"/>
        <v>De Hove 64</v>
      </c>
      <c r="B601" t="s">
        <v>363</v>
      </c>
      <c r="C601" t="s">
        <v>306</v>
      </c>
      <c r="D601">
        <v>1989</v>
      </c>
      <c r="E601">
        <v>60</v>
      </c>
      <c r="F601" t="s">
        <v>364</v>
      </c>
      <c r="G601">
        <v>64</v>
      </c>
    </row>
    <row r="602" spans="1:7">
      <c r="A602" t="str">
        <f t="shared" si="9"/>
        <v>De Hove 66</v>
      </c>
      <c r="B602" t="s">
        <v>363</v>
      </c>
      <c r="C602" t="s">
        <v>306</v>
      </c>
      <c r="D602">
        <v>1989</v>
      </c>
      <c r="E602">
        <v>60</v>
      </c>
      <c r="F602" t="s">
        <v>364</v>
      </c>
      <c r="G602">
        <v>66</v>
      </c>
    </row>
    <row r="603" spans="1:7">
      <c r="A603" t="str">
        <f t="shared" si="9"/>
        <v>De Hove 68</v>
      </c>
      <c r="B603" t="s">
        <v>363</v>
      </c>
      <c r="C603" t="s">
        <v>306</v>
      </c>
      <c r="D603">
        <v>1989</v>
      </c>
      <c r="E603">
        <v>60</v>
      </c>
      <c r="F603" t="s">
        <v>364</v>
      </c>
      <c r="G603">
        <v>68</v>
      </c>
    </row>
    <row r="604" spans="1:7">
      <c r="A604" t="str">
        <f t="shared" si="9"/>
        <v>De Hove 70</v>
      </c>
      <c r="B604" t="s">
        <v>363</v>
      </c>
      <c r="C604" t="s">
        <v>306</v>
      </c>
      <c r="D604">
        <v>1989</v>
      </c>
      <c r="E604">
        <v>60</v>
      </c>
      <c r="F604" t="s">
        <v>364</v>
      </c>
      <c r="G604">
        <v>70</v>
      </c>
    </row>
    <row r="605" spans="1:7">
      <c r="A605" t="str">
        <f t="shared" si="9"/>
        <v>De Hove 72</v>
      </c>
      <c r="B605" t="s">
        <v>363</v>
      </c>
      <c r="C605" t="s">
        <v>306</v>
      </c>
      <c r="D605">
        <v>1989</v>
      </c>
      <c r="E605">
        <v>89</v>
      </c>
      <c r="F605" t="s">
        <v>364</v>
      </c>
      <c r="G605">
        <v>72</v>
      </c>
    </row>
    <row r="606" spans="1:7">
      <c r="A606" t="str">
        <f t="shared" si="9"/>
        <v>De Hove 74</v>
      </c>
      <c r="B606" t="s">
        <v>363</v>
      </c>
      <c r="C606" t="s">
        <v>306</v>
      </c>
      <c r="D606">
        <v>1989</v>
      </c>
      <c r="E606">
        <v>60</v>
      </c>
      <c r="F606" t="s">
        <v>364</v>
      </c>
      <c r="G606">
        <v>74</v>
      </c>
    </row>
    <row r="607" spans="1:7">
      <c r="A607" t="str">
        <f t="shared" si="9"/>
        <v>De Hove 76</v>
      </c>
      <c r="B607" t="s">
        <v>363</v>
      </c>
      <c r="C607" t="s">
        <v>306</v>
      </c>
      <c r="D607">
        <v>1989</v>
      </c>
      <c r="E607">
        <v>60</v>
      </c>
      <c r="F607" t="s">
        <v>364</v>
      </c>
      <c r="G607">
        <v>76</v>
      </c>
    </row>
    <row r="608" spans="1:7">
      <c r="A608" t="str">
        <f t="shared" si="9"/>
        <v>De Hove 78</v>
      </c>
      <c r="B608" t="s">
        <v>363</v>
      </c>
      <c r="C608" t="s">
        <v>306</v>
      </c>
      <c r="D608">
        <v>1989</v>
      </c>
      <c r="E608">
        <v>60</v>
      </c>
      <c r="F608" t="s">
        <v>364</v>
      </c>
      <c r="G608">
        <v>78</v>
      </c>
    </row>
    <row r="609" spans="1:8">
      <c r="A609" t="str">
        <f t="shared" si="9"/>
        <v>De Hove 80</v>
      </c>
      <c r="B609" t="s">
        <v>363</v>
      </c>
      <c r="C609" t="s">
        <v>306</v>
      </c>
      <c r="D609">
        <v>1989</v>
      </c>
      <c r="E609">
        <v>60</v>
      </c>
      <c r="F609" t="s">
        <v>364</v>
      </c>
      <c r="G609">
        <v>80</v>
      </c>
    </row>
    <row r="610" spans="1:8">
      <c r="A610" t="str">
        <f t="shared" si="9"/>
        <v>De Hove 82</v>
      </c>
      <c r="B610" t="s">
        <v>363</v>
      </c>
      <c r="C610" t="s">
        <v>306</v>
      </c>
      <c r="D610">
        <v>1989</v>
      </c>
      <c r="E610">
        <v>60</v>
      </c>
      <c r="F610" t="s">
        <v>364</v>
      </c>
      <c r="G610">
        <v>82</v>
      </c>
    </row>
    <row r="611" spans="1:8">
      <c r="A611" t="str">
        <f t="shared" si="9"/>
        <v>De Sterreschans 1a</v>
      </c>
      <c r="B611" t="s">
        <v>365</v>
      </c>
      <c r="C611" t="s">
        <v>296</v>
      </c>
      <c r="D611">
        <v>2021</v>
      </c>
      <c r="E611">
        <v>136</v>
      </c>
      <c r="F611" t="s">
        <v>366</v>
      </c>
      <c r="G611">
        <v>1</v>
      </c>
      <c r="H611" t="s">
        <v>304</v>
      </c>
    </row>
    <row r="612" spans="1:8">
      <c r="A612" t="str">
        <f t="shared" si="9"/>
        <v>De Sterreschans 1b</v>
      </c>
      <c r="B612" t="s">
        <v>365</v>
      </c>
      <c r="C612" t="s">
        <v>296</v>
      </c>
      <c r="D612">
        <v>2021</v>
      </c>
      <c r="E612">
        <v>130</v>
      </c>
      <c r="F612" t="s">
        <v>366</v>
      </c>
      <c r="G612">
        <v>1</v>
      </c>
      <c r="H612" t="s">
        <v>298</v>
      </c>
    </row>
    <row r="613" spans="1:8">
      <c r="A613" t="str">
        <f t="shared" si="9"/>
        <v>De Sterreschans 1c</v>
      </c>
      <c r="B613" t="s">
        <v>365</v>
      </c>
      <c r="C613" t="s">
        <v>296</v>
      </c>
      <c r="D613">
        <v>2021</v>
      </c>
      <c r="E613">
        <v>130</v>
      </c>
      <c r="F613" t="s">
        <v>366</v>
      </c>
      <c r="G613">
        <v>1</v>
      </c>
      <c r="H613" t="s">
        <v>299</v>
      </c>
    </row>
    <row r="614" spans="1:8">
      <c r="A614" t="str">
        <f t="shared" si="9"/>
        <v>De Sterreschans 1</v>
      </c>
      <c r="B614" t="s">
        <v>365</v>
      </c>
      <c r="C614" t="s">
        <v>296</v>
      </c>
      <c r="D614">
        <v>2021</v>
      </c>
      <c r="E614">
        <v>130</v>
      </c>
      <c r="F614" t="s">
        <v>366</v>
      </c>
      <c r="G614">
        <v>1</v>
      </c>
    </row>
    <row r="615" spans="1:8">
      <c r="A615" t="str">
        <f t="shared" si="9"/>
        <v>De Sterreschans 2</v>
      </c>
      <c r="B615" t="s">
        <v>367</v>
      </c>
      <c r="C615" t="s">
        <v>296</v>
      </c>
      <c r="D615">
        <v>2017</v>
      </c>
      <c r="E615">
        <v>110</v>
      </c>
      <c r="F615" t="s">
        <v>366</v>
      </c>
      <c r="G615">
        <v>2</v>
      </c>
    </row>
    <row r="616" spans="1:8">
      <c r="A616" t="str">
        <f t="shared" si="9"/>
        <v>De Sterreschans 3a</v>
      </c>
      <c r="B616" t="s">
        <v>365</v>
      </c>
      <c r="C616" t="s">
        <v>296</v>
      </c>
      <c r="D616">
        <v>2021</v>
      </c>
      <c r="E616">
        <v>136</v>
      </c>
      <c r="F616" t="s">
        <v>366</v>
      </c>
      <c r="G616">
        <v>3</v>
      </c>
      <c r="H616" t="s">
        <v>304</v>
      </c>
    </row>
    <row r="617" spans="1:8">
      <c r="A617" t="str">
        <f t="shared" si="9"/>
        <v>De Sterreschans 3</v>
      </c>
      <c r="B617" t="s">
        <v>365</v>
      </c>
      <c r="C617" t="s">
        <v>296</v>
      </c>
      <c r="D617">
        <v>2021</v>
      </c>
      <c r="E617">
        <v>130</v>
      </c>
      <c r="F617" t="s">
        <v>366</v>
      </c>
      <c r="G617">
        <v>3</v>
      </c>
    </row>
    <row r="618" spans="1:8">
      <c r="A618" t="str">
        <f t="shared" si="9"/>
        <v>De Sterreschans 4</v>
      </c>
      <c r="B618" t="s">
        <v>367</v>
      </c>
      <c r="C618" t="s">
        <v>296</v>
      </c>
      <c r="D618">
        <v>2017</v>
      </c>
      <c r="E618">
        <v>91</v>
      </c>
      <c r="F618" t="s">
        <v>366</v>
      </c>
      <c r="G618">
        <v>4</v>
      </c>
    </row>
    <row r="619" spans="1:8">
      <c r="A619" t="str">
        <f t="shared" si="9"/>
        <v>De Sterreschans 5a</v>
      </c>
      <c r="B619" t="s">
        <v>365</v>
      </c>
      <c r="C619" t="s">
        <v>296</v>
      </c>
      <c r="D619">
        <v>2021</v>
      </c>
      <c r="E619">
        <v>130</v>
      </c>
      <c r="F619" t="s">
        <v>366</v>
      </c>
      <c r="G619">
        <v>5</v>
      </c>
      <c r="H619" t="s">
        <v>304</v>
      </c>
    </row>
    <row r="620" spans="1:8">
      <c r="A620" t="str">
        <f t="shared" si="9"/>
        <v>De Sterreschans 5</v>
      </c>
      <c r="B620" t="s">
        <v>365</v>
      </c>
      <c r="C620" t="s">
        <v>296</v>
      </c>
      <c r="D620">
        <v>2021</v>
      </c>
      <c r="E620">
        <v>130</v>
      </c>
      <c r="F620" t="s">
        <v>366</v>
      </c>
      <c r="G620">
        <v>5</v>
      </c>
    </row>
    <row r="621" spans="1:8">
      <c r="A621" t="str">
        <f t="shared" si="9"/>
        <v>De Sterreschans 6</v>
      </c>
      <c r="B621" t="s">
        <v>367</v>
      </c>
      <c r="C621" t="s">
        <v>296</v>
      </c>
      <c r="D621">
        <v>2017</v>
      </c>
      <c r="E621">
        <v>91</v>
      </c>
      <c r="F621" t="s">
        <v>366</v>
      </c>
      <c r="G621">
        <v>6</v>
      </c>
    </row>
    <row r="622" spans="1:8">
      <c r="A622" t="str">
        <f t="shared" si="9"/>
        <v>De Sterreschans 7</v>
      </c>
      <c r="B622" t="s">
        <v>365</v>
      </c>
      <c r="C622" t="s">
        <v>296</v>
      </c>
      <c r="D622">
        <v>2021</v>
      </c>
      <c r="E622">
        <v>162</v>
      </c>
      <c r="F622" t="s">
        <v>366</v>
      </c>
      <c r="G622">
        <v>7</v>
      </c>
    </row>
    <row r="623" spans="1:8">
      <c r="A623" t="str">
        <f t="shared" si="9"/>
        <v>De Sterreschans 8</v>
      </c>
      <c r="B623" t="s">
        <v>367</v>
      </c>
      <c r="C623" t="s">
        <v>296</v>
      </c>
      <c r="D623">
        <v>2017</v>
      </c>
      <c r="E623">
        <v>111</v>
      </c>
      <c r="F623" t="s">
        <v>366</v>
      </c>
      <c r="G623">
        <v>8</v>
      </c>
    </row>
    <row r="624" spans="1:8">
      <c r="A624" t="str">
        <f t="shared" si="9"/>
        <v>De Sterreschans 9</v>
      </c>
      <c r="B624" t="s">
        <v>365</v>
      </c>
      <c r="C624" t="s">
        <v>296</v>
      </c>
      <c r="D624">
        <v>2021</v>
      </c>
      <c r="E624">
        <v>137</v>
      </c>
      <c r="F624" t="s">
        <v>366</v>
      </c>
      <c r="G624">
        <v>9</v>
      </c>
    </row>
    <row r="625" spans="1:7">
      <c r="A625" t="str">
        <f t="shared" si="9"/>
        <v>De Sterreschans 10</v>
      </c>
      <c r="B625" t="s">
        <v>367</v>
      </c>
      <c r="C625" t="s">
        <v>296</v>
      </c>
      <c r="D625">
        <v>2017</v>
      </c>
      <c r="E625">
        <v>110</v>
      </c>
      <c r="F625" t="s">
        <v>366</v>
      </c>
      <c r="G625">
        <v>10</v>
      </c>
    </row>
    <row r="626" spans="1:7">
      <c r="A626" t="str">
        <f t="shared" si="9"/>
        <v>De Sterreschans 11</v>
      </c>
      <c r="B626" t="s">
        <v>365</v>
      </c>
      <c r="C626" t="s">
        <v>296</v>
      </c>
      <c r="D626">
        <v>2021</v>
      </c>
      <c r="E626">
        <v>153</v>
      </c>
      <c r="F626" t="s">
        <v>366</v>
      </c>
      <c r="G626">
        <v>11</v>
      </c>
    </row>
    <row r="627" spans="1:7">
      <c r="A627" t="str">
        <f t="shared" si="9"/>
        <v>De Sterreschans 12</v>
      </c>
      <c r="B627" t="s">
        <v>367</v>
      </c>
      <c r="C627" t="s">
        <v>296</v>
      </c>
      <c r="D627">
        <v>2017</v>
      </c>
      <c r="E627">
        <v>90</v>
      </c>
      <c r="F627" t="s">
        <v>366</v>
      </c>
      <c r="G627">
        <v>12</v>
      </c>
    </row>
    <row r="628" spans="1:7">
      <c r="A628" t="str">
        <f t="shared" si="9"/>
        <v>De Sterreschans 13</v>
      </c>
      <c r="B628" t="s">
        <v>365</v>
      </c>
      <c r="C628" t="s">
        <v>296</v>
      </c>
      <c r="D628">
        <v>2017</v>
      </c>
      <c r="E628">
        <v>150</v>
      </c>
      <c r="F628" t="s">
        <v>366</v>
      </c>
      <c r="G628">
        <v>13</v>
      </c>
    </row>
    <row r="629" spans="1:7">
      <c r="A629" t="str">
        <f t="shared" si="9"/>
        <v>De Sterreschans 14</v>
      </c>
      <c r="B629" t="s">
        <v>367</v>
      </c>
      <c r="C629" t="s">
        <v>296</v>
      </c>
      <c r="D629">
        <v>2017</v>
      </c>
      <c r="E629">
        <v>90</v>
      </c>
      <c r="F629" t="s">
        <v>366</v>
      </c>
      <c r="G629">
        <v>14</v>
      </c>
    </row>
    <row r="630" spans="1:7">
      <c r="A630" t="str">
        <f t="shared" si="9"/>
        <v>De Sterreschans 15</v>
      </c>
      <c r="B630" t="s">
        <v>365</v>
      </c>
      <c r="C630" t="s">
        <v>296</v>
      </c>
      <c r="D630">
        <v>2017</v>
      </c>
      <c r="E630">
        <v>133</v>
      </c>
      <c r="F630" t="s">
        <v>366</v>
      </c>
      <c r="G630">
        <v>15</v>
      </c>
    </row>
    <row r="631" spans="1:7">
      <c r="A631" t="str">
        <f t="shared" si="9"/>
        <v>De Sterreschans 16</v>
      </c>
      <c r="B631" t="s">
        <v>367</v>
      </c>
      <c r="C631" t="s">
        <v>296</v>
      </c>
      <c r="D631">
        <v>2017</v>
      </c>
      <c r="E631">
        <v>111</v>
      </c>
      <c r="F631" t="s">
        <v>366</v>
      </c>
      <c r="G631">
        <v>16</v>
      </c>
    </row>
    <row r="632" spans="1:7">
      <c r="A632" t="str">
        <f t="shared" si="9"/>
        <v>De Sterreschans 17</v>
      </c>
      <c r="B632" t="s">
        <v>365</v>
      </c>
      <c r="C632" t="s">
        <v>296</v>
      </c>
      <c r="D632">
        <v>2017</v>
      </c>
      <c r="E632">
        <v>128</v>
      </c>
      <c r="F632" t="s">
        <v>366</v>
      </c>
      <c r="G632">
        <v>17</v>
      </c>
    </row>
    <row r="633" spans="1:7">
      <c r="A633" t="str">
        <f t="shared" si="9"/>
        <v>De Sterreschans 18</v>
      </c>
      <c r="B633" t="s">
        <v>367</v>
      </c>
      <c r="C633" t="s">
        <v>296</v>
      </c>
      <c r="D633">
        <v>2017</v>
      </c>
      <c r="E633">
        <v>112</v>
      </c>
      <c r="F633" t="s">
        <v>366</v>
      </c>
      <c r="G633">
        <v>18</v>
      </c>
    </row>
    <row r="634" spans="1:7">
      <c r="A634" t="str">
        <f t="shared" si="9"/>
        <v>De Sterreschans 19</v>
      </c>
      <c r="B634" t="s">
        <v>365</v>
      </c>
      <c r="C634" t="s">
        <v>296</v>
      </c>
      <c r="D634">
        <v>2017</v>
      </c>
      <c r="E634">
        <v>128</v>
      </c>
      <c r="F634" t="s">
        <v>366</v>
      </c>
      <c r="G634">
        <v>19</v>
      </c>
    </row>
    <row r="635" spans="1:7">
      <c r="A635" t="str">
        <f t="shared" si="9"/>
        <v>De Sterreschans 20</v>
      </c>
      <c r="B635" t="s">
        <v>367</v>
      </c>
      <c r="C635" t="s">
        <v>296</v>
      </c>
      <c r="D635">
        <v>2017</v>
      </c>
      <c r="E635">
        <v>90</v>
      </c>
      <c r="F635" t="s">
        <v>366</v>
      </c>
      <c r="G635">
        <v>20</v>
      </c>
    </row>
    <row r="636" spans="1:7">
      <c r="A636" t="str">
        <f t="shared" si="9"/>
        <v>De Sterreschans 21</v>
      </c>
      <c r="B636" t="s">
        <v>365</v>
      </c>
      <c r="C636" t="s">
        <v>296</v>
      </c>
      <c r="D636">
        <v>2017</v>
      </c>
      <c r="E636">
        <v>128</v>
      </c>
      <c r="F636" t="s">
        <v>366</v>
      </c>
      <c r="G636">
        <v>21</v>
      </c>
    </row>
    <row r="637" spans="1:7">
      <c r="A637" t="str">
        <f t="shared" si="9"/>
        <v>De Sterreschans 22</v>
      </c>
      <c r="B637" t="s">
        <v>367</v>
      </c>
      <c r="C637" t="s">
        <v>296</v>
      </c>
      <c r="D637">
        <v>2017</v>
      </c>
      <c r="E637">
        <v>90</v>
      </c>
      <c r="F637" t="s">
        <v>366</v>
      </c>
      <c r="G637">
        <v>22</v>
      </c>
    </row>
    <row r="638" spans="1:7">
      <c r="A638" t="str">
        <f t="shared" si="9"/>
        <v>De Sterreschans 23</v>
      </c>
      <c r="B638" t="s">
        <v>365</v>
      </c>
      <c r="C638" t="s">
        <v>296</v>
      </c>
      <c r="D638">
        <v>2017</v>
      </c>
      <c r="E638">
        <v>133</v>
      </c>
      <c r="F638" t="s">
        <v>366</v>
      </c>
      <c r="G638">
        <v>23</v>
      </c>
    </row>
    <row r="639" spans="1:7">
      <c r="A639" t="str">
        <f t="shared" si="9"/>
        <v>De Sterreschans 24</v>
      </c>
      <c r="B639" t="s">
        <v>367</v>
      </c>
      <c r="C639" t="s">
        <v>296</v>
      </c>
      <c r="D639">
        <v>2017</v>
      </c>
      <c r="E639">
        <v>111</v>
      </c>
      <c r="F639" t="s">
        <v>366</v>
      </c>
      <c r="G639">
        <v>24</v>
      </c>
    </row>
    <row r="640" spans="1:7">
      <c r="A640" t="str">
        <f t="shared" si="9"/>
        <v>De Sterreschans 25</v>
      </c>
      <c r="B640" t="s">
        <v>365</v>
      </c>
      <c r="C640" t="s">
        <v>296</v>
      </c>
      <c r="D640">
        <v>2017</v>
      </c>
      <c r="E640">
        <v>163</v>
      </c>
      <c r="F640" t="s">
        <v>366</v>
      </c>
      <c r="G640">
        <v>25</v>
      </c>
    </row>
    <row r="641" spans="1:7">
      <c r="A641" t="str">
        <f t="shared" si="9"/>
        <v>De Sterreschans 26</v>
      </c>
      <c r="B641" t="s">
        <v>367</v>
      </c>
      <c r="C641" t="s">
        <v>296</v>
      </c>
      <c r="D641">
        <v>2017</v>
      </c>
      <c r="E641">
        <v>110</v>
      </c>
      <c r="F641" t="s">
        <v>366</v>
      </c>
      <c r="G641">
        <v>26</v>
      </c>
    </row>
    <row r="642" spans="1:7">
      <c r="A642" t="str">
        <f t="shared" ref="A642:A705" si="10">CONCATENATE(F642," ",G642,H642)</f>
        <v>De Sterreschans 27</v>
      </c>
      <c r="B642" t="s">
        <v>365</v>
      </c>
      <c r="C642" t="s">
        <v>296</v>
      </c>
      <c r="D642">
        <v>2017</v>
      </c>
      <c r="E642">
        <v>120</v>
      </c>
      <c r="F642" t="s">
        <v>366</v>
      </c>
      <c r="G642">
        <v>27</v>
      </c>
    </row>
    <row r="643" spans="1:7">
      <c r="A643" t="str">
        <f t="shared" si="10"/>
        <v>De Sterreschans 28</v>
      </c>
      <c r="B643" t="s">
        <v>367</v>
      </c>
      <c r="C643" t="s">
        <v>296</v>
      </c>
      <c r="D643">
        <v>2017</v>
      </c>
      <c r="E643">
        <v>91</v>
      </c>
      <c r="F643" t="s">
        <v>366</v>
      </c>
      <c r="G643">
        <v>28</v>
      </c>
    </row>
    <row r="644" spans="1:7">
      <c r="A644" t="str">
        <f t="shared" si="10"/>
        <v>De Sterreschans 29</v>
      </c>
      <c r="B644" t="s">
        <v>365</v>
      </c>
      <c r="C644" t="s">
        <v>296</v>
      </c>
      <c r="D644">
        <v>2017</v>
      </c>
      <c r="E644">
        <v>120</v>
      </c>
      <c r="F644" t="s">
        <v>366</v>
      </c>
      <c r="G644">
        <v>29</v>
      </c>
    </row>
    <row r="645" spans="1:7">
      <c r="A645" t="str">
        <f t="shared" si="10"/>
        <v>De Sterreschans 30</v>
      </c>
      <c r="B645" t="s">
        <v>367</v>
      </c>
      <c r="C645" t="s">
        <v>296</v>
      </c>
      <c r="D645">
        <v>2017</v>
      </c>
      <c r="E645">
        <v>91</v>
      </c>
      <c r="F645" t="s">
        <v>366</v>
      </c>
      <c r="G645">
        <v>30</v>
      </c>
    </row>
    <row r="646" spans="1:7">
      <c r="A646" t="str">
        <f t="shared" si="10"/>
        <v>De Sterreschans 31</v>
      </c>
      <c r="B646" t="s">
        <v>365</v>
      </c>
      <c r="C646" t="s">
        <v>296</v>
      </c>
      <c r="D646">
        <v>2017</v>
      </c>
      <c r="E646">
        <v>121</v>
      </c>
      <c r="F646" t="s">
        <v>366</v>
      </c>
      <c r="G646">
        <v>31</v>
      </c>
    </row>
    <row r="647" spans="1:7">
      <c r="A647" t="str">
        <f t="shared" si="10"/>
        <v>De Sterreschans 32</v>
      </c>
      <c r="B647" t="s">
        <v>367</v>
      </c>
      <c r="C647" t="s">
        <v>296</v>
      </c>
      <c r="D647">
        <v>2017</v>
      </c>
      <c r="E647">
        <v>111</v>
      </c>
      <c r="F647" t="s">
        <v>366</v>
      </c>
      <c r="G647">
        <v>32</v>
      </c>
    </row>
    <row r="648" spans="1:7">
      <c r="A648" t="str">
        <f t="shared" si="10"/>
        <v>De Sterreschans 33</v>
      </c>
      <c r="B648" t="s">
        <v>365</v>
      </c>
      <c r="C648" t="s">
        <v>296</v>
      </c>
      <c r="D648">
        <v>2017</v>
      </c>
      <c r="E648">
        <v>144</v>
      </c>
      <c r="F648" t="s">
        <v>366</v>
      </c>
      <c r="G648">
        <v>33</v>
      </c>
    </row>
    <row r="649" spans="1:7">
      <c r="A649" t="str">
        <f t="shared" si="10"/>
        <v>De Sterreschans 34</v>
      </c>
      <c r="B649" t="s">
        <v>367</v>
      </c>
      <c r="C649" t="s">
        <v>296</v>
      </c>
      <c r="D649">
        <v>2017</v>
      </c>
      <c r="E649">
        <v>110</v>
      </c>
      <c r="F649" t="s">
        <v>366</v>
      </c>
      <c r="G649">
        <v>34</v>
      </c>
    </row>
    <row r="650" spans="1:7">
      <c r="A650" t="str">
        <f t="shared" si="10"/>
        <v>De Sterreschans 35</v>
      </c>
      <c r="B650" t="s">
        <v>365</v>
      </c>
      <c r="C650" t="s">
        <v>296</v>
      </c>
      <c r="D650">
        <v>2017</v>
      </c>
      <c r="E650">
        <v>128</v>
      </c>
      <c r="F650" t="s">
        <v>366</v>
      </c>
      <c r="G650">
        <v>35</v>
      </c>
    </row>
    <row r="651" spans="1:7">
      <c r="A651" t="str">
        <f t="shared" si="10"/>
        <v>De Sterreschans 36</v>
      </c>
      <c r="B651" t="s">
        <v>367</v>
      </c>
      <c r="C651" t="s">
        <v>296</v>
      </c>
      <c r="D651">
        <v>2017</v>
      </c>
      <c r="E651">
        <v>91</v>
      </c>
      <c r="F651" t="s">
        <v>366</v>
      </c>
      <c r="G651">
        <v>36</v>
      </c>
    </row>
    <row r="652" spans="1:7">
      <c r="A652" t="str">
        <f t="shared" si="10"/>
        <v>De Sterreschans 37</v>
      </c>
      <c r="B652" t="s">
        <v>365</v>
      </c>
      <c r="C652" t="s">
        <v>296</v>
      </c>
      <c r="D652">
        <v>2017</v>
      </c>
      <c r="E652">
        <v>132</v>
      </c>
      <c r="F652" t="s">
        <v>366</v>
      </c>
      <c r="G652">
        <v>37</v>
      </c>
    </row>
    <row r="653" spans="1:7">
      <c r="A653" t="str">
        <f t="shared" si="10"/>
        <v>De Sterreschans 38</v>
      </c>
      <c r="B653" t="s">
        <v>367</v>
      </c>
      <c r="C653" t="s">
        <v>296</v>
      </c>
      <c r="D653">
        <v>2017</v>
      </c>
      <c r="E653">
        <v>91</v>
      </c>
      <c r="F653" t="s">
        <v>366</v>
      </c>
      <c r="G653">
        <v>38</v>
      </c>
    </row>
    <row r="654" spans="1:7">
      <c r="A654" t="str">
        <f t="shared" si="10"/>
        <v>De Sterreschans 39</v>
      </c>
      <c r="B654" t="s">
        <v>365</v>
      </c>
      <c r="C654" t="s">
        <v>296</v>
      </c>
      <c r="D654">
        <v>2017</v>
      </c>
      <c r="E654">
        <v>128</v>
      </c>
      <c r="F654" t="s">
        <v>366</v>
      </c>
      <c r="G654">
        <v>39</v>
      </c>
    </row>
    <row r="655" spans="1:7">
      <c r="A655" t="str">
        <f t="shared" si="10"/>
        <v>De Sterreschans 40</v>
      </c>
      <c r="B655" t="s">
        <v>367</v>
      </c>
      <c r="C655" t="s">
        <v>296</v>
      </c>
      <c r="D655">
        <v>2017</v>
      </c>
      <c r="E655">
        <v>111</v>
      </c>
      <c r="F655" t="s">
        <v>366</v>
      </c>
      <c r="G655">
        <v>40</v>
      </c>
    </row>
    <row r="656" spans="1:7">
      <c r="A656" t="str">
        <f t="shared" si="10"/>
        <v>De Sterreschans 41</v>
      </c>
      <c r="B656" t="s">
        <v>365</v>
      </c>
      <c r="C656" t="s">
        <v>296</v>
      </c>
      <c r="D656">
        <v>2017</v>
      </c>
      <c r="E656">
        <v>128</v>
      </c>
      <c r="F656" t="s">
        <v>366</v>
      </c>
      <c r="G656">
        <v>41</v>
      </c>
    </row>
    <row r="657" spans="1:7">
      <c r="A657" t="str">
        <f t="shared" si="10"/>
        <v>De Sterreschans 42</v>
      </c>
      <c r="B657" t="s">
        <v>367</v>
      </c>
      <c r="C657" t="s">
        <v>296</v>
      </c>
      <c r="D657">
        <v>2017</v>
      </c>
      <c r="E657">
        <v>113</v>
      </c>
      <c r="F657" t="s">
        <v>366</v>
      </c>
      <c r="G657">
        <v>42</v>
      </c>
    </row>
    <row r="658" spans="1:7">
      <c r="A658" t="str">
        <f t="shared" si="10"/>
        <v>De Sterreschans 43</v>
      </c>
      <c r="B658" t="s">
        <v>365</v>
      </c>
      <c r="C658" t="s">
        <v>296</v>
      </c>
      <c r="D658">
        <v>2017</v>
      </c>
      <c r="E658">
        <v>132</v>
      </c>
      <c r="F658" t="s">
        <v>366</v>
      </c>
      <c r="G658">
        <v>43</v>
      </c>
    </row>
    <row r="659" spans="1:7">
      <c r="A659" t="str">
        <f t="shared" si="10"/>
        <v>De Sterreschans 44</v>
      </c>
      <c r="B659" t="s">
        <v>367</v>
      </c>
      <c r="C659" t="s">
        <v>296</v>
      </c>
      <c r="D659">
        <v>2017</v>
      </c>
      <c r="E659">
        <v>92</v>
      </c>
      <c r="F659" t="s">
        <v>366</v>
      </c>
      <c r="G659">
        <v>44</v>
      </c>
    </row>
    <row r="660" spans="1:7">
      <c r="A660" t="str">
        <f t="shared" si="10"/>
        <v>De Sterreschans 45</v>
      </c>
      <c r="B660" t="s">
        <v>365</v>
      </c>
      <c r="C660" t="s">
        <v>296</v>
      </c>
      <c r="D660">
        <v>2017</v>
      </c>
      <c r="E660">
        <v>128</v>
      </c>
      <c r="F660" t="s">
        <v>366</v>
      </c>
      <c r="G660">
        <v>45</v>
      </c>
    </row>
    <row r="661" spans="1:7">
      <c r="A661" t="str">
        <f t="shared" si="10"/>
        <v>De Sterreschans 46</v>
      </c>
      <c r="B661" t="s">
        <v>367</v>
      </c>
      <c r="C661" t="s">
        <v>296</v>
      </c>
      <c r="D661">
        <v>2017</v>
      </c>
      <c r="E661">
        <v>91</v>
      </c>
      <c r="F661" t="s">
        <v>366</v>
      </c>
      <c r="G661">
        <v>46</v>
      </c>
    </row>
    <row r="662" spans="1:7">
      <c r="A662" t="str">
        <f t="shared" si="10"/>
        <v>De Sterreschans 47</v>
      </c>
      <c r="B662" t="s">
        <v>365</v>
      </c>
      <c r="C662" t="s">
        <v>296</v>
      </c>
      <c r="D662">
        <v>2017</v>
      </c>
      <c r="E662">
        <v>129</v>
      </c>
      <c r="F662" t="s">
        <v>366</v>
      </c>
      <c r="G662">
        <v>47</v>
      </c>
    </row>
    <row r="663" spans="1:7">
      <c r="A663" t="str">
        <f t="shared" si="10"/>
        <v>De Sterreschans 48</v>
      </c>
      <c r="B663" t="s">
        <v>367</v>
      </c>
      <c r="C663" t="s">
        <v>296</v>
      </c>
      <c r="D663">
        <v>2017</v>
      </c>
      <c r="E663">
        <v>112</v>
      </c>
      <c r="F663" t="s">
        <v>366</v>
      </c>
      <c r="G663">
        <v>48</v>
      </c>
    </row>
    <row r="664" spans="1:7">
      <c r="A664" t="str">
        <f t="shared" si="10"/>
        <v>De Sterreschans 50</v>
      </c>
      <c r="B664" t="s">
        <v>367</v>
      </c>
      <c r="C664" t="s">
        <v>296</v>
      </c>
      <c r="D664">
        <v>2017</v>
      </c>
      <c r="E664">
        <v>192</v>
      </c>
      <c r="F664" t="s">
        <v>366</v>
      </c>
      <c r="G664">
        <v>50</v>
      </c>
    </row>
    <row r="665" spans="1:7">
      <c r="A665" t="str">
        <f t="shared" si="10"/>
        <v>De Sterreschans 52</v>
      </c>
      <c r="B665" t="s">
        <v>367</v>
      </c>
      <c r="C665" t="s">
        <v>296</v>
      </c>
      <c r="D665">
        <v>2017</v>
      </c>
      <c r="E665">
        <v>128</v>
      </c>
      <c r="F665" t="s">
        <v>366</v>
      </c>
      <c r="G665">
        <v>52</v>
      </c>
    </row>
    <row r="666" spans="1:7">
      <c r="A666" t="str">
        <f t="shared" si="10"/>
        <v>De Sterreschans 54</v>
      </c>
      <c r="B666" t="s">
        <v>367</v>
      </c>
      <c r="C666" t="s">
        <v>296</v>
      </c>
      <c r="D666">
        <v>2017</v>
      </c>
      <c r="E666">
        <v>128</v>
      </c>
      <c r="F666" t="s">
        <v>366</v>
      </c>
      <c r="G666">
        <v>54</v>
      </c>
    </row>
    <row r="667" spans="1:7">
      <c r="A667" t="str">
        <f t="shared" si="10"/>
        <v>De Sterreschans 56</v>
      </c>
      <c r="B667" t="s">
        <v>367</v>
      </c>
      <c r="C667" t="s">
        <v>296</v>
      </c>
      <c r="D667">
        <v>2017</v>
      </c>
      <c r="E667">
        <v>128</v>
      </c>
      <c r="F667" t="s">
        <v>366</v>
      </c>
      <c r="G667">
        <v>56</v>
      </c>
    </row>
    <row r="668" spans="1:7">
      <c r="A668" t="str">
        <f t="shared" si="10"/>
        <v>De Sterreschans 58</v>
      </c>
      <c r="B668" t="s">
        <v>367</v>
      </c>
      <c r="C668" t="s">
        <v>296</v>
      </c>
      <c r="D668">
        <v>2017</v>
      </c>
      <c r="E668">
        <v>132</v>
      </c>
      <c r="F668" t="s">
        <v>366</v>
      </c>
      <c r="G668">
        <v>58</v>
      </c>
    </row>
    <row r="669" spans="1:7">
      <c r="A669" t="str">
        <f t="shared" si="10"/>
        <v>De Sterreschans 60</v>
      </c>
      <c r="B669" t="s">
        <v>367</v>
      </c>
      <c r="C669" t="s">
        <v>296</v>
      </c>
      <c r="D669">
        <v>2017</v>
      </c>
      <c r="E669">
        <v>141</v>
      </c>
      <c r="F669" t="s">
        <v>366</v>
      </c>
      <c r="G669">
        <v>60</v>
      </c>
    </row>
    <row r="670" spans="1:7">
      <c r="A670" t="str">
        <f t="shared" si="10"/>
        <v>De Toverdans 1</v>
      </c>
      <c r="B670" t="s">
        <v>368</v>
      </c>
      <c r="C670" t="s">
        <v>296</v>
      </c>
      <c r="D670">
        <v>1982</v>
      </c>
      <c r="E670">
        <v>65</v>
      </c>
      <c r="F670" t="s">
        <v>369</v>
      </c>
      <c r="G670">
        <v>1</v>
      </c>
    </row>
    <row r="671" spans="1:7">
      <c r="A671" t="str">
        <f t="shared" si="10"/>
        <v>De Toverdans 2</v>
      </c>
      <c r="B671" t="s">
        <v>370</v>
      </c>
      <c r="C671" t="s">
        <v>296</v>
      </c>
      <c r="D671">
        <v>1982</v>
      </c>
      <c r="E671">
        <v>123</v>
      </c>
      <c r="F671" t="s">
        <v>369</v>
      </c>
      <c r="G671">
        <v>2</v>
      </c>
    </row>
    <row r="672" spans="1:7">
      <c r="A672" t="str">
        <f t="shared" si="10"/>
        <v>De Toverdans 3</v>
      </c>
      <c r="B672" t="s">
        <v>368</v>
      </c>
      <c r="C672" t="s">
        <v>296</v>
      </c>
      <c r="D672">
        <v>1982</v>
      </c>
      <c r="E672">
        <v>65</v>
      </c>
      <c r="F672" t="s">
        <v>369</v>
      </c>
      <c r="G672">
        <v>3</v>
      </c>
    </row>
    <row r="673" spans="1:7">
      <c r="A673" t="str">
        <f t="shared" si="10"/>
        <v>De Toverdans 4</v>
      </c>
      <c r="B673" t="s">
        <v>370</v>
      </c>
      <c r="C673" t="s">
        <v>296</v>
      </c>
      <c r="D673">
        <v>1982</v>
      </c>
      <c r="E673">
        <v>123</v>
      </c>
      <c r="F673" t="s">
        <v>369</v>
      </c>
      <c r="G673">
        <v>4</v>
      </c>
    </row>
    <row r="674" spans="1:7">
      <c r="A674" t="str">
        <f t="shared" si="10"/>
        <v>De Toverdans 5</v>
      </c>
      <c r="B674" t="s">
        <v>368</v>
      </c>
      <c r="C674" t="s">
        <v>296</v>
      </c>
      <c r="D674">
        <v>1982</v>
      </c>
      <c r="E674">
        <v>65</v>
      </c>
      <c r="F674" t="s">
        <v>369</v>
      </c>
      <c r="G674">
        <v>5</v>
      </c>
    </row>
    <row r="675" spans="1:7">
      <c r="A675" t="str">
        <f t="shared" si="10"/>
        <v>De Toverdans 6</v>
      </c>
      <c r="B675" t="s">
        <v>370</v>
      </c>
      <c r="C675" t="s">
        <v>296</v>
      </c>
      <c r="D675">
        <v>1982</v>
      </c>
      <c r="E675">
        <v>124</v>
      </c>
      <c r="F675" t="s">
        <v>369</v>
      </c>
      <c r="G675">
        <v>6</v>
      </c>
    </row>
    <row r="676" spans="1:7">
      <c r="A676" t="str">
        <f t="shared" si="10"/>
        <v>De Toverdans 7</v>
      </c>
      <c r="B676" t="s">
        <v>368</v>
      </c>
      <c r="C676" t="s">
        <v>296</v>
      </c>
      <c r="D676">
        <v>1982</v>
      </c>
      <c r="E676">
        <v>65</v>
      </c>
      <c r="F676" t="s">
        <v>369</v>
      </c>
      <c r="G676">
        <v>7</v>
      </c>
    </row>
    <row r="677" spans="1:7">
      <c r="A677" t="str">
        <f t="shared" si="10"/>
        <v>De Toverdans 8</v>
      </c>
      <c r="B677" t="s">
        <v>370</v>
      </c>
      <c r="C677" t="s">
        <v>296</v>
      </c>
      <c r="D677">
        <v>1982</v>
      </c>
      <c r="E677">
        <v>123</v>
      </c>
      <c r="F677" t="s">
        <v>369</v>
      </c>
      <c r="G677">
        <v>8</v>
      </c>
    </row>
    <row r="678" spans="1:7">
      <c r="A678" t="str">
        <f t="shared" si="10"/>
        <v>De Toverdans 9</v>
      </c>
      <c r="B678" t="s">
        <v>368</v>
      </c>
      <c r="C678" t="s">
        <v>296</v>
      </c>
      <c r="D678">
        <v>1982</v>
      </c>
      <c r="E678">
        <v>65</v>
      </c>
      <c r="F678" t="s">
        <v>369</v>
      </c>
      <c r="G678">
        <v>9</v>
      </c>
    </row>
    <row r="679" spans="1:7">
      <c r="A679" t="str">
        <f t="shared" si="10"/>
        <v>De Toverdans 10</v>
      </c>
      <c r="B679" t="s">
        <v>370</v>
      </c>
      <c r="C679" t="s">
        <v>296</v>
      </c>
      <c r="D679">
        <v>1982</v>
      </c>
      <c r="E679">
        <v>123</v>
      </c>
      <c r="F679" t="s">
        <v>369</v>
      </c>
      <c r="G679">
        <v>10</v>
      </c>
    </row>
    <row r="680" spans="1:7">
      <c r="A680" t="str">
        <f t="shared" si="10"/>
        <v>De Toverdans 11</v>
      </c>
      <c r="B680" t="s">
        <v>368</v>
      </c>
      <c r="C680" t="s">
        <v>296</v>
      </c>
      <c r="D680">
        <v>1982</v>
      </c>
      <c r="E680">
        <v>65</v>
      </c>
      <c r="F680" t="s">
        <v>369</v>
      </c>
      <c r="G680">
        <v>11</v>
      </c>
    </row>
    <row r="681" spans="1:7">
      <c r="A681" t="str">
        <f t="shared" si="10"/>
        <v>De Toverdans 12</v>
      </c>
      <c r="B681" t="s">
        <v>370</v>
      </c>
      <c r="C681" t="s">
        <v>296</v>
      </c>
      <c r="D681">
        <v>1982</v>
      </c>
      <c r="E681">
        <v>123</v>
      </c>
      <c r="F681" t="s">
        <v>369</v>
      </c>
      <c r="G681">
        <v>12</v>
      </c>
    </row>
    <row r="682" spans="1:7">
      <c r="A682" t="str">
        <f t="shared" si="10"/>
        <v>De Toverdans 13</v>
      </c>
      <c r="B682" t="s">
        <v>368</v>
      </c>
      <c r="C682" t="s">
        <v>296</v>
      </c>
      <c r="D682">
        <v>1982</v>
      </c>
      <c r="E682">
        <v>65</v>
      </c>
      <c r="F682" t="s">
        <v>369</v>
      </c>
      <c r="G682">
        <v>13</v>
      </c>
    </row>
    <row r="683" spans="1:7">
      <c r="A683" t="str">
        <f t="shared" si="10"/>
        <v>De Toverdans 14</v>
      </c>
      <c r="B683" t="s">
        <v>370</v>
      </c>
      <c r="C683" t="s">
        <v>296</v>
      </c>
      <c r="D683">
        <v>1982</v>
      </c>
      <c r="E683">
        <v>123</v>
      </c>
      <c r="F683" t="s">
        <v>369</v>
      </c>
      <c r="G683">
        <v>14</v>
      </c>
    </row>
    <row r="684" spans="1:7">
      <c r="A684" t="str">
        <f t="shared" si="10"/>
        <v>De Toverdans 15</v>
      </c>
      <c r="B684" t="s">
        <v>368</v>
      </c>
      <c r="C684" t="s">
        <v>296</v>
      </c>
      <c r="D684">
        <v>1982</v>
      </c>
      <c r="E684">
        <v>65</v>
      </c>
      <c r="F684" t="s">
        <v>369</v>
      </c>
      <c r="G684">
        <v>15</v>
      </c>
    </row>
    <row r="685" spans="1:7">
      <c r="A685" t="str">
        <f t="shared" si="10"/>
        <v>De Toverdans 16</v>
      </c>
      <c r="B685" t="s">
        <v>370</v>
      </c>
      <c r="C685" t="s">
        <v>296</v>
      </c>
      <c r="D685">
        <v>1982</v>
      </c>
      <c r="E685">
        <v>123</v>
      </c>
      <c r="F685" t="s">
        <v>369</v>
      </c>
      <c r="G685">
        <v>16</v>
      </c>
    </row>
    <row r="686" spans="1:7">
      <c r="A686" t="str">
        <f t="shared" si="10"/>
        <v>De Toverdans 17</v>
      </c>
      <c r="B686" t="s">
        <v>368</v>
      </c>
      <c r="C686" t="s">
        <v>296</v>
      </c>
      <c r="D686">
        <v>1982</v>
      </c>
      <c r="E686">
        <v>65</v>
      </c>
      <c r="F686" t="s">
        <v>369</v>
      </c>
      <c r="G686">
        <v>17</v>
      </c>
    </row>
    <row r="687" spans="1:7">
      <c r="A687" t="str">
        <f t="shared" si="10"/>
        <v>De Toverdans 18</v>
      </c>
      <c r="B687" t="s">
        <v>370</v>
      </c>
      <c r="C687" t="s">
        <v>296</v>
      </c>
      <c r="D687">
        <v>1982</v>
      </c>
      <c r="E687">
        <v>123</v>
      </c>
      <c r="F687" t="s">
        <v>369</v>
      </c>
      <c r="G687">
        <v>18</v>
      </c>
    </row>
    <row r="688" spans="1:7">
      <c r="A688" t="str">
        <f t="shared" si="10"/>
        <v>De Toverdans 19</v>
      </c>
      <c r="B688" t="s">
        <v>368</v>
      </c>
      <c r="C688" t="s">
        <v>296</v>
      </c>
      <c r="D688">
        <v>1982</v>
      </c>
      <c r="E688">
        <v>65</v>
      </c>
      <c r="F688" t="s">
        <v>369</v>
      </c>
      <c r="G688">
        <v>19</v>
      </c>
    </row>
    <row r="689" spans="1:7">
      <c r="A689" t="str">
        <f t="shared" si="10"/>
        <v>De Toverdans 20</v>
      </c>
      <c r="B689" t="s">
        <v>370</v>
      </c>
      <c r="C689" t="s">
        <v>296</v>
      </c>
      <c r="D689">
        <v>1982</v>
      </c>
      <c r="E689">
        <v>123</v>
      </c>
      <c r="F689" t="s">
        <v>369</v>
      </c>
      <c r="G689">
        <v>20</v>
      </c>
    </row>
    <row r="690" spans="1:7">
      <c r="A690" t="str">
        <f t="shared" si="10"/>
        <v>De Toverdans 21</v>
      </c>
      <c r="B690" t="s">
        <v>368</v>
      </c>
      <c r="C690" t="s">
        <v>296</v>
      </c>
      <c r="D690">
        <v>1982</v>
      </c>
      <c r="E690">
        <v>65</v>
      </c>
      <c r="F690" t="s">
        <v>369</v>
      </c>
      <c r="G690">
        <v>21</v>
      </c>
    </row>
    <row r="691" spans="1:7">
      <c r="A691" t="str">
        <f t="shared" si="10"/>
        <v>De Toverdans 22</v>
      </c>
      <c r="B691" t="s">
        <v>370</v>
      </c>
      <c r="C691" t="s">
        <v>296</v>
      </c>
      <c r="D691">
        <v>1982</v>
      </c>
      <c r="E691">
        <v>123</v>
      </c>
      <c r="F691" t="s">
        <v>369</v>
      </c>
      <c r="G691">
        <v>22</v>
      </c>
    </row>
    <row r="692" spans="1:7">
      <c r="A692" t="str">
        <f t="shared" si="10"/>
        <v>De Toverdans 23</v>
      </c>
      <c r="B692" t="s">
        <v>368</v>
      </c>
      <c r="C692" t="s">
        <v>296</v>
      </c>
      <c r="D692">
        <v>1982</v>
      </c>
      <c r="E692">
        <v>65</v>
      </c>
      <c r="F692" t="s">
        <v>369</v>
      </c>
      <c r="G692">
        <v>23</v>
      </c>
    </row>
    <row r="693" spans="1:7">
      <c r="A693" t="str">
        <f t="shared" si="10"/>
        <v>De Toverdans 24</v>
      </c>
      <c r="B693" t="s">
        <v>370</v>
      </c>
      <c r="C693" t="s">
        <v>296</v>
      </c>
      <c r="D693">
        <v>1982</v>
      </c>
      <c r="E693">
        <v>123</v>
      </c>
      <c r="F693" t="s">
        <v>369</v>
      </c>
      <c r="G693">
        <v>24</v>
      </c>
    </row>
    <row r="694" spans="1:7">
      <c r="A694" t="str">
        <f t="shared" si="10"/>
        <v>De Toverdans 25</v>
      </c>
      <c r="B694" t="s">
        <v>368</v>
      </c>
      <c r="C694" t="s">
        <v>296</v>
      </c>
      <c r="D694">
        <v>1982</v>
      </c>
      <c r="E694">
        <v>65</v>
      </c>
      <c r="F694" t="s">
        <v>369</v>
      </c>
      <c r="G694">
        <v>25</v>
      </c>
    </row>
    <row r="695" spans="1:7">
      <c r="A695" t="str">
        <f t="shared" si="10"/>
        <v>De Toverdans 26</v>
      </c>
      <c r="B695" t="s">
        <v>370</v>
      </c>
      <c r="C695" t="s">
        <v>296</v>
      </c>
      <c r="D695">
        <v>1982</v>
      </c>
      <c r="E695">
        <v>123</v>
      </c>
      <c r="F695" t="s">
        <v>369</v>
      </c>
      <c r="G695">
        <v>26</v>
      </c>
    </row>
    <row r="696" spans="1:7">
      <c r="A696" t="str">
        <f t="shared" si="10"/>
        <v>De Toverdans 27</v>
      </c>
      <c r="B696" t="s">
        <v>368</v>
      </c>
      <c r="C696" t="s">
        <v>296</v>
      </c>
      <c r="D696">
        <v>1982</v>
      </c>
      <c r="E696">
        <v>65</v>
      </c>
      <c r="F696" t="s">
        <v>369</v>
      </c>
      <c r="G696">
        <v>27</v>
      </c>
    </row>
    <row r="697" spans="1:7">
      <c r="A697" t="str">
        <f t="shared" si="10"/>
        <v>De Toverdans 28</v>
      </c>
      <c r="B697" t="s">
        <v>370</v>
      </c>
      <c r="C697" t="s">
        <v>296</v>
      </c>
      <c r="D697">
        <v>1902</v>
      </c>
      <c r="E697">
        <v>123</v>
      </c>
      <c r="F697" t="s">
        <v>369</v>
      </c>
      <c r="G697">
        <v>28</v>
      </c>
    </row>
    <row r="698" spans="1:7">
      <c r="A698" t="str">
        <f t="shared" si="10"/>
        <v>De Toverdans 29</v>
      </c>
      <c r="B698" t="s">
        <v>368</v>
      </c>
      <c r="C698" t="s">
        <v>296</v>
      </c>
      <c r="D698">
        <v>1982</v>
      </c>
      <c r="E698">
        <v>65</v>
      </c>
      <c r="F698" t="s">
        <v>369</v>
      </c>
      <c r="G698">
        <v>29</v>
      </c>
    </row>
    <row r="699" spans="1:7">
      <c r="A699" t="str">
        <f t="shared" si="10"/>
        <v>De Toverdans 30</v>
      </c>
      <c r="B699" t="s">
        <v>370</v>
      </c>
      <c r="C699" t="s">
        <v>296</v>
      </c>
      <c r="D699">
        <v>1982</v>
      </c>
      <c r="E699">
        <v>123</v>
      </c>
      <c r="F699" t="s">
        <v>369</v>
      </c>
      <c r="G699">
        <v>30</v>
      </c>
    </row>
    <row r="700" spans="1:7">
      <c r="A700" t="str">
        <f t="shared" si="10"/>
        <v>De Toverdans 31</v>
      </c>
      <c r="B700" t="s">
        <v>368</v>
      </c>
      <c r="C700" t="s">
        <v>296</v>
      </c>
      <c r="D700">
        <v>1982</v>
      </c>
      <c r="E700">
        <v>65</v>
      </c>
      <c r="F700" t="s">
        <v>369</v>
      </c>
      <c r="G700">
        <v>31</v>
      </c>
    </row>
    <row r="701" spans="1:7">
      <c r="A701" t="str">
        <f t="shared" si="10"/>
        <v>De Toverdans 32</v>
      </c>
      <c r="B701" t="s">
        <v>370</v>
      </c>
      <c r="C701" t="s">
        <v>296</v>
      </c>
      <c r="D701">
        <v>1982</v>
      </c>
      <c r="E701">
        <v>123</v>
      </c>
      <c r="F701" t="s">
        <v>369</v>
      </c>
      <c r="G701">
        <v>32</v>
      </c>
    </row>
    <row r="702" spans="1:7">
      <c r="A702" t="str">
        <f t="shared" si="10"/>
        <v>De Toverdans 33</v>
      </c>
      <c r="B702" t="s">
        <v>371</v>
      </c>
      <c r="C702" t="s">
        <v>296</v>
      </c>
      <c r="D702">
        <v>1982</v>
      </c>
      <c r="E702">
        <v>65</v>
      </c>
      <c r="F702" t="s">
        <v>369</v>
      </c>
      <c r="G702">
        <v>33</v>
      </c>
    </row>
    <row r="703" spans="1:7">
      <c r="A703" t="str">
        <f t="shared" si="10"/>
        <v>De Toverdans 34</v>
      </c>
      <c r="B703" t="s">
        <v>372</v>
      </c>
      <c r="C703" t="s">
        <v>296</v>
      </c>
      <c r="D703">
        <v>1982</v>
      </c>
      <c r="E703">
        <v>123</v>
      </c>
      <c r="F703" t="s">
        <v>369</v>
      </c>
      <c r="G703">
        <v>34</v>
      </c>
    </row>
    <row r="704" spans="1:7">
      <c r="A704" t="str">
        <f t="shared" si="10"/>
        <v>De Toverdans 35</v>
      </c>
      <c r="B704" t="s">
        <v>371</v>
      </c>
      <c r="C704" t="s">
        <v>296</v>
      </c>
      <c r="D704">
        <v>1982</v>
      </c>
      <c r="E704">
        <v>65</v>
      </c>
      <c r="F704" t="s">
        <v>369</v>
      </c>
      <c r="G704">
        <v>35</v>
      </c>
    </row>
    <row r="705" spans="1:7">
      <c r="A705" t="str">
        <f t="shared" si="10"/>
        <v>De Toverdans 36</v>
      </c>
      <c r="B705" t="s">
        <v>372</v>
      </c>
      <c r="C705" t="s">
        <v>296</v>
      </c>
      <c r="D705">
        <v>1982</v>
      </c>
      <c r="E705">
        <v>123</v>
      </c>
      <c r="F705" t="s">
        <v>369</v>
      </c>
      <c r="G705">
        <v>36</v>
      </c>
    </row>
    <row r="706" spans="1:7">
      <c r="A706" t="str">
        <f t="shared" ref="A706:A769" si="11">CONCATENATE(F706," ",G706,H706)</f>
        <v>De Toverdans 37</v>
      </c>
      <c r="B706" t="s">
        <v>371</v>
      </c>
      <c r="C706" t="s">
        <v>296</v>
      </c>
      <c r="D706">
        <v>1982</v>
      </c>
      <c r="E706">
        <v>65</v>
      </c>
      <c r="F706" t="s">
        <v>369</v>
      </c>
      <c r="G706">
        <v>37</v>
      </c>
    </row>
    <row r="707" spans="1:7">
      <c r="A707" t="str">
        <f t="shared" si="11"/>
        <v>De Toverdans 38</v>
      </c>
      <c r="B707" t="s">
        <v>372</v>
      </c>
      <c r="C707" t="s">
        <v>296</v>
      </c>
      <c r="D707">
        <v>1982</v>
      </c>
      <c r="E707">
        <v>123</v>
      </c>
      <c r="F707" t="s">
        <v>369</v>
      </c>
      <c r="G707">
        <v>38</v>
      </c>
    </row>
    <row r="708" spans="1:7">
      <c r="A708" t="str">
        <f t="shared" si="11"/>
        <v>De Toverdans 39</v>
      </c>
      <c r="B708" t="s">
        <v>371</v>
      </c>
      <c r="C708" t="s">
        <v>296</v>
      </c>
      <c r="D708">
        <v>1982</v>
      </c>
      <c r="E708">
        <v>65</v>
      </c>
      <c r="F708" t="s">
        <v>369</v>
      </c>
      <c r="G708">
        <v>39</v>
      </c>
    </row>
    <row r="709" spans="1:7">
      <c r="A709" t="str">
        <f t="shared" si="11"/>
        <v>De Toverdans 40</v>
      </c>
      <c r="B709" t="s">
        <v>372</v>
      </c>
      <c r="C709" t="s">
        <v>296</v>
      </c>
      <c r="D709">
        <v>1982</v>
      </c>
      <c r="E709">
        <v>123</v>
      </c>
      <c r="F709" t="s">
        <v>369</v>
      </c>
      <c r="G709">
        <v>40</v>
      </c>
    </row>
    <row r="710" spans="1:7">
      <c r="A710" t="str">
        <f t="shared" si="11"/>
        <v>De Toverdans 41</v>
      </c>
      <c r="B710" t="s">
        <v>371</v>
      </c>
      <c r="C710" t="s">
        <v>296</v>
      </c>
      <c r="D710">
        <v>1982</v>
      </c>
      <c r="E710">
        <v>65</v>
      </c>
      <c r="F710" t="s">
        <v>369</v>
      </c>
      <c r="G710">
        <v>41</v>
      </c>
    </row>
    <row r="711" spans="1:7">
      <c r="A711" t="str">
        <f t="shared" si="11"/>
        <v>De Toverdans 42</v>
      </c>
      <c r="B711" t="s">
        <v>372</v>
      </c>
      <c r="C711" t="s">
        <v>296</v>
      </c>
      <c r="D711">
        <v>1982</v>
      </c>
      <c r="E711">
        <v>123</v>
      </c>
      <c r="F711" t="s">
        <v>369</v>
      </c>
      <c r="G711">
        <v>42</v>
      </c>
    </row>
    <row r="712" spans="1:7">
      <c r="A712" t="str">
        <f t="shared" si="11"/>
        <v>De Toverdans 43</v>
      </c>
      <c r="B712" t="s">
        <v>371</v>
      </c>
      <c r="C712" t="s">
        <v>296</v>
      </c>
      <c r="D712">
        <v>1982</v>
      </c>
      <c r="E712">
        <v>65</v>
      </c>
      <c r="F712" t="s">
        <v>369</v>
      </c>
      <c r="G712">
        <v>43</v>
      </c>
    </row>
    <row r="713" spans="1:7">
      <c r="A713" t="str">
        <f t="shared" si="11"/>
        <v>De Toverdans 44</v>
      </c>
      <c r="B713" t="s">
        <v>372</v>
      </c>
      <c r="C713" t="s">
        <v>296</v>
      </c>
      <c r="D713">
        <v>1982</v>
      </c>
      <c r="E713">
        <v>124</v>
      </c>
      <c r="F713" t="s">
        <v>369</v>
      </c>
      <c r="G713">
        <v>44</v>
      </c>
    </row>
    <row r="714" spans="1:7">
      <c r="A714" t="str">
        <f t="shared" si="11"/>
        <v>De Toverdans 46</v>
      </c>
      <c r="B714" t="s">
        <v>372</v>
      </c>
      <c r="C714" t="s">
        <v>296</v>
      </c>
      <c r="D714">
        <v>1982</v>
      </c>
      <c r="E714">
        <v>124</v>
      </c>
      <c r="F714" t="s">
        <v>369</v>
      </c>
      <c r="G714">
        <v>46</v>
      </c>
    </row>
    <row r="715" spans="1:7">
      <c r="A715" t="str">
        <f t="shared" si="11"/>
        <v>De Toverdans 48</v>
      </c>
      <c r="B715" t="s">
        <v>372</v>
      </c>
      <c r="C715" t="s">
        <v>296</v>
      </c>
      <c r="D715">
        <v>1982</v>
      </c>
      <c r="E715">
        <v>123</v>
      </c>
      <c r="F715" t="s">
        <v>369</v>
      </c>
      <c r="G715">
        <v>48</v>
      </c>
    </row>
    <row r="716" spans="1:7">
      <c r="A716" t="str">
        <f t="shared" si="11"/>
        <v>De Toverdans 50</v>
      </c>
      <c r="B716" t="s">
        <v>372</v>
      </c>
      <c r="C716" t="s">
        <v>296</v>
      </c>
      <c r="D716">
        <v>1982</v>
      </c>
      <c r="E716">
        <v>123</v>
      </c>
      <c r="F716" t="s">
        <v>369</v>
      </c>
      <c r="G716">
        <v>50</v>
      </c>
    </row>
    <row r="717" spans="1:7">
      <c r="A717" t="str">
        <f t="shared" si="11"/>
        <v>De Toverdans 52</v>
      </c>
      <c r="B717" t="s">
        <v>372</v>
      </c>
      <c r="C717" t="s">
        <v>296</v>
      </c>
      <c r="D717">
        <v>1982</v>
      </c>
      <c r="E717">
        <v>123</v>
      </c>
      <c r="F717" t="s">
        <v>369</v>
      </c>
      <c r="G717">
        <v>52</v>
      </c>
    </row>
    <row r="718" spans="1:7">
      <c r="A718" t="str">
        <f t="shared" si="11"/>
        <v>De Toverdans 54</v>
      </c>
      <c r="B718" t="s">
        <v>372</v>
      </c>
      <c r="C718" t="s">
        <v>296</v>
      </c>
      <c r="D718">
        <v>1982</v>
      </c>
      <c r="E718">
        <v>123</v>
      </c>
      <c r="F718" t="s">
        <v>369</v>
      </c>
      <c r="G718">
        <v>54</v>
      </c>
    </row>
    <row r="719" spans="1:7">
      <c r="A719" t="str">
        <f t="shared" si="11"/>
        <v>De Toverdans 56</v>
      </c>
      <c r="B719" t="s">
        <v>372</v>
      </c>
      <c r="C719" t="s">
        <v>296</v>
      </c>
      <c r="D719">
        <v>1982</v>
      </c>
      <c r="E719">
        <v>123</v>
      </c>
      <c r="F719" t="s">
        <v>369</v>
      </c>
      <c r="G719">
        <v>56</v>
      </c>
    </row>
    <row r="720" spans="1:7">
      <c r="A720" t="str">
        <f t="shared" si="11"/>
        <v>De Toverdans 58</v>
      </c>
      <c r="B720" t="s">
        <v>372</v>
      </c>
      <c r="C720" t="s">
        <v>296</v>
      </c>
      <c r="D720">
        <v>1982</v>
      </c>
      <c r="E720">
        <v>123</v>
      </c>
      <c r="F720" t="s">
        <v>369</v>
      </c>
      <c r="G720">
        <v>58</v>
      </c>
    </row>
    <row r="721" spans="1:8">
      <c r="A721" t="str">
        <f t="shared" si="11"/>
        <v>De Toverdans 60</v>
      </c>
      <c r="B721" t="s">
        <v>372</v>
      </c>
      <c r="C721" t="s">
        <v>296</v>
      </c>
      <c r="D721">
        <v>1982</v>
      </c>
      <c r="E721">
        <v>123</v>
      </c>
      <c r="F721" t="s">
        <v>369</v>
      </c>
      <c r="G721">
        <v>60</v>
      </c>
    </row>
    <row r="722" spans="1:8">
      <c r="A722" t="str">
        <f t="shared" si="11"/>
        <v>De Toverdans 62</v>
      </c>
      <c r="B722" t="s">
        <v>372</v>
      </c>
      <c r="C722" t="s">
        <v>296</v>
      </c>
      <c r="D722">
        <v>1982</v>
      </c>
      <c r="E722">
        <v>123</v>
      </c>
      <c r="F722" t="s">
        <v>369</v>
      </c>
      <c r="G722">
        <v>62</v>
      </c>
    </row>
    <row r="723" spans="1:8">
      <c r="A723" t="str">
        <f t="shared" si="11"/>
        <v>De Toverdans 64a</v>
      </c>
      <c r="B723" t="s">
        <v>372</v>
      </c>
      <c r="C723" t="s">
        <v>296</v>
      </c>
      <c r="D723">
        <v>1972</v>
      </c>
      <c r="E723">
        <v>19</v>
      </c>
      <c r="F723" t="s">
        <v>369</v>
      </c>
      <c r="G723">
        <v>64</v>
      </c>
      <c r="H723" t="s">
        <v>304</v>
      </c>
    </row>
    <row r="724" spans="1:8">
      <c r="A724" t="str">
        <f t="shared" si="11"/>
        <v>De Toverdans 64b</v>
      </c>
      <c r="B724" t="s">
        <v>372</v>
      </c>
      <c r="C724" t="s">
        <v>296</v>
      </c>
      <c r="D724">
        <v>1972</v>
      </c>
      <c r="E724">
        <v>17</v>
      </c>
      <c r="F724" t="s">
        <v>369</v>
      </c>
      <c r="G724">
        <v>64</v>
      </c>
      <c r="H724" t="s">
        <v>298</v>
      </c>
    </row>
    <row r="725" spans="1:8">
      <c r="A725" t="str">
        <f t="shared" si="11"/>
        <v>De Toverdans 64c</v>
      </c>
      <c r="B725" t="s">
        <v>372</v>
      </c>
      <c r="C725" t="s">
        <v>296</v>
      </c>
      <c r="D725">
        <v>1972</v>
      </c>
      <c r="E725">
        <v>18</v>
      </c>
      <c r="F725" t="s">
        <v>369</v>
      </c>
      <c r="G725">
        <v>64</v>
      </c>
      <c r="H725" t="s">
        <v>299</v>
      </c>
    </row>
    <row r="726" spans="1:8">
      <c r="A726" t="str">
        <f t="shared" si="11"/>
        <v>De Toverdans 64d</v>
      </c>
      <c r="B726" t="s">
        <v>372</v>
      </c>
      <c r="C726" t="s">
        <v>296</v>
      </c>
      <c r="D726">
        <v>1972</v>
      </c>
      <c r="E726">
        <v>18</v>
      </c>
      <c r="F726" t="s">
        <v>369</v>
      </c>
      <c r="G726">
        <v>64</v>
      </c>
      <c r="H726" t="s">
        <v>300</v>
      </c>
    </row>
    <row r="727" spans="1:8">
      <c r="A727" t="str">
        <f t="shared" si="11"/>
        <v>De Toverdans 64e</v>
      </c>
      <c r="B727" t="s">
        <v>372</v>
      </c>
      <c r="C727" t="s">
        <v>296</v>
      </c>
      <c r="D727">
        <v>1972</v>
      </c>
      <c r="E727">
        <v>17</v>
      </c>
      <c r="F727" t="s">
        <v>369</v>
      </c>
      <c r="G727">
        <v>64</v>
      </c>
      <c r="H727" t="s">
        <v>319</v>
      </c>
    </row>
    <row r="728" spans="1:8">
      <c r="A728" t="str">
        <f t="shared" si="11"/>
        <v>De Toverdans 64f</v>
      </c>
      <c r="B728" t="s">
        <v>372</v>
      </c>
      <c r="C728" t="s">
        <v>296</v>
      </c>
      <c r="D728">
        <v>1972</v>
      </c>
      <c r="E728">
        <v>19</v>
      </c>
      <c r="F728" t="s">
        <v>369</v>
      </c>
      <c r="G728">
        <v>64</v>
      </c>
      <c r="H728" t="s">
        <v>329</v>
      </c>
    </row>
    <row r="729" spans="1:8">
      <c r="A729" t="str">
        <f t="shared" si="11"/>
        <v>De Toverdans 64</v>
      </c>
      <c r="B729" t="s">
        <v>372</v>
      </c>
      <c r="C729" t="s">
        <v>296</v>
      </c>
      <c r="D729">
        <v>1982</v>
      </c>
      <c r="E729">
        <v>123</v>
      </c>
      <c r="F729" t="s">
        <v>369</v>
      </c>
      <c r="G729">
        <v>64</v>
      </c>
    </row>
    <row r="730" spans="1:8">
      <c r="A730" t="str">
        <f t="shared" si="11"/>
        <v>De Toverdans 66</v>
      </c>
      <c r="B730" t="s">
        <v>372</v>
      </c>
      <c r="C730" t="s">
        <v>296</v>
      </c>
      <c r="D730">
        <v>1980</v>
      </c>
      <c r="E730">
        <v>128</v>
      </c>
      <c r="F730" t="s">
        <v>369</v>
      </c>
      <c r="G730">
        <v>66</v>
      </c>
    </row>
    <row r="731" spans="1:8">
      <c r="A731" t="str">
        <f t="shared" si="11"/>
        <v>De Toverdans 68</v>
      </c>
      <c r="B731" t="s">
        <v>372</v>
      </c>
      <c r="C731" t="s">
        <v>296</v>
      </c>
      <c r="D731">
        <v>1980</v>
      </c>
      <c r="E731">
        <v>121</v>
      </c>
      <c r="F731" t="s">
        <v>369</v>
      </c>
      <c r="G731">
        <v>68</v>
      </c>
    </row>
    <row r="732" spans="1:8">
      <c r="A732" t="str">
        <f t="shared" si="11"/>
        <v>De Toverdans 70</v>
      </c>
      <c r="B732" t="s">
        <v>372</v>
      </c>
      <c r="C732" t="s">
        <v>296</v>
      </c>
      <c r="D732">
        <v>1980</v>
      </c>
      <c r="E732">
        <v>122</v>
      </c>
      <c r="F732" t="s">
        <v>369</v>
      </c>
      <c r="G732">
        <v>70</v>
      </c>
    </row>
    <row r="733" spans="1:8">
      <c r="A733" t="str">
        <f t="shared" si="11"/>
        <v>De Toverdans 72</v>
      </c>
      <c r="B733" t="s">
        <v>372</v>
      </c>
      <c r="C733" t="s">
        <v>296</v>
      </c>
      <c r="D733">
        <v>1980</v>
      </c>
      <c r="E733">
        <v>122</v>
      </c>
      <c r="F733" t="s">
        <v>369</v>
      </c>
      <c r="G733">
        <v>72</v>
      </c>
    </row>
    <row r="734" spans="1:8">
      <c r="A734" t="str">
        <f t="shared" si="11"/>
        <v>De Toverdans 74</v>
      </c>
      <c r="B734" t="s">
        <v>372</v>
      </c>
      <c r="C734" t="s">
        <v>296</v>
      </c>
      <c r="D734">
        <v>1980</v>
      </c>
      <c r="E734">
        <v>122</v>
      </c>
      <c r="F734" t="s">
        <v>369</v>
      </c>
      <c r="G734">
        <v>74</v>
      </c>
    </row>
    <row r="735" spans="1:8">
      <c r="A735" t="str">
        <f t="shared" si="11"/>
        <v>De Toverdans 76</v>
      </c>
      <c r="B735" t="s">
        <v>372</v>
      </c>
      <c r="C735" t="s">
        <v>296</v>
      </c>
      <c r="D735">
        <v>1980</v>
      </c>
      <c r="E735">
        <v>122</v>
      </c>
      <c r="F735" t="s">
        <v>369</v>
      </c>
      <c r="G735">
        <v>76</v>
      </c>
    </row>
    <row r="736" spans="1:8">
      <c r="A736" t="str">
        <f t="shared" si="11"/>
        <v>De Toverdans 78</v>
      </c>
      <c r="B736" t="s">
        <v>373</v>
      </c>
      <c r="C736" t="s">
        <v>296</v>
      </c>
      <c r="D736">
        <v>1982</v>
      </c>
      <c r="E736">
        <v>123</v>
      </c>
      <c r="F736" t="s">
        <v>369</v>
      </c>
      <c r="G736">
        <v>78</v>
      </c>
    </row>
    <row r="737" spans="1:8">
      <c r="A737" t="str">
        <f t="shared" si="11"/>
        <v>De Toverdans 80</v>
      </c>
      <c r="B737" t="s">
        <v>373</v>
      </c>
      <c r="C737" t="s">
        <v>296</v>
      </c>
      <c r="D737">
        <v>1982</v>
      </c>
      <c r="E737">
        <v>123</v>
      </c>
      <c r="F737" t="s">
        <v>369</v>
      </c>
      <c r="G737">
        <v>80</v>
      </c>
    </row>
    <row r="738" spans="1:8">
      <c r="A738" t="str">
        <f t="shared" si="11"/>
        <v>De Toverdans 82</v>
      </c>
      <c r="B738" t="s">
        <v>373</v>
      </c>
      <c r="C738" t="s">
        <v>296</v>
      </c>
      <c r="D738">
        <v>1982</v>
      </c>
      <c r="E738">
        <v>123</v>
      </c>
      <c r="F738" t="s">
        <v>369</v>
      </c>
      <c r="G738">
        <v>82</v>
      </c>
    </row>
    <row r="739" spans="1:8">
      <c r="A739" t="str">
        <f t="shared" si="11"/>
        <v>De Toverdans 84</v>
      </c>
      <c r="B739" t="s">
        <v>373</v>
      </c>
      <c r="C739" t="s">
        <v>296</v>
      </c>
      <c r="D739">
        <v>1982</v>
      </c>
      <c r="E739">
        <v>123</v>
      </c>
      <c r="F739" t="s">
        <v>369</v>
      </c>
      <c r="G739">
        <v>84</v>
      </c>
    </row>
    <row r="740" spans="1:8">
      <c r="A740" t="str">
        <f t="shared" si="11"/>
        <v>De Toverdans 86</v>
      </c>
      <c r="B740" t="s">
        <v>373</v>
      </c>
      <c r="C740" t="s">
        <v>296</v>
      </c>
      <c r="D740">
        <v>1982</v>
      </c>
      <c r="E740">
        <v>123</v>
      </c>
      <c r="F740" t="s">
        <v>369</v>
      </c>
      <c r="G740">
        <v>86</v>
      </c>
    </row>
    <row r="741" spans="1:8">
      <c r="A741" t="str">
        <f t="shared" si="11"/>
        <v>De Toverdans 88</v>
      </c>
      <c r="B741" t="s">
        <v>373</v>
      </c>
      <c r="C741" t="s">
        <v>296</v>
      </c>
      <c r="D741">
        <v>1982</v>
      </c>
      <c r="E741">
        <v>124</v>
      </c>
      <c r="F741" t="s">
        <v>369</v>
      </c>
      <c r="G741">
        <v>88</v>
      </c>
    </row>
    <row r="742" spans="1:8">
      <c r="A742" t="str">
        <f t="shared" si="11"/>
        <v>De Toverdans 90</v>
      </c>
      <c r="B742" t="s">
        <v>373</v>
      </c>
      <c r="C742" t="s">
        <v>296</v>
      </c>
      <c r="D742">
        <v>1982</v>
      </c>
      <c r="E742">
        <v>123</v>
      </c>
      <c r="F742" t="s">
        <v>369</v>
      </c>
      <c r="G742">
        <v>90</v>
      </c>
    </row>
    <row r="743" spans="1:8">
      <c r="A743" t="str">
        <f t="shared" si="11"/>
        <v>De Toverdans 92</v>
      </c>
      <c r="B743" t="s">
        <v>373</v>
      </c>
      <c r="C743" t="s">
        <v>296</v>
      </c>
      <c r="D743">
        <v>1982</v>
      </c>
      <c r="E743">
        <v>123</v>
      </c>
      <c r="F743" t="s">
        <v>369</v>
      </c>
      <c r="G743">
        <v>92</v>
      </c>
    </row>
    <row r="744" spans="1:8">
      <c r="A744" t="str">
        <f t="shared" si="11"/>
        <v>De Toverdans 94</v>
      </c>
      <c r="B744" t="s">
        <v>373</v>
      </c>
      <c r="C744" t="s">
        <v>296</v>
      </c>
      <c r="D744">
        <v>1982</v>
      </c>
      <c r="E744">
        <v>123</v>
      </c>
      <c r="F744" t="s">
        <v>369</v>
      </c>
      <c r="G744">
        <v>94</v>
      </c>
    </row>
    <row r="745" spans="1:8">
      <c r="A745" t="str">
        <f t="shared" si="11"/>
        <v>De Toverdans 96</v>
      </c>
      <c r="B745" t="s">
        <v>373</v>
      </c>
      <c r="C745" t="s">
        <v>296</v>
      </c>
      <c r="D745">
        <v>1982</v>
      </c>
      <c r="E745">
        <v>123</v>
      </c>
      <c r="F745" t="s">
        <v>369</v>
      </c>
      <c r="G745">
        <v>96</v>
      </c>
    </row>
    <row r="746" spans="1:8">
      <c r="A746" t="str">
        <f t="shared" si="11"/>
        <v>De Toverdans 98</v>
      </c>
      <c r="B746" t="s">
        <v>373</v>
      </c>
      <c r="C746" t="s">
        <v>296</v>
      </c>
      <c r="D746">
        <v>1982</v>
      </c>
      <c r="E746">
        <v>124</v>
      </c>
      <c r="F746" t="s">
        <v>369</v>
      </c>
      <c r="G746">
        <v>98</v>
      </c>
    </row>
    <row r="747" spans="1:8">
      <c r="A747" t="str">
        <f t="shared" si="11"/>
        <v>De Toverdans 100</v>
      </c>
      <c r="B747" t="s">
        <v>373</v>
      </c>
      <c r="C747" t="s">
        <v>296</v>
      </c>
      <c r="D747">
        <v>1982</v>
      </c>
      <c r="E747">
        <v>123</v>
      </c>
      <c r="F747" t="s">
        <v>369</v>
      </c>
      <c r="G747">
        <v>100</v>
      </c>
    </row>
    <row r="748" spans="1:8">
      <c r="A748" t="str">
        <f t="shared" si="11"/>
        <v>De Toverdans 102</v>
      </c>
      <c r="B748" t="s">
        <v>373</v>
      </c>
      <c r="C748" t="s">
        <v>296</v>
      </c>
      <c r="D748">
        <v>1982</v>
      </c>
      <c r="E748">
        <v>123</v>
      </c>
      <c r="F748" t="s">
        <v>369</v>
      </c>
      <c r="G748">
        <v>102</v>
      </c>
    </row>
    <row r="749" spans="1:8">
      <c r="A749" t="str">
        <f t="shared" si="11"/>
        <v>De Toverdans 104</v>
      </c>
      <c r="B749" t="s">
        <v>373</v>
      </c>
      <c r="C749" t="s">
        <v>296</v>
      </c>
      <c r="D749">
        <v>1982</v>
      </c>
      <c r="E749">
        <v>123</v>
      </c>
      <c r="F749" t="s">
        <v>369</v>
      </c>
      <c r="G749">
        <v>104</v>
      </c>
    </row>
    <row r="750" spans="1:8">
      <c r="A750" t="str">
        <f t="shared" si="11"/>
        <v>De Toverdans 106</v>
      </c>
      <c r="B750" t="s">
        <v>373</v>
      </c>
      <c r="C750" t="s">
        <v>296</v>
      </c>
      <c r="D750">
        <v>1982</v>
      </c>
      <c r="E750">
        <v>123</v>
      </c>
      <c r="F750" t="s">
        <v>369</v>
      </c>
      <c r="G750">
        <v>106</v>
      </c>
    </row>
    <row r="751" spans="1:8">
      <c r="A751" t="str">
        <f t="shared" si="11"/>
        <v>De Toverdans 108a</v>
      </c>
      <c r="B751" t="s">
        <v>373</v>
      </c>
      <c r="C751" t="s">
        <v>296</v>
      </c>
      <c r="D751">
        <v>1972</v>
      </c>
      <c r="E751">
        <v>19</v>
      </c>
      <c r="F751" t="s">
        <v>369</v>
      </c>
      <c r="G751">
        <v>108</v>
      </c>
      <c r="H751" t="s">
        <v>304</v>
      </c>
    </row>
    <row r="752" spans="1:8">
      <c r="A752" t="str">
        <f t="shared" si="11"/>
        <v>De Toverdans 108b</v>
      </c>
      <c r="B752" t="s">
        <v>373</v>
      </c>
      <c r="C752" t="s">
        <v>296</v>
      </c>
      <c r="D752">
        <v>1972</v>
      </c>
      <c r="E752">
        <v>18</v>
      </c>
      <c r="F752" t="s">
        <v>369</v>
      </c>
      <c r="G752">
        <v>108</v>
      </c>
      <c r="H752" t="s">
        <v>298</v>
      </c>
    </row>
    <row r="753" spans="1:8">
      <c r="A753" t="str">
        <f t="shared" si="11"/>
        <v>De Toverdans 108c</v>
      </c>
      <c r="B753" t="s">
        <v>373</v>
      </c>
      <c r="C753" t="s">
        <v>296</v>
      </c>
      <c r="D753">
        <v>1972</v>
      </c>
      <c r="E753">
        <v>18</v>
      </c>
      <c r="F753" t="s">
        <v>369</v>
      </c>
      <c r="G753">
        <v>108</v>
      </c>
      <c r="H753" t="s">
        <v>299</v>
      </c>
    </row>
    <row r="754" spans="1:8">
      <c r="A754" t="str">
        <f t="shared" si="11"/>
        <v>De Toverdans 108d</v>
      </c>
      <c r="B754" t="s">
        <v>373</v>
      </c>
      <c r="C754" t="s">
        <v>296</v>
      </c>
      <c r="D754">
        <v>1972</v>
      </c>
      <c r="E754">
        <v>17</v>
      </c>
      <c r="F754" t="s">
        <v>369</v>
      </c>
      <c r="G754">
        <v>108</v>
      </c>
      <c r="H754" t="s">
        <v>300</v>
      </c>
    </row>
    <row r="755" spans="1:8">
      <c r="A755" t="str">
        <f t="shared" si="11"/>
        <v>De Toverdans 108e</v>
      </c>
      <c r="B755" t="s">
        <v>373</v>
      </c>
      <c r="C755" t="s">
        <v>296</v>
      </c>
      <c r="D755">
        <v>1972</v>
      </c>
      <c r="E755">
        <v>18</v>
      </c>
      <c r="F755" t="s">
        <v>369</v>
      </c>
      <c r="G755">
        <v>108</v>
      </c>
      <c r="H755" t="s">
        <v>319</v>
      </c>
    </row>
    <row r="756" spans="1:8">
      <c r="A756" t="str">
        <f t="shared" si="11"/>
        <v>De Toverdans 108f</v>
      </c>
      <c r="B756" t="s">
        <v>373</v>
      </c>
      <c r="C756" t="s">
        <v>296</v>
      </c>
      <c r="D756">
        <v>1972</v>
      </c>
      <c r="E756">
        <v>18</v>
      </c>
      <c r="F756" t="s">
        <v>369</v>
      </c>
      <c r="G756">
        <v>108</v>
      </c>
      <c r="H756" t="s">
        <v>329</v>
      </c>
    </row>
    <row r="757" spans="1:8">
      <c r="A757" t="str">
        <f t="shared" si="11"/>
        <v>De Toverdans 108</v>
      </c>
      <c r="B757" t="s">
        <v>373</v>
      </c>
      <c r="C757" t="s">
        <v>296</v>
      </c>
      <c r="D757">
        <v>1982</v>
      </c>
      <c r="E757">
        <v>123</v>
      </c>
      <c r="F757" t="s">
        <v>369</v>
      </c>
      <c r="G757">
        <v>108</v>
      </c>
    </row>
    <row r="758" spans="1:8">
      <c r="A758" t="str">
        <f t="shared" si="11"/>
        <v>De Zonneschijn 2</v>
      </c>
      <c r="B758" t="s">
        <v>374</v>
      </c>
      <c r="C758" t="s">
        <v>296</v>
      </c>
      <c r="D758">
        <v>1988</v>
      </c>
      <c r="E758">
        <v>240</v>
      </c>
      <c r="F758" t="s">
        <v>375</v>
      </c>
      <c r="G758">
        <v>2</v>
      </c>
    </row>
    <row r="759" spans="1:8">
      <c r="A759" t="str">
        <f t="shared" si="11"/>
        <v>De Zonneschijn 4</v>
      </c>
      <c r="B759" t="s">
        <v>374</v>
      </c>
      <c r="C759" t="s">
        <v>296</v>
      </c>
      <c r="D759">
        <v>1900</v>
      </c>
      <c r="E759">
        <v>277</v>
      </c>
      <c r="F759" t="s">
        <v>375</v>
      </c>
      <c r="G759">
        <v>4</v>
      </c>
    </row>
    <row r="760" spans="1:8">
      <c r="A760" t="str">
        <f t="shared" si="11"/>
        <v>De Zonneschijn 6</v>
      </c>
      <c r="B760" t="s">
        <v>374</v>
      </c>
      <c r="C760" t="s">
        <v>296</v>
      </c>
      <c r="D760">
        <v>1982</v>
      </c>
      <c r="E760">
        <v>168</v>
      </c>
      <c r="F760" t="s">
        <v>375</v>
      </c>
      <c r="G760">
        <v>6</v>
      </c>
    </row>
    <row r="761" spans="1:8">
      <c r="A761" t="str">
        <f t="shared" si="11"/>
        <v>De Zonneschijn 8</v>
      </c>
      <c r="B761" t="s">
        <v>374</v>
      </c>
      <c r="C761" t="s">
        <v>296</v>
      </c>
      <c r="D761">
        <v>1985</v>
      </c>
      <c r="E761">
        <v>155</v>
      </c>
      <c r="F761" t="s">
        <v>375</v>
      </c>
      <c r="G761">
        <v>8</v>
      </c>
    </row>
    <row r="762" spans="1:8">
      <c r="A762" t="str">
        <f t="shared" si="11"/>
        <v>De Zonneschijn 10</v>
      </c>
      <c r="B762" t="s">
        <v>374</v>
      </c>
      <c r="C762" t="s">
        <v>296</v>
      </c>
      <c r="D762">
        <v>1985</v>
      </c>
      <c r="E762">
        <v>147</v>
      </c>
      <c r="F762" t="s">
        <v>375</v>
      </c>
      <c r="G762">
        <v>10</v>
      </c>
    </row>
    <row r="763" spans="1:8">
      <c r="A763" t="str">
        <f t="shared" si="11"/>
        <v>Dirk Ockerpad 1</v>
      </c>
      <c r="B763" t="s">
        <v>376</v>
      </c>
      <c r="C763" t="s">
        <v>343</v>
      </c>
      <c r="D763">
        <v>1977</v>
      </c>
      <c r="E763">
        <v>233</v>
      </c>
      <c r="F763" t="s">
        <v>377</v>
      </c>
      <c r="G763">
        <v>1</v>
      </c>
    </row>
    <row r="764" spans="1:8">
      <c r="A764" t="str">
        <f t="shared" si="11"/>
        <v>Dirk Ockerpad 2</v>
      </c>
      <c r="B764" t="s">
        <v>376</v>
      </c>
      <c r="C764" t="s">
        <v>343</v>
      </c>
      <c r="D764">
        <v>1974</v>
      </c>
      <c r="E764">
        <v>279</v>
      </c>
      <c r="F764" t="s">
        <v>377</v>
      </c>
      <c r="G764">
        <v>2</v>
      </c>
    </row>
    <row r="765" spans="1:8">
      <c r="A765" t="str">
        <f t="shared" si="11"/>
        <v>Dirk Ockerpad 3</v>
      </c>
      <c r="B765" t="s">
        <v>376</v>
      </c>
      <c r="C765" t="s">
        <v>343</v>
      </c>
      <c r="D765">
        <v>1974</v>
      </c>
      <c r="E765">
        <v>537</v>
      </c>
      <c r="F765" t="s">
        <v>377</v>
      </c>
      <c r="G765">
        <v>3</v>
      </c>
    </row>
    <row r="766" spans="1:8">
      <c r="A766" t="str">
        <f t="shared" si="11"/>
        <v>Dirk Ockerpad 4</v>
      </c>
      <c r="B766" t="s">
        <v>376</v>
      </c>
      <c r="C766" t="s">
        <v>343</v>
      </c>
      <c r="D766">
        <v>1975</v>
      </c>
      <c r="E766">
        <v>337</v>
      </c>
      <c r="F766" t="s">
        <v>377</v>
      </c>
      <c r="G766">
        <v>4</v>
      </c>
    </row>
    <row r="767" spans="1:8">
      <c r="A767" t="str">
        <f t="shared" si="11"/>
        <v>Dominicanessenstraat 1</v>
      </c>
      <c r="B767" t="s">
        <v>378</v>
      </c>
      <c r="C767" t="s">
        <v>296</v>
      </c>
      <c r="D767">
        <v>2004</v>
      </c>
      <c r="E767">
        <v>178</v>
      </c>
      <c r="F767" t="s">
        <v>379</v>
      </c>
      <c r="G767">
        <v>1</v>
      </c>
    </row>
    <row r="768" spans="1:8">
      <c r="A768" t="str">
        <f t="shared" si="11"/>
        <v>Dominicanessenstraat 2</v>
      </c>
      <c r="B768" t="s">
        <v>380</v>
      </c>
      <c r="C768" t="s">
        <v>296</v>
      </c>
      <c r="D768">
        <v>2004</v>
      </c>
      <c r="E768">
        <v>106</v>
      </c>
      <c r="F768" t="s">
        <v>379</v>
      </c>
      <c r="G768">
        <v>2</v>
      </c>
    </row>
    <row r="769" spans="1:7">
      <c r="A769" t="str">
        <f t="shared" si="11"/>
        <v>Dominicanessenstraat 3</v>
      </c>
      <c r="B769" t="s">
        <v>378</v>
      </c>
      <c r="C769" t="s">
        <v>296</v>
      </c>
      <c r="D769">
        <v>2004</v>
      </c>
      <c r="E769">
        <v>171</v>
      </c>
      <c r="F769" t="s">
        <v>379</v>
      </c>
      <c r="G769">
        <v>3</v>
      </c>
    </row>
    <row r="770" spans="1:7">
      <c r="A770" t="str">
        <f t="shared" ref="A770:A833" si="12">CONCATENATE(F770," ",G770,H770)</f>
        <v>Dominicanessenstraat 4</v>
      </c>
      <c r="B770" t="s">
        <v>380</v>
      </c>
      <c r="C770" t="s">
        <v>296</v>
      </c>
      <c r="D770">
        <v>2004</v>
      </c>
      <c r="E770">
        <v>118</v>
      </c>
      <c r="F770" t="s">
        <v>379</v>
      </c>
      <c r="G770">
        <v>4</v>
      </c>
    </row>
    <row r="771" spans="1:7">
      <c r="A771" t="str">
        <f t="shared" si="12"/>
        <v>Dominicanessenstraat 5</v>
      </c>
      <c r="B771" t="s">
        <v>378</v>
      </c>
      <c r="C771" t="s">
        <v>296</v>
      </c>
      <c r="D771">
        <v>2004</v>
      </c>
      <c r="E771">
        <v>172</v>
      </c>
      <c r="F771" t="s">
        <v>379</v>
      </c>
      <c r="G771">
        <v>5</v>
      </c>
    </row>
    <row r="772" spans="1:7">
      <c r="A772" t="str">
        <f t="shared" si="12"/>
        <v>Dominicanessenstraat 6</v>
      </c>
      <c r="B772" t="s">
        <v>380</v>
      </c>
      <c r="C772" t="s">
        <v>296</v>
      </c>
      <c r="D772">
        <v>2004</v>
      </c>
      <c r="E772">
        <v>112</v>
      </c>
      <c r="F772" t="s">
        <v>379</v>
      </c>
      <c r="G772">
        <v>6</v>
      </c>
    </row>
    <row r="773" spans="1:7">
      <c r="A773" t="str">
        <f t="shared" si="12"/>
        <v>Dominicanessenstraat 7</v>
      </c>
      <c r="B773" t="s">
        <v>378</v>
      </c>
      <c r="C773" t="s">
        <v>296</v>
      </c>
      <c r="D773">
        <v>2004</v>
      </c>
      <c r="E773">
        <v>171</v>
      </c>
      <c r="F773" t="s">
        <v>379</v>
      </c>
      <c r="G773">
        <v>7</v>
      </c>
    </row>
    <row r="774" spans="1:7">
      <c r="A774" t="str">
        <f t="shared" si="12"/>
        <v>Dominicanessenstraat 8</v>
      </c>
      <c r="B774" t="s">
        <v>380</v>
      </c>
      <c r="C774" t="s">
        <v>296</v>
      </c>
      <c r="D774">
        <v>2004</v>
      </c>
      <c r="E774">
        <v>119</v>
      </c>
      <c r="F774" t="s">
        <v>379</v>
      </c>
      <c r="G774">
        <v>8</v>
      </c>
    </row>
    <row r="775" spans="1:7">
      <c r="A775" t="str">
        <f t="shared" si="12"/>
        <v>Dominicanessenstraat 9</v>
      </c>
      <c r="B775" t="s">
        <v>378</v>
      </c>
      <c r="C775" t="s">
        <v>296</v>
      </c>
      <c r="D775">
        <v>2004</v>
      </c>
      <c r="E775">
        <v>185</v>
      </c>
      <c r="F775" t="s">
        <v>379</v>
      </c>
      <c r="G775">
        <v>9</v>
      </c>
    </row>
    <row r="776" spans="1:7">
      <c r="A776" t="str">
        <f t="shared" si="12"/>
        <v>Dominicanessenstraat 10</v>
      </c>
      <c r="B776" t="s">
        <v>380</v>
      </c>
      <c r="C776" t="s">
        <v>296</v>
      </c>
      <c r="D776">
        <v>2004</v>
      </c>
      <c r="E776">
        <v>137</v>
      </c>
      <c r="F776" t="s">
        <v>379</v>
      </c>
      <c r="G776">
        <v>10</v>
      </c>
    </row>
    <row r="777" spans="1:7">
      <c r="A777" t="str">
        <f t="shared" si="12"/>
        <v>Dominicanessenstraat 11</v>
      </c>
      <c r="B777" t="s">
        <v>378</v>
      </c>
      <c r="C777" t="s">
        <v>296</v>
      </c>
      <c r="D777">
        <v>2004</v>
      </c>
      <c r="E777">
        <v>184</v>
      </c>
      <c r="F777" t="s">
        <v>379</v>
      </c>
      <c r="G777">
        <v>11</v>
      </c>
    </row>
    <row r="778" spans="1:7">
      <c r="A778" t="str">
        <f t="shared" si="12"/>
        <v>Dominicanessenstraat 12</v>
      </c>
      <c r="B778" t="s">
        <v>380</v>
      </c>
      <c r="C778" t="s">
        <v>296</v>
      </c>
      <c r="D778">
        <v>2006</v>
      </c>
      <c r="E778">
        <v>164</v>
      </c>
      <c r="F778" t="s">
        <v>379</v>
      </c>
      <c r="G778">
        <v>12</v>
      </c>
    </row>
    <row r="779" spans="1:7">
      <c r="A779" t="str">
        <f t="shared" si="12"/>
        <v>Dominicanessenstraat 13</v>
      </c>
      <c r="B779" t="s">
        <v>378</v>
      </c>
      <c r="C779" t="s">
        <v>296</v>
      </c>
      <c r="D779">
        <v>2004</v>
      </c>
      <c r="E779">
        <v>172</v>
      </c>
      <c r="F779" t="s">
        <v>379</v>
      </c>
      <c r="G779">
        <v>13</v>
      </c>
    </row>
    <row r="780" spans="1:7">
      <c r="A780" t="str">
        <f t="shared" si="12"/>
        <v>Dominicanessenstraat 14</v>
      </c>
      <c r="B780" t="s">
        <v>380</v>
      </c>
      <c r="C780" t="s">
        <v>296</v>
      </c>
      <c r="D780">
        <v>2004</v>
      </c>
      <c r="E780">
        <v>178</v>
      </c>
      <c r="F780" t="s">
        <v>379</v>
      </c>
      <c r="G780">
        <v>14</v>
      </c>
    </row>
    <row r="781" spans="1:7">
      <c r="A781" t="str">
        <f t="shared" si="12"/>
        <v>Dominicanessenstraat 15</v>
      </c>
      <c r="B781" t="s">
        <v>378</v>
      </c>
      <c r="C781" t="s">
        <v>296</v>
      </c>
      <c r="D781">
        <v>2004</v>
      </c>
      <c r="E781">
        <v>171</v>
      </c>
      <c r="F781" t="s">
        <v>379</v>
      </c>
      <c r="G781">
        <v>15</v>
      </c>
    </row>
    <row r="782" spans="1:7">
      <c r="A782" t="str">
        <f t="shared" si="12"/>
        <v>Dominicanessenstraat 16</v>
      </c>
      <c r="B782" t="s">
        <v>380</v>
      </c>
      <c r="C782" t="s">
        <v>296</v>
      </c>
      <c r="D782">
        <v>2004</v>
      </c>
      <c r="E782">
        <v>172</v>
      </c>
      <c r="F782" t="s">
        <v>379</v>
      </c>
      <c r="G782">
        <v>16</v>
      </c>
    </row>
    <row r="783" spans="1:7">
      <c r="A783" t="str">
        <f t="shared" si="12"/>
        <v>Dominicanessenstraat 17</v>
      </c>
      <c r="B783" t="s">
        <v>378</v>
      </c>
      <c r="C783" t="s">
        <v>296</v>
      </c>
      <c r="D783">
        <v>2004</v>
      </c>
      <c r="E783">
        <v>171</v>
      </c>
      <c r="F783" t="s">
        <v>379</v>
      </c>
      <c r="G783">
        <v>17</v>
      </c>
    </row>
    <row r="784" spans="1:7">
      <c r="A784" t="str">
        <f t="shared" si="12"/>
        <v>Dominicanessenstraat 18</v>
      </c>
      <c r="B784" t="s">
        <v>380</v>
      </c>
      <c r="C784" t="s">
        <v>296</v>
      </c>
      <c r="D784">
        <v>2004</v>
      </c>
      <c r="E784">
        <v>171</v>
      </c>
      <c r="F784" t="s">
        <v>379</v>
      </c>
      <c r="G784">
        <v>18</v>
      </c>
    </row>
    <row r="785" spans="1:7">
      <c r="A785" t="str">
        <f t="shared" si="12"/>
        <v>Dominicanessenstraat 19</v>
      </c>
      <c r="B785" t="s">
        <v>378</v>
      </c>
      <c r="C785" t="s">
        <v>296</v>
      </c>
      <c r="D785">
        <v>2004</v>
      </c>
      <c r="E785">
        <v>178</v>
      </c>
      <c r="F785" t="s">
        <v>379</v>
      </c>
      <c r="G785">
        <v>19</v>
      </c>
    </row>
    <row r="786" spans="1:7">
      <c r="A786" t="str">
        <f t="shared" si="12"/>
        <v>Dominicanessenstraat 20</v>
      </c>
      <c r="B786" t="s">
        <v>380</v>
      </c>
      <c r="C786" t="s">
        <v>296</v>
      </c>
      <c r="D786">
        <v>2004</v>
      </c>
      <c r="E786">
        <v>171</v>
      </c>
      <c r="F786" t="s">
        <v>379</v>
      </c>
      <c r="G786">
        <v>20</v>
      </c>
    </row>
    <row r="787" spans="1:7">
      <c r="A787" t="str">
        <f t="shared" si="12"/>
        <v>Dominicanessenstraat 21</v>
      </c>
      <c r="B787" t="s">
        <v>378</v>
      </c>
      <c r="C787" t="s">
        <v>296</v>
      </c>
      <c r="D787">
        <v>2004</v>
      </c>
      <c r="E787">
        <v>106</v>
      </c>
      <c r="F787" t="s">
        <v>379</v>
      </c>
      <c r="G787">
        <v>21</v>
      </c>
    </row>
    <row r="788" spans="1:7">
      <c r="A788" t="str">
        <f t="shared" si="12"/>
        <v>Dominicanessenstraat 22</v>
      </c>
      <c r="B788" t="s">
        <v>380</v>
      </c>
      <c r="C788" t="s">
        <v>296</v>
      </c>
      <c r="D788">
        <v>2004</v>
      </c>
      <c r="E788">
        <v>171</v>
      </c>
      <c r="F788" t="s">
        <v>379</v>
      </c>
      <c r="G788">
        <v>22</v>
      </c>
    </row>
    <row r="789" spans="1:7">
      <c r="A789" t="str">
        <f t="shared" si="12"/>
        <v>Dominicanessenstraat 23</v>
      </c>
      <c r="B789" t="s">
        <v>378</v>
      </c>
      <c r="C789" t="s">
        <v>296</v>
      </c>
      <c r="D789">
        <v>2004</v>
      </c>
      <c r="E789">
        <v>111</v>
      </c>
      <c r="F789" t="s">
        <v>379</v>
      </c>
      <c r="G789">
        <v>23</v>
      </c>
    </row>
    <row r="790" spans="1:7">
      <c r="A790" t="str">
        <f t="shared" si="12"/>
        <v>Dominicanessenstraat 24</v>
      </c>
      <c r="B790" t="s">
        <v>380</v>
      </c>
      <c r="C790" t="s">
        <v>296</v>
      </c>
      <c r="D790">
        <v>2004</v>
      </c>
      <c r="E790">
        <v>171</v>
      </c>
      <c r="F790" t="s">
        <v>379</v>
      </c>
      <c r="G790">
        <v>24</v>
      </c>
    </row>
    <row r="791" spans="1:7">
      <c r="A791" t="str">
        <f t="shared" si="12"/>
        <v>Dominicanessenstraat 25</v>
      </c>
      <c r="B791" t="s">
        <v>378</v>
      </c>
      <c r="C791" t="s">
        <v>296</v>
      </c>
      <c r="D791">
        <v>2004</v>
      </c>
      <c r="E791">
        <v>111</v>
      </c>
      <c r="F791" t="s">
        <v>379</v>
      </c>
      <c r="G791">
        <v>25</v>
      </c>
    </row>
    <row r="792" spans="1:7">
      <c r="A792" t="str">
        <f t="shared" si="12"/>
        <v>Dominicanessenstraat 26</v>
      </c>
      <c r="B792" t="s">
        <v>380</v>
      </c>
      <c r="C792" t="s">
        <v>296</v>
      </c>
      <c r="D792">
        <v>2004</v>
      </c>
      <c r="E792">
        <v>171</v>
      </c>
      <c r="F792" t="s">
        <v>379</v>
      </c>
      <c r="G792">
        <v>26</v>
      </c>
    </row>
    <row r="793" spans="1:7">
      <c r="A793" t="str">
        <f t="shared" si="12"/>
        <v>Dominicanessenstraat 27</v>
      </c>
      <c r="B793" t="s">
        <v>378</v>
      </c>
      <c r="C793" t="s">
        <v>296</v>
      </c>
      <c r="D793">
        <v>2004</v>
      </c>
      <c r="E793">
        <v>112</v>
      </c>
      <c r="F793" t="s">
        <v>379</v>
      </c>
      <c r="G793">
        <v>27</v>
      </c>
    </row>
    <row r="794" spans="1:7">
      <c r="A794" t="str">
        <f t="shared" si="12"/>
        <v>Dominicanessenstraat 28</v>
      </c>
      <c r="B794" t="s">
        <v>380</v>
      </c>
      <c r="C794" t="s">
        <v>296</v>
      </c>
      <c r="D794">
        <v>2004</v>
      </c>
      <c r="E794">
        <v>171</v>
      </c>
      <c r="F794" t="s">
        <v>379</v>
      </c>
      <c r="G794">
        <v>28</v>
      </c>
    </row>
    <row r="795" spans="1:7">
      <c r="A795" t="str">
        <f t="shared" si="12"/>
        <v>Dominicanessenstraat 29</v>
      </c>
      <c r="B795" t="s">
        <v>378</v>
      </c>
      <c r="C795" t="s">
        <v>296</v>
      </c>
      <c r="D795">
        <v>2004</v>
      </c>
      <c r="E795">
        <v>118</v>
      </c>
      <c r="F795" t="s">
        <v>379</v>
      </c>
      <c r="G795">
        <v>29</v>
      </c>
    </row>
    <row r="796" spans="1:7">
      <c r="A796" t="str">
        <f t="shared" si="12"/>
        <v>Dominicanessenstraat 30</v>
      </c>
      <c r="B796" t="s">
        <v>380</v>
      </c>
      <c r="C796" t="s">
        <v>296</v>
      </c>
      <c r="D796">
        <v>2004</v>
      </c>
      <c r="E796">
        <v>170</v>
      </c>
      <c r="F796" t="s">
        <v>379</v>
      </c>
      <c r="G796">
        <v>30</v>
      </c>
    </row>
    <row r="797" spans="1:7">
      <c r="A797" t="str">
        <f t="shared" si="12"/>
        <v>Dominicanessenstraat 31</v>
      </c>
      <c r="B797" t="s">
        <v>378</v>
      </c>
      <c r="C797" t="s">
        <v>296</v>
      </c>
      <c r="D797">
        <v>2004</v>
      </c>
      <c r="E797">
        <v>118</v>
      </c>
      <c r="F797" t="s">
        <v>379</v>
      </c>
      <c r="G797">
        <v>31</v>
      </c>
    </row>
    <row r="798" spans="1:7">
      <c r="A798" t="str">
        <f t="shared" si="12"/>
        <v>Dominicanessenstraat 32</v>
      </c>
      <c r="B798" t="s">
        <v>380</v>
      </c>
      <c r="C798" t="s">
        <v>296</v>
      </c>
      <c r="D798">
        <v>2004</v>
      </c>
      <c r="E798">
        <v>175</v>
      </c>
      <c r="F798" t="s">
        <v>379</v>
      </c>
      <c r="G798">
        <v>32</v>
      </c>
    </row>
    <row r="799" spans="1:7">
      <c r="A799" t="str">
        <f t="shared" si="12"/>
        <v>Dominicanessenstraat 33</v>
      </c>
      <c r="B799" t="s">
        <v>378</v>
      </c>
      <c r="C799" t="s">
        <v>296</v>
      </c>
      <c r="D799">
        <v>2004</v>
      </c>
      <c r="E799">
        <v>106</v>
      </c>
      <c r="F799" t="s">
        <v>379</v>
      </c>
      <c r="G799">
        <v>33</v>
      </c>
    </row>
    <row r="800" spans="1:7">
      <c r="A800" t="str">
        <f t="shared" si="12"/>
        <v>Dominicanessenstraat 34</v>
      </c>
      <c r="B800" t="s">
        <v>380</v>
      </c>
      <c r="C800" t="s">
        <v>296</v>
      </c>
      <c r="D800">
        <v>2006</v>
      </c>
      <c r="E800">
        <v>177</v>
      </c>
      <c r="F800" t="s">
        <v>379</v>
      </c>
      <c r="G800">
        <v>34</v>
      </c>
    </row>
    <row r="801" spans="1:8">
      <c r="A801" t="str">
        <f t="shared" si="12"/>
        <v>Dominicanessenstraat 36</v>
      </c>
      <c r="B801" t="s">
        <v>380</v>
      </c>
      <c r="C801" t="s">
        <v>296</v>
      </c>
      <c r="D801">
        <v>2003</v>
      </c>
      <c r="E801">
        <v>265</v>
      </c>
      <c r="F801" t="s">
        <v>379</v>
      </c>
      <c r="G801">
        <v>36</v>
      </c>
    </row>
    <row r="802" spans="1:8">
      <c r="A802" t="str">
        <f t="shared" si="12"/>
        <v>Dominicanessenstraat 38</v>
      </c>
      <c r="B802" t="s">
        <v>380</v>
      </c>
      <c r="C802" t="s">
        <v>296</v>
      </c>
      <c r="D802">
        <v>2004</v>
      </c>
      <c r="E802">
        <v>206</v>
      </c>
      <c r="F802" t="s">
        <v>379</v>
      </c>
      <c r="G802">
        <v>38</v>
      </c>
    </row>
    <row r="803" spans="1:8">
      <c r="A803" t="str">
        <f t="shared" si="12"/>
        <v>Dominicanessenstraat 40</v>
      </c>
      <c r="B803" t="s">
        <v>380</v>
      </c>
      <c r="C803" t="s">
        <v>296</v>
      </c>
      <c r="D803">
        <v>2004</v>
      </c>
      <c r="E803">
        <v>206</v>
      </c>
      <c r="F803" t="s">
        <v>379</v>
      </c>
      <c r="G803">
        <v>40</v>
      </c>
    </row>
    <row r="804" spans="1:8">
      <c r="A804" t="str">
        <f t="shared" si="12"/>
        <v>Dominicanessenstraat 42</v>
      </c>
      <c r="B804" t="s">
        <v>380</v>
      </c>
      <c r="C804" t="s">
        <v>296</v>
      </c>
      <c r="D804">
        <v>2004</v>
      </c>
      <c r="E804">
        <v>210</v>
      </c>
      <c r="F804" t="s">
        <v>379</v>
      </c>
      <c r="G804">
        <v>42</v>
      </c>
    </row>
    <row r="805" spans="1:8">
      <c r="A805" t="str">
        <f t="shared" si="12"/>
        <v>Dominicanessenstraat 44</v>
      </c>
      <c r="B805" t="s">
        <v>380</v>
      </c>
      <c r="C805" t="s">
        <v>296</v>
      </c>
      <c r="D805">
        <v>2004</v>
      </c>
      <c r="E805">
        <v>206</v>
      </c>
      <c r="F805" t="s">
        <v>379</v>
      </c>
      <c r="G805">
        <v>44</v>
      </c>
    </row>
    <row r="806" spans="1:8">
      <c r="A806" t="str">
        <f t="shared" si="12"/>
        <v>Dominicanessenstraat 46</v>
      </c>
      <c r="B806" t="s">
        <v>380</v>
      </c>
      <c r="C806" t="s">
        <v>296</v>
      </c>
      <c r="D806">
        <v>2004</v>
      </c>
      <c r="E806">
        <v>205</v>
      </c>
      <c r="F806" t="s">
        <v>379</v>
      </c>
      <c r="G806">
        <v>46</v>
      </c>
    </row>
    <row r="807" spans="1:8">
      <c r="A807" t="str">
        <f t="shared" si="12"/>
        <v>Dorpsstraat 1a</v>
      </c>
      <c r="B807" t="s">
        <v>381</v>
      </c>
      <c r="C807" t="s">
        <v>302</v>
      </c>
      <c r="D807">
        <v>1995</v>
      </c>
      <c r="E807">
        <v>125</v>
      </c>
      <c r="F807" t="s">
        <v>382</v>
      </c>
      <c r="G807">
        <v>1</v>
      </c>
      <c r="H807" t="s">
        <v>304</v>
      </c>
    </row>
    <row r="808" spans="1:8">
      <c r="A808" t="str">
        <f t="shared" si="12"/>
        <v>Dorpsstraat 1b</v>
      </c>
      <c r="B808" t="s">
        <v>381</v>
      </c>
      <c r="C808" t="s">
        <v>302</v>
      </c>
      <c r="D808">
        <v>1983</v>
      </c>
      <c r="E808">
        <v>244</v>
      </c>
      <c r="F808" t="s">
        <v>382</v>
      </c>
      <c r="G808">
        <v>1</v>
      </c>
      <c r="H808" t="s">
        <v>298</v>
      </c>
    </row>
    <row r="809" spans="1:8">
      <c r="A809" t="str">
        <f t="shared" si="12"/>
        <v>Dorpsstraat 1</v>
      </c>
      <c r="B809" t="s">
        <v>381</v>
      </c>
      <c r="C809" t="s">
        <v>302</v>
      </c>
      <c r="D809">
        <v>1966</v>
      </c>
      <c r="E809">
        <v>281</v>
      </c>
      <c r="F809" t="s">
        <v>382</v>
      </c>
      <c r="G809">
        <v>1</v>
      </c>
    </row>
    <row r="810" spans="1:8">
      <c r="A810" t="str">
        <f t="shared" si="12"/>
        <v>Dorpsstraat 2a</v>
      </c>
      <c r="B810" t="s">
        <v>383</v>
      </c>
      <c r="C810" t="s">
        <v>302</v>
      </c>
      <c r="D810">
        <v>1968</v>
      </c>
      <c r="E810">
        <v>398</v>
      </c>
      <c r="F810" t="s">
        <v>382</v>
      </c>
      <c r="G810">
        <v>2</v>
      </c>
      <c r="H810" t="s">
        <v>304</v>
      </c>
    </row>
    <row r="811" spans="1:8">
      <c r="A811" t="str">
        <f t="shared" si="12"/>
        <v>Dorpsstraat 2</v>
      </c>
      <c r="B811" t="s">
        <v>383</v>
      </c>
      <c r="C811" t="s">
        <v>302</v>
      </c>
      <c r="D811">
        <v>1975</v>
      </c>
      <c r="E811">
        <v>252</v>
      </c>
      <c r="F811" t="s">
        <v>382</v>
      </c>
      <c r="G811">
        <v>2</v>
      </c>
    </row>
    <row r="812" spans="1:8">
      <c r="A812" t="str">
        <f t="shared" si="12"/>
        <v>Dorpsstraat 3a</v>
      </c>
      <c r="B812" t="s">
        <v>381</v>
      </c>
      <c r="C812" t="s">
        <v>302</v>
      </c>
      <c r="D812">
        <v>1969</v>
      </c>
      <c r="E812">
        <v>168</v>
      </c>
      <c r="F812" t="s">
        <v>382</v>
      </c>
      <c r="G812">
        <v>3</v>
      </c>
      <c r="H812" t="s">
        <v>304</v>
      </c>
    </row>
    <row r="813" spans="1:8">
      <c r="A813" t="str">
        <f t="shared" si="12"/>
        <v>Dorpsstraat 3</v>
      </c>
      <c r="B813" t="s">
        <v>381</v>
      </c>
      <c r="C813" t="s">
        <v>302</v>
      </c>
      <c r="D813">
        <v>1949</v>
      </c>
      <c r="E813">
        <v>237</v>
      </c>
      <c r="F813" t="s">
        <v>382</v>
      </c>
      <c r="G813">
        <v>3</v>
      </c>
    </row>
    <row r="814" spans="1:8">
      <c r="A814" t="str">
        <f t="shared" si="12"/>
        <v>Dorpsstraat 4a</v>
      </c>
      <c r="B814" t="s">
        <v>383</v>
      </c>
      <c r="C814" t="s">
        <v>302</v>
      </c>
      <c r="D814">
        <v>1975</v>
      </c>
      <c r="E814">
        <v>175</v>
      </c>
      <c r="F814" t="s">
        <v>382</v>
      </c>
      <c r="G814">
        <v>4</v>
      </c>
      <c r="H814" t="s">
        <v>304</v>
      </c>
    </row>
    <row r="815" spans="1:8">
      <c r="A815" t="str">
        <f t="shared" si="12"/>
        <v>Dorpsstraat 4</v>
      </c>
      <c r="B815" t="s">
        <v>383</v>
      </c>
      <c r="C815" t="s">
        <v>302</v>
      </c>
      <c r="D815">
        <v>1971</v>
      </c>
      <c r="E815">
        <v>211</v>
      </c>
      <c r="F815" t="s">
        <v>382</v>
      </c>
      <c r="G815">
        <v>4</v>
      </c>
    </row>
    <row r="816" spans="1:8">
      <c r="A816" t="str">
        <f t="shared" si="12"/>
        <v>Dorpsstraat 5</v>
      </c>
      <c r="B816" t="s">
        <v>381</v>
      </c>
      <c r="C816" t="s">
        <v>302</v>
      </c>
      <c r="D816">
        <v>1953</v>
      </c>
      <c r="E816">
        <v>135</v>
      </c>
      <c r="F816" t="s">
        <v>382</v>
      </c>
      <c r="G816">
        <v>5</v>
      </c>
    </row>
    <row r="817" spans="1:8">
      <c r="A817" t="str">
        <f t="shared" si="12"/>
        <v>Dorpsstraat 6b</v>
      </c>
      <c r="B817" t="s">
        <v>383</v>
      </c>
      <c r="C817" t="s">
        <v>302</v>
      </c>
      <c r="D817">
        <v>1997</v>
      </c>
      <c r="E817">
        <v>226</v>
      </c>
      <c r="F817" t="s">
        <v>382</v>
      </c>
      <c r="G817">
        <v>6</v>
      </c>
      <c r="H817" t="s">
        <v>298</v>
      </c>
    </row>
    <row r="818" spans="1:8">
      <c r="A818" t="str">
        <f t="shared" si="12"/>
        <v>Dorpsstraat 6</v>
      </c>
      <c r="B818" t="s">
        <v>383</v>
      </c>
      <c r="C818" t="s">
        <v>302</v>
      </c>
      <c r="D818">
        <v>1956</v>
      </c>
      <c r="E818">
        <v>132</v>
      </c>
      <c r="F818" t="s">
        <v>382</v>
      </c>
      <c r="G818">
        <v>6</v>
      </c>
    </row>
    <row r="819" spans="1:8">
      <c r="A819" t="str">
        <f t="shared" si="12"/>
        <v>Dorpsstraat 7</v>
      </c>
      <c r="B819" t="s">
        <v>381</v>
      </c>
      <c r="C819" t="s">
        <v>302</v>
      </c>
      <c r="D819">
        <v>1953</v>
      </c>
      <c r="E819">
        <v>118</v>
      </c>
      <c r="F819" t="s">
        <v>382</v>
      </c>
      <c r="G819">
        <v>7</v>
      </c>
    </row>
    <row r="820" spans="1:8">
      <c r="A820" t="str">
        <f t="shared" si="12"/>
        <v>Dorpsstraat 8a</v>
      </c>
      <c r="B820" t="s">
        <v>383</v>
      </c>
      <c r="C820" t="s">
        <v>302</v>
      </c>
      <c r="D820">
        <v>1955</v>
      </c>
      <c r="E820">
        <v>195</v>
      </c>
      <c r="F820" t="s">
        <v>382</v>
      </c>
      <c r="G820">
        <v>8</v>
      </c>
      <c r="H820" t="s">
        <v>304</v>
      </c>
    </row>
    <row r="821" spans="1:8">
      <c r="A821" t="str">
        <f t="shared" si="12"/>
        <v>Dorpsstraat 8b</v>
      </c>
      <c r="B821" t="s">
        <v>383</v>
      </c>
      <c r="C821" t="s">
        <v>302</v>
      </c>
      <c r="D821">
        <v>1984</v>
      </c>
      <c r="E821">
        <v>212</v>
      </c>
      <c r="F821" t="s">
        <v>382</v>
      </c>
      <c r="G821">
        <v>8</v>
      </c>
      <c r="H821" t="s">
        <v>298</v>
      </c>
    </row>
    <row r="822" spans="1:8">
      <c r="A822" t="str">
        <f t="shared" si="12"/>
        <v>Dorpsstraat 8</v>
      </c>
      <c r="B822" t="s">
        <v>383</v>
      </c>
      <c r="C822" t="s">
        <v>302</v>
      </c>
      <c r="D822">
        <v>1955</v>
      </c>
      <c r="E822">
        <v>187</v>
      </c>
      <c r="F822" t="s">
        <v>382</v>
      </c>
      <c r="G822">
        <v>8</v>
      </c>
    </row>
    <row r="823" spans="1:8">
      <c r="A823" t="str">
        <f t="shared" si="12"/>
        <v>Dorpsstraat 9</v>
      </c>
      <c r="B823" t="s">
        <v>381</v>
      </c>
      <c r="C823" t="s">
        <v>302</v>
      </c>
      <c r="D823">
        <v>1953</v>
      </c>
      <c r="E823">
        <v>108</v>
      </c>
      <c r="F823" t="s">
        <v>382</v>
      </c>
      <c r="G823">
        <v>9</v>
      </c>
    </row>
    <row r="824" spans="1:8">
      <c r="A824" t="str">
        <f t="shared" si="12"/>
        <v>Dorpsstraat 10a</v>
      </c>
      <c r="B824" t="s">
        <v>383</v>
      </c>
      <c r="C824" t="s">
        <v>302</v>
      </c>
      <c r="D824">
        <v>1965</v>
      </c>
      <c r="E824">
        <v>181</v>
      </c>
      <c r="F824" t="s">
        <v>382</v>
      </c>
      <c r="G824">
        <v>10</v>
      </c>
      <c r="H824" t="s">
        <v>304</v>
      </c>
    </row>
    <row r="825" spans="1:8">
      <c r="A825" t="str">
        <f t="shared" si="12"/>
        <v>Dorpsstraat 10b</v>
      </c>
      <c r="B825" t="s">
        <v>383</v>
      </c>
      <c r="C825" t="s">
        <v>302</v>
      </c>
      <c r="D825">
        <v>1992</v>
      </c>
      <c r="E825">
        <v>224</v>
      </c>
      <c r="F825" t="s">
        <v>382</v>
      </c>
      <c r="G825">
        <v>10</v>
      </c>
      <c r="H825" t="s">
        <v>298</v>
      </c>
    </row>
    <row r="826" spans="1:8">
      <c r="A826" t="str">
        <f t="shared" si="12"/>
        <v>Dorpsstraat 10</v>
      </c>
      <c r="B826" t="s">
        <v>383</v>
      </c>
      <c r="C826" t="s">
        <v>302</v>
      </c>
      <c r="D826">
        <v>1968</v>
      </c>
      <c r="E826">
        <v>102</v>
      </c>
      <c r="F826" t="s">
        <v>382</v>
      </c>
      <c r="G826">
        <v>10</v>
      </c>
    </row>
    <row r="827" spans="1:8">
      <c r="A827" t="str">
        <f t="shared" si="12"/>
        <v>Dorpsstraat 11</v>
      </c>
      <c r="B827" t="s">
        <v>381</v>
      </c>
      <c r="C827" t="s">
        <v>302</v>
      </c>
      <c r="D827">
        <v>1953</v>
      </c>
      <c r="E827">
        <v>103</v>
      </c>
      <c r="F827" t="s">
        <v>382</v>
      </c>
      <c r="G827">
        <v>11</v>
      </c>
    </row>
    <row r="828" spans="1:8">
      <c r="A828" t="str">
        <f t="shared" si="12"/>
        <v>Dorpsstraat 12a</v>
      </c>
      <c r="B828" t="s">
        <v>383</v>
      </c>
      <c r="C828" t="s">
        <v>302</v>
      </c>
      <c r="D828">
        <v>1950</v>
      </c>
      <c r="E828">
        <v>117</v>
      </c>
      <c r="F828" t="s">
        <v>382</v>
      </c>
      <c r="G828">
        <v>12</v>
      </c>
      <c r="H828" t="s">
        <v>304</v>
      </c>
    </row>
    <row r="829" spans="1:8">
      <c r="A829" t="str">
        <f t="shared" si="12"/>
        <v>Dorpsstraat 12</v>
      </c>
      <c r="B829" t="s">
        <v>383</v>
      </c>
      <c r="C829" t="s">
        <v>302</v>
      </c>
      <c r="D829">
        <v>1950</v>
      </c>
      <c r="E829">
        <v>120</v>
      </c>
      <c r="F829" t="s">
        <v>382</v>
      </c>
      <c r="G829">
        <v>12</v>
      </c>
    </row>
    <row r="830" spans="1:8">
      <c r="A830" t="str">
        <f t="shared" si="12"/>
        <v>Dorpsstraat 13</v>
      </c>
      <c r="B830" t="s">
        <v>381</v>
      </c>
      <c r="C830" t="s">
        <v>302</v>
      </c>
      <c r="D830">
        <v>1950</v>
      </c>
      <c r="E830">
        <v>164</v>
      </c>
      <c r="F830" t="s">
        <v>382</v>
      </c>
      <c r="G830">
        <v>13</v>
      </c>
    </row>
    <row r="831" spans="1:8">
      <c r="A831" t="str">
        <f t="shared" si="12"/>
        <v>Dorpsstraat 14</v>
      </c>
      <c r="B831" t="s">
        <v>383</v>
      </c>
      <c r="C831" t="s">
        <v>302</v>
      </c>
      <c r="D831">
        <v>1958</v>
      </c>
      <c r="E831">
        <v>130</v>
      </c>
      <c r="F831" t="s">
        <v>382</v>
      </c>
      <c r="G831">
        <v>14</v>
      </c>
    </row>
    <row r="832" spans="1:8">
      <c r="A832" t="str">
        <f t="shared" si="12"/>
        <v>Dorpsstraat 15</v>
      </c>
      <c r="B832" t="s">
        <v>381</v>
      </c>
      <c r="C832" t="s">
        <v>302</v>
      </c>
      <c r="D832">
        <v>1953</v>
      </c>
      <c r="E832">
        <v>116</v>
      </c>
      <c r="F832" t="s">
        <v>382</v>
      </c>
      <c r="G832">
        <v>15</v>
      </c>
    </row>
    <row r="833" spans="1:12">
      <c r="A833" t="str">
        <f t="shared" si="12"/>
        <v>Dorpsstraat 16a</v>
      </c>
      <c r="B833" t="s">
        <v>383</v>
      </c>
      <c r="C833" t="s">
        <v>302</v>
      </c>
      <c r="D833">
        <v>1951</v>
      </c>
      <c r="E833">
        <v>370</v>
      </c>
      <c r="F833" t="s">
        <v>382</v>
      </c>
      <c r="G833">
        <v>16</v>
      </c>
      <c r="H833" t="s">
        <v>304</v>
      </c>
    </row>
    <row r="834" spans="1:12">
      <c r="A834" t="str">
        <f t="shared" ref="A834:A897" si="13">CONCATENATE(F834," ",G834,H834)</f>
        <v>Dorpsstraat 16</v>
      </c>
      <c r="B834" t="s">
        <v>383</v>
      </c>
      <c r="C834" t="s">
        <v>302</v>
      </c>
      <c r="D834">
        <v>1951</v>
      </c>
      <c r="E834">
        <v>253</v>
      </c>
      <c r="F834" t="s">
        <v>382</v>
      </c>
      <c r="G834">
        <v>16</v>
      </c>
    </row>
    <row r="835" spans="1:12">
      <c r="A835" t="str">
        <f t="shared" si="13"/>
        <v>Dorpsstraat 17</v>
      </c>
      <c r="B835" t="s">
        <v>381</v>
      </c>
      <c r="C835" t="s">
        <v>302</v>
      </c>
      <c r="D835">
        <v>1953</v>
      </c>
      <c r="E835">
        <v>109</v>
      </c>
      <c r="F835" t="s">
        <v>382</v>
      </c>
      <c r="G835">
        <v>17</v>
      </c>
    </row>
    <row r="836" spans="1:12">
      <c r="A836" t="str">
        <f t="shared" si="13"/>
        <v>Dorpsstraat 18a</v>
      </c>
      <c r="B836" t="s">
        <v>384</v>
      </c>
      <c r="C836" t="s">
        <v>302</v>
      </c>
      <c r="D836">
        <v>1951</v>
      </c>
      <c r="E836">
        <v>205</v>
      </c>
      <c r="F836" t="s">
        <v>382</v>
      </c>
      <c r="G836">
        <v>18</v>
      </c>
      <c r="H836" t="s">
        <v>304</v>
      </c>
      <c r="L836" s="31"/>
    </row>
    <row r="837" spans="1:12">
      <c r="A837" t="str">
        <f t="shared" si="13"/>
        <v>Dorpsstraat 18</v>
      </c>
      <c r="B837" t="s">
        <v>384</v>
      </c>
      <c r="C837" t="s">
        <v>302</v>
      </c>
      <c r="D837">
        <v>1951</v>
      </c>
      <c r="E837">
        <v>88</v>
      </c>
      <c r="F837" t="s">
        <v>382</v>
      </c>
      <c r="G837">
        <v>18</v>
      </c>
      <c r="L837" s="31"/>
    </row>
    <row r="838" spans="1:12">
      <c r="A838" t="str">
        <f t="shared" si="13"/>
        <v>Dorpsstraat 19a</v>
      </c>
      <c r="B838" t="s">
        <v>381</v>
      </c>
      <c r="C838" t="s">
        <v>302</v>
      </c>
      <c r="D838">
        <v>1975</v>
      </c>
      <c r="E838">
        <v>151</v>
      </c>
      <c r="F838" t="s">
        <v>382</v>
      </c>
      <c r="G838">
        <v>19</v>
      </c>
      <c r="H838" t="s">
        <v>304</v>
      </c>
    </row>
    <row r="839" spans="1:12">
      <c r="A839" t="str">
        <f t="shared" si="13"/>
        <v>Dorpsstraat 19</v>
      </c>
      <c r="B839" t="s">
        <v>381</v>
      </c>
      <c r="C839" t="s">
        <v>302</v>
      </c>
      <c r="D839">
        <v>1948</v>
      </c>
      <c r="E839">
        <v>420</v>
      </c>
      <c r="F839" t="s">
        <v>382</v>
      </c>
      <c r="G839">
        <v>19</v>
      </c>
    </row>
    <row r="840" spans="1:12">
      <c r="A840" t="str">
        <f t="shared" si="13"/>
        <v>Dorpsstraat 20a</v>
      </c>
      <c r="B840" t="s">
        <v>384</v>
      </c>
      <c r="C840" t="s">
        <v>302</v>
      </c>
      <c r="D840">
        <v>1966</v>
      </c>
      <c r="E840">
        <v>601</v>
      </c>
      <c r="F840" t="s">
        <v>382</v>
      </c>
      <c r="G840">
        <v>20</v>
      </c>
      <c r="H840" t="s">
        <v>304</v>
      </c>
    </row>
    <row r="841" spans="1:12">
      <c r="A841" t="str">
        <f t="shared" si="13"/>
        <v>Dorpsstraat 20</v>
      </c>
      <c r="B841" t="s">
        <v>384</v>
      </c>
      <c r="C841" t="s">
        <v>302</v>
      </c>
      <c r="D841">
        <v>1966</v>
      </c>
      <c r="E841">
        <v>105</v>
      </c>
      <c r="F841" t="s">
        <v>382</v>
      </c>
      <c r="G841">
        <v>20</v>
      </c>
    </row>
    <row r="842" spans="1:12">
      <c r="A842" t="str">
        <f t="shared" si="13"/>
        <v>Dorpsstraat 21</v>
      </c>
      <c r="B842" t="s">
        <v>381</v>
      </c>
      <c r="C842" t="s">
        <v>302</v>
      </c>
      <c r="D842">
        <v>1975</v>
      </c>
      <c r="E842">
        <v>174</v>
      </c>
      <c r="F842" t="s">
        <v>382</v>
      </c>
      <c r="G842">
        <v>21</v>
      </c>
    </row>
    <row r="843" spans="1:12">
      <c r="A843" t="str">
        <f t="shared" si="13"/>
        <v>Dorpsstraat 22a</v>
      </c>
      <c r="B843" t="s">
        <v>384</v>
      </c>
      <c r="C843" t="s">
        <v>302</v>
      </c>
      <c r="D843">
        <v>1972</v>
      </c>
      <c r="E843">
        <v>148</v>
      </c>
      <c r="F843" t="s">
        <v>382</v>
      </c>
      <c r="G843">
        <v>22</v>
      </c>
      <c r="H843" t="s">
        <v>304</v>
      </c>
    </row>
    <row r="844" spans="1:12">
      <c r="A844" t="str">
        <f t="shared" si="13"/>
        <v>Dorpsstraat 22b</v>
      </c>
      <c r="B844" t="s">
        <v>384</v>
      </c>
      <c r="C844" t="s">
        <v>302</v>
      </c>
      <c r="D844">
        <v>1972</v>
      </c>
      <c r="E844">
        <v>139</v>
      </c>
      <c r="F844" t="s">
        <v>382</v>
      </c>
      <c r="G844">
        <v>22</v>
      </c>
      <c r="H844" t="s">
        <v>298</v>
      </c>
    </row>
    <row r="845" spans="1:12">
      <c r="A845" t="str">
        <f t="shared" si="13"/>
        <v>Dorpsstraat 22</v>
      </c>
      <c r="B845" t="s">
        <v>384</v>
      </c>
      <c r="C845" t="s">
        <v>302</v>
      </c>
      <c r="D845">
        <v>1960</v>
      </c>
      <c r="E845">
        <v>109</v>
      </c>
      <c r="F845" t="s">
        <v>382</v>
      </c>
      <c r="G845">
        <v>22</v>
      </c>
    </row>
    <row r="846" spans="1:12">
      <c r="A846" t="str">
        <f t="shared" si="13"/>
        <v>Dorpsstraat 23</v>
      </c>
      <c r="B846" t="s">
        <v>381</v>
      </c>
      <c r="C846" t="s">
        <v>302</v>
      </c>
      <c r="D846">
        <v>1969</v>
      </c>
      <c r="E846">
        <v>122</v>
      </c>
      <c r="F846" t="s">
        <v>382</v>
      </c>
      <c r="G846">
        <v>23</v>
      </c>
    </row>
    <row r="847" spans="1:12">
      <c r="A847" t="str">
        <f t="shared" si="13"/>
        <v>Dorpsstraat 24</v>
      </c>
      <c r="B847" t="s">
        <v>384</v>
      </c>
      <c r="C847" t="s">
        <v>302</v>
      </c>
      <c r="D847">
        <v>1965</v>
      </c>
      <c r="E847">
        <v>89</v>
      </c>
      <c r="F847" t="s">
        <v>382</v>
      </c>
      <c r="G847">
        <v>24</v>
      </c>
    </row>
    <row r="848" spans="1:12">
      <c r="A848" t="str">
        <f t="shared" si="13"/>
        <v>Dorpsstraat 25a</v>
      </c>
      <c r="B848" t="s">
        <v>381</v>
      </c>
      <c r="C848" t="s">
        <v>302</v>
      </c>
      <c r="D848">
        <v>1990</v>
      </c>
      <c r="E848">
        <v>140</v>
      </c>
      <c r="F848" t="s">
        <v>382</v>
      </c>
      <c r="G848">
        <v>25</v>
      </c>
      <c r="H848" t="s">
        <v>304</v>
      </c>
    </row>
    <row r="849" spans="1:8">
      <c r="A849" t="str">
        <f t="shared" si="13"/>
        <v>Dorpsstraat 25</v>
      </c>
      <c r="B849" t="s">
        <v>381</v>
      </c>
      <c r="C849" t="s">
        <v>302</v>
      </c>
      <c r="D849">
        <v>1969</v>
      </c>
      <c r="E849">
        <v>143</v>
      </c>
      <c r="F849" t="s">
        <v>382</v>
      </c>
      <c r="G849">
        <v>25</v>
      </c>
    </row>
    <row r="850" spans="1:8">
      <c r="A850" t="str">
        <f t="shared" si="13"/>
        <v>Dorpsstraat 26a</v>
      </c>
      <c r="B850" t="s">
        <v>384</v>
      </c>
      <c r="C850" t="s">
        <v>302</v>
      </c>
      <c r="D850">
        <v>1979</v>
      </c>
      <c r="E850">
        <v>163</v>
      </c>
      <c r="F850" t="s">
        <v>382</v>
      </c>
      <c r="G850">
        <v>26</v>
      </c>
      <c r="H850" t="s">
        <v>304</v>
      </c>
    </row>
    <row r="851" spans="1:8">
      <c r="A851" t="str">
        <f t="shared" si="13"/>
        <v>Dorpsstraat 26</v>
      </c>
      <c r="B851" t="s">
        <v>384</v>
      </c>
      <c r="C851" t="s">
        <v>302</v>
      </c>
      <c r="D851">
        <v>1965</v>
      </c>
      <c r="E851">
        <v>138</v>
      </c>
      <c r="F851" t="s">
        <v>382</v>
      </c>
      <c r="G851">
        <v>26</v>
      </c>
    </row>
    <row r="852" spans="1:8">
      <c r="A852" t="str">
        <f t="shared" si="13"/>
        <v>Dorpsstraat 27</v>
      </c>
      <c r="B852" t="s">
        <v>381</v>
      </c>
      <c r="C852" t="s">
        <v>302</v>
      </c>
      <c r="D852">
        <v>1947</v>
      </c>
      <c r="E852">
        <v>335</v>
      </c>
      <c r="F852" t="s">
        <v>382</v>
      </c>
      <c r="G852">
        <v>27</v>
      </c>
    </row>
    <row r="853" spans="1:8">
      <c r="A853" t="str">
        <f t="shared" si="13"/>
        <v>Dorpsstraat 28</v>
      </c>
      <c r="B853" t="s">
        <v>384</v>
      </c>
      <c r="C853" t="s">
        <v>302</v>
      </c>
      <c r="D853">
        <v>1938</v>
      </c>
      <c r="E853">
        <v>128</v>
      </c>
      <c r="F853" t="s">
        <v>382</v>
      </c>
      <c r="G853">
        <v>28</v>
      </c>
    </row>
    <row r="854" spans="1:8">
      <c r="A854" t="str">
        <f t="shared" si="13"/>
        <v>Dorpsstraat 29</v>
      </c>
      <c r="B854" t="s">
        <v>381</v>
      </c>
      <c r="C854" t="s">
        <v>302</v>
      </c>
      <c r="D854">
        <v>1962</v>
      </c>
      <c r="E854">
        <v>193</v>
      </c>
      <c r="F854" t="s">
        <v>382</v>
      </c>
      <c r="G854">
        <v>29</v>
      </c>
    </row>
    <row r="855" spans="1:8">
      <c r="A855" t="str">
        <f t="shared" si="13"/>
        <v>Dorpsstraat 30</v>
      </c>
      <c r="B855" t="s">
        <v>384</v>
      </c>
      <c r="C855" t="s">
        <v>302</v>
      </c>
      <c r="D855">
        <v>1950</v>
      </c>
      <c r="E855">
        <v>294</v>
      </c>
      <c r="F855" t="s">
        <v>382</v>
      </c>
      <c r="G855">
        <v>30</v>
      </c>
    </row>
    <row r="856" spans="1:8">
      <c r="A856" t="str">
        <f t="shared" si="13"/>
        <v>Dorpsstraat 31</v>
      </c>
      <c r="B856" t="s">
        <v>381</v>
      </c>
      <c r="C856" t="s">
        <v>302</v>
      </c>
      <c r="D856">
        <v>1962</v>
      </c>
      <c r="E856">
        <v>158</v>
      </c>
      <c r="F856" t="s">
        <v>382</v>
      </c>
      <c r="G856">
        <v>31</v>
      </c>
    </row>
    <row r="857" spans="1:8">
      <c r="A857" t="str">
        <f t="shared" si="13"/>
        <v>Dorpsstraat 32</v>
      </c>
      <c r="B857" t="s">
        <v>384</v>
      </c>
      <c r="C857" t="s">
        <v>302</v>
      </c>
      <c r="D857">
        <v>1948</v>
      </c>
      <c r="E857">
        <v>125</v>
      </c>
      <c r="F857" t="s">
        <v>382</v>
      </c>
      <c r="G857">
        <v>32</v>
      </c>
    </row>
    <row r="858" spans="1:8">
      <c r="A858" t="str">
        <f t="shared" si="13"/>
        <v>Dorpsstraat 33</v>
      </c>
      <c r="B858" t="s">
        <v>381</v>
      </c>
      <c r="C858" t="s">
        <v>302</v>
      </c>
      <c r="D858">
        <v>1962</v>
      </c>
      <c r="E858">
        <v>110</v>
      </c>
      <c r="F858" t="s">
        <v>382</v>
      </c>
      <c r="G858">
        <v>33</v>
      </c>
    </row>
    <row r="859" spans="1:8">
      <c r="A859" t="str">
        <f t="shared" si="13"/>
        <v>Dorpsstraat 34</v>
      </c>
      <c r="B859" t="s">
        <v>384</v>
      </c>
      <c r="C859" t="s">
        <v>302</v>
      </c>
      <c r="D859">
        <v>1948</v>
      </c>
      <c r="E859">
        <v>150</v>
      </c>
      <c r="F859" t="s">
        <v>382</v>
      </c>
      <c r="G859">
        <v>34</v>
      </c>
    </row>
    <row r="860" spans="1:8">
      <c r="A860" t="str">
        <f t="shared" si="13"/>
        <v>Dorpsstraat 35</v>
      </c>
      <c r="B860" t="s">
        <v>381</v>
      </c>
      <c r="C860" t="s">
        <v>302</v>
      </c>
      <c r="D860">
        <v>1965</v>
      </c>
      <c r="E860">
        <v>145</v>
      </c>
      <c r="F860" t="s">
        <v>382</v>
      </c>
      <c r="G860">
        <v>35</v>
      </c>
    </row>
    <row r="861" spans="1:8">
      <c r="A861" t="str">
        <f t="shared" si="13"/>
        <v>Dorpsstraat 36</v>
      </c>
      <c r="B861" t="s">
        <v>384</v>
      </c>
      <c r="C861" t="s">
        <v>302</v>
      </c>
      <c r="D861">
        <v>1991</v>
      </c>
      <c r="E861">
        <v>181</v>
      </c>
      <c r="F861" t="s">
        <v>382</v>
      </c>
      <c r="G861">
        <v>36</v>
      </c>
    </row>
    <row r="862" spans="1:8">
      <c r="A862" t="str">
        <f t="shared" si="13"/>
        <v>Dorpsstraat 38a</v>
      </c>
      <c r="B862" t="s">
        <v>384</v>
      </c>
      <c r="C862" t="s">
        <v>302</v>
      </c>
      <c r="D862">
        <v>1949</v>
      </c>
      <c r="E862">
        <v>104</v>
      </c>
      <c r="F862" t="s">
        <v>382</v>
      </c>
      <c r="G862">
        <v>38</v>
      </c>
      <c r="H862" t="s">
        <v>304</v>
      </c>
    </row>
    <row r="863" spans="1:8">
      <c r="A863" t="str">
        <f t="shared" si="13"/>
        <v>Dorpsstraat 38</v>
      </c>
      <c r="B863" t="s">
        <v>384</v>
      </c>
      <c r="C863" t="s">
        <v>302</v>
      </c>
      <c r="D863">
        <v>1949</v>
      </c>
      <c r="E863">
        <v>275</v>
      </c>
      <c r="F863" t="s">
        <v>382</v>
      </c>
      <c r="G863">
        <v>38</v>
      </c>
    </row>
    <row r="864" spans="1:8">
      <c r="A864" t="str">
        <f t="shared" si="13"/>
        <v>Dorpsstraat 39</v>
      </c>
      <c r="B864" t="s">
        <v>381</v>
      </c>
      <c r="C864" t="s">
        <v>302</v>
      </c>
      <c r="D864">
        <v>1955</v>
      </c>
      <c r="E864">
        <v>228</v>
      </c>
      <c r="F864" t="s">
        <v>382</v>
      </c>
      <c r="G864">
        <v>39</v>
      </c>
    </row>
    <row r="865" spans="1:8">
      <c r="A865" t="str">
        <f t="shared" si="13"/>
        <v>Dorpsstraat 40</v>
      </c>
      <c r="B865" t="s">
        <v>384</v>
      </c>
      <c r="C865" t="s">
        <v>302</v>
      </c>
      <c r="D865">
        <v>1958</v>
      </c>
      <c r="E865">
        <v>176</v>
      </c>
      <c r="F865" t="s">
        <v>382</v>
      </c>
      <c r="G865">
        <v>40</v>
      </c>
    </row>
    <row r="866" spans="1:8">
      <c r="A866" t="str">
        <f t="shared" si="13"/>
        <v>Dorpsstraat 41</v>
      </c>
      <c r="B866" t="s">
        <v>381</v>
      </c>
      <c r="C866" t="s">
        <v>302</v>
      </c>
      <c r="D866">
        <v>1947</v>
      </c>
      <c r="E866">
        <v>417</v>
      </c>
      <c r="F866" t="s">
        <v>382</v>
      </c>
      <c r="G866">
        <v>41</v>
      </c>
    </row>
    <row r="867" spans="1:8">
      <c r="A867" t="str">
        <f t="shared" si="13"/>
        <v>Dorpsstraat 42a</v>
      </c>
      <c r="B867" t="s">
        <v>384</v>
      </c>
      <c r="C867" t="s">
        <v>302</v>
      </c>
      <c r="D867">
        <v>1997</v>
      </c>
      <c r="E867">
        <v>344</v>
      </c>
      <c r="F867" t="s">
        <v>382</v>
      </c>
      <c r="G867">
        <v>42</v>
      </c>
      <c r="H867" t="s">
        <v>304</v>
      </c>
    </row>
    <row r="868" spans="1:8">
      <c r="A868" t="str">
        <f t="shared" si="13"/>
        <v>Dorpsstraat 42</v>
      </c>
      <c r="B868" t="s">
        <v>384</v>
      </c>
      <c r="C868" t="s">
        <v>302</v>
      </c>
      <c r="D868">
        <v>1950</v>
      </c>
      <c r="E868">
        <v>201</v>
      </c>
      <c r="F868" t="s">
        <v>382</v>
      </c>
      <c r="G868">
        <v>42</v>
      </c>
    </row>
    <row r="869" spans="1:8">
      <c r="A869" t="str">
        <f t="shared" si="13"/>
        <v>Dorpsstraat 44</v>
      </c>
      <c r="B869" t="s">
        <v>384</v>
      </c>
      <c r="C869" t="s">
        <v>302</v>
      </c>
      <c r="D869">
        <v>1950</v>
      </c>
      <c r="E869">
        <v>143</v>
      </c>
      <c r="F869" t="s">
        <v>382</v>
      </c>
      <c r="G869">
        <v>44</v>
      </c>
    </row>
    <row r="870" spans="1:8">
      <c r="A870" t="str">
        <f t="shared" si="13"/>
        <v>Dorpsstraat 45</v>
      </c>
      <c r="B870" t="s">
        <v>381</v>
      </c>
      <c r="C870" t="s">
        <v>302</v>
      </c>
      <c r="D870">
        <v>2011</v>
      </c>
      <c r="E870">
        <v>1105</v>
      </c>
      <c r="F870" t="s">
        <v>382</v>
      </c>
      <c r="G870">
        <v>45</v>
      </c>
    </row>
    <row r="871" spans="1:8">
      <c r="A871" t="str">
        <f t="shared" si="13"/>
        <v>Dorpsstraat 46a</v>
      </c>
      <c r="B871" t="s">
        <v>384</v>
      </c>
      <c r="C871" t="s">
        <v>302</v>
      </c>
      <c r="D871">
        <v>1960</v>
      </c>
      <c r="E871">
        <v>56</v>
      </c>
      <c r="F871" t="s">
        <v>382</v>
      </c>
      <c r="G871">
        <v>46</v>
      </c>
      <c r="H871" t="s">
        <v>304</v>
      </c>
    </row>
    <row r="872" spans="1:8">
      <c r="A872" t="str">
        <f t="shared" si="13"/>
        <v>Dorpsstraat 46</v>
      </c>
      <c r="B872" t="s">
        <v>384</v>
      </c>
      <c r="C872" t="s">
        <v>302</v>
      </c>
      <c r="D872">
        <v>1950</v>
      </c>
      <c r="E872">
        <v>123</v>
      </c>
      <c r="F872" t="s">
        <v>382</v>
      </c>
      <c r="G872">
        <v>46</v>
      </c>
    </row>
    <row r="873" spans="1:8">
      <c r="A873" t="str">
        <f t="shared" si="13"/>
        <v>Dorpsstraat 47</v>
      </c>
      <c r="B873" t="s">
        <v>327</v>
      </c>
      <c r="C873" t="s">
        <v>302</v>
      </c>
      <c r="D873">
        <v>1948</v>
      </c>
      <c r="E873">
        <v>325</v>
      </c>
      <c r="F873" t="s">
        <v>382</v>
      </c>
      <c r="G873">
        <v>47</v>
      </c>
    </row>
    <row r="874" spans="1:8">
      <c r="A874" t="str">
        <f t="shared" si="13"/>
        <v>Dorpsstraat 48a</v>
      </c>
      <c r="B874" t="s">
        <v>384</v>
      </c>
      <c r="C874" t="s">
        <v>302</v>
      </c>
      <c r="D874">
        <v>2010</v>
      </c>
      <c r="E874">
        <v>215</v>
      </c>
      <c r="F874" t="s">
        <v>382</v>
      </c>
      <c r="G874">
        <v>48</v>
      </c>
      <c r="H874" t="s">
        <v>304</v>
      </c>
    </row>
    <row r="875" spans="1:8">
      <c r="A875" t="str">
        <f t="shared" si="13"/>
        <v>Dorpsstraat 48b</v>
      </c>
      <c r="B875" t="s">
        <v>384</v>
      </c>
      <c r="C875" t="s">
        <v>302</v>
      </c>
      <c r="D875">
        <v>2010</v>
      </c>
      <c r="E875">
        <v>215</v>
      </c>
      <c r="F875" t="s">
        <v>382</v>
      </c>
      <c r="G875">
        <v>48</v>
      </c>
      <c r="H875" t="s">
        <v>298</v>
      </c>
    </row>
    <row r="876" spans="1:8">
      <c r="A876" t="str">
        <f t="shared" si="13"/>
        <v>Dorpsstraat 48</v>
      </c>
      <c r="B876" t="s">
        <v>384</v>
      </c>
      <c r="C876" t="s">
        <v>302</v>
      </c>
      <c r="D876">
        <v>1965</v>
      </c>
      <c r="E876">
        <v>118</v>
      </c>
      <c r="F876" t="s">
        <v>382</v>
      </c>
      <c r="G876">
        <v>48</v>
      </c>
    </row>
    <row r="877" spans="1:8">
      <c r="A877" t="str">
        <f t="shared" si="13"/>
        <v>Dorpsstraat 49</v>
      </c>
      <c r="B877" t="s">
        <v>327</v>
      </c>
      <c r="C877" t="s">
        <v>302</v>
      </c>
      <c r="D877">
        <v>1947</v>
      </c>
      <c r="E877">
        <v>107</v>
      </c>
      <c r="F877" t="s">
        <v>382</v>
      </c>
      <c r="G877">
        <v>49</v>
      </c>
    </row>
    <row r="878" spans="1:8">
      <c r="A878" t="str">
        <f t="shared" si="13"/>
        <v>Dorpsstraat 50</v>
      </c>
      <c r="B878" t="s">
        <v>384</v>
      </c>
      <c r="C878" t="s">
        <v>302</v>
      </c>
      <c r="D878">
        <v>1955</v>
      </c>
      <c r="E878">
        <v>199</v>
      </c>
      <c r="F878" t="s">
        <v>382</v>
      </c>
      <c r="G878">
        <v>50</v>
      </c>
    </row>
    <row r="879" spans="1:8">
      <c r="A879" t="str">
        <f t="shared" si="13"/>
        <v>Dorpsstraat 51a</v>
      </c>
      <c r="B879" t="s">
        <v>327</v>
      </c>
      <c r="C879" t="s">
        <v>302</v>
      </c>
      <c r="D879">
        <v>1971</v>
      </c>
      <c r="E879">
        <v>193</v>
      </c>
      <c r="F879" t="s">
        <v>382</v>
      </c>
      <c r="G879">
        <v>51</v>
      </c>
      <c r="H879" t="s">
        <v>304</v>
      </c>
    </row>
    <row r="880" spans="1:8">
      <c r="A880" t="str">
        <f t="shared" si="13"/>
        <v>Dorpsstraat 51</v>
      </c>
      <c r="B880" t="s">
        <v>327</v>
      </c>
      <c r="C880" t="s">
        <v>302</v>
      </c>
      <c r="D880">
        <v>1950</v>
      </c>
      <c r="E880">
        <v>238</v>
      </c>
      <c r="F880" t="s">
        <v>382</v>
      </c>
      <c r="G880">
        <v>51</v>
      </c>
    </row>
    <row r="881" spans="1:8">
      <c r="A881" t="str">
        <f t="shared" si="13"/>
        <v>Dorpsstraat 53a</v>
      </c>
      <c r="B881" t="s">
        <v>327</v>
      </c>
      <c r="C881" t="s">
        <v>302</v>
      </c>
      <c r="D881">
        <v>1960</v>
      </c>
      <c r="E881">
        <v>190</v>
      </c>
      <c r="F881" t="s">
        <v>382</v>
      </c>
      <c r="G881">
        <v>53</v>
      </c>
      <c r="H881" t="s">
        <v>304</v>
      </c>
    </row>
    <row r="882" spans="1:8">
      <c r="A882" t="str">
        <f t="shared" si="13"/>
        <v>Dorpsstraat 53</v>
      </c>
      <c r="B882" t="s">
        <v>327</v>
      </c>
      <c r="C882" t="s">
        <v>302</v>
      </c>
      <c r="D882">
        <v>1949</v>
      </c>
      <c r="E882">
        <v>309</v>
      </c>
      <c r="F882" t="s">
        <v>382</v>
      </c>
      <c r="G882">
        <v>53</v>
      </c>
    </row>
    <row r="883" spans="1:8">
      <c r="A883" t="str">
        <f t="shared" si="13"/>
        <v>Dorpsstraat 54a</v>
      </c>
      <c r="B883" t="s">
        <v>384</v>
      </c>
      <c r="C883" t="s">
        <v>302</v>
      </c>
      <c r="D883">
        <v>1970</v>
      </c>
      <c r="E883">
        <v>278</v>
      </c>
      <c r="F883" t="s">
        <v>382</v>
      </c>
      <c r="G883">
        <v>54</v>
      </c>
      <c r="H883" t="s">
        <v>304</v>
      </c>
    </row>
    <row r="884" spans="1:8">
      <c r="A884" t="str">
        <f t="shared" si="13"/>
        <v>Dorpsstraat 54</v>
      </c>
      <c r="B884" t="s">
        <v>384</v>
      </c>
      <c r="C884" t="s">
        <v>302</v>
      </c>
      <c r="D884">
        <v>1954</v>
      </c>
      <c r="E884">
        <v>159</v>
      </c>
      <c r="F884" t="s">
        <v>382</v>
      </c>
      <c r="G884">
        <v>54</v>
      </c>
    </row>
    <row r="885" spans="1:8">
      <c r="A885" t="str">
        <f t="shared" si="13"/>
        <v>Dorpsstraat 55a</v>
      </c>
      <c r="B885" t="s">
        <v>327</v>
      </c>
      <c r="C885" t="s">
        <v>302</v>
      </c>
      <c r="D885">
        <v>1972</v>
      </c>
      <c r="E885">
        <v>106</v>
      </c>
      <c r="F885" t="s">
        <v>382</v>
      </c>
      <c r="G885">
        <v>55</v>
      </c>
      <c r="H885" t="s">
        <v>304</v>
      </c>
    </row>
    <row r="886" spans="1:8">
      <c r="A886" t="str">
        <f t="shared" si="13"/>
        <v>Dorpsstraat 55</v>
      </c>
      <c r="B886" t="s">
        <v>327</v>
      </c>
      <c r="C886" t="s">
        <v>302</v>
      </c>
      <c r="D886">
        <v>1948</v>
      </c>
      <c r="E886">
        <v>313</v>
      </c>
      <c r="F886" t="s">
        <v>382</v>
      </c>
      <c r="G886">
        <v>55</v>
      </c>
    </row>
    <row r="887" spans="1:8">
      <c r="A887" t="str">
        <f t="shared" si="13"/>
        <v>Dorpsstraat 56</v>
      </c>
      <c r="B887" t="s">
        <v>384</v>
      </c>
      <c r="C887" t="s">
        <v>302</v>
      </c>
      <c r="D887">
        <v>1951</v>
      </c>
      <c r="E887">
        <v>161</v>
      </c>
      <c r="F887" t="s">
        <v>382</v>
      </c>
      <c r="G887">
        <v>56</v>
      </c>
    </row>
    <row r="888" spans="1:8">
      <c r="A888" t="str">
        <f t="shared" si="13"/>
        <v>Dorpsstraat 57a</v>
      </c>
      <c r="B888" t="s">
        <v>327</v>
      </c>
      <c r="C888" t="s">
        <v>302</v>
      </c>
      <c r="D888">
        <v>1936</v>
      </c>
      <c r="E888">
        <v>192</v>
      </c>
      <c r="F888" t="s">
        <v>382</v>
      </c>
      <c r="G888">
        <v>57</v>
      </c>
      <c r="H888" t="s">
        <v>304</v>
      </c>
    </row>
    <row r="889" spans="1:8">
      <c r="A889" t="str">
        <f t="shared" si="13"/>
        <v>Dorpsstraat 57</v>
      </c>
      <c r="B889" t="s">
        <v>327</v>
      </c>
      <c r="C889" t="s">
        <v>302</v>
      </c>
      <c r="D889">
        <v>1936</v>
      </c>
      <c r="E889">
        <v>366</v>
      </c>
      <c r="F889" t="s">
        <v>382</v>
      </c>
      <c r="G889">
        <v>57</v>
      </c>
    </row>
    <row r="890" spans="1:8">
      <c r="A890" t="str">
        <f t="shared" si="13"/>
        <v>Dorpsstraat 58</v>
      </c>
      <c r="B890" t="s">
        <v>384</v>
      </c>
      <c r="C890" t="s">
        <v>302</v>
      </c>
      <c r="D890">
        <v>2021</v>
      </c>
      <c r="E890">
        <v>122</v>
      </c>
      <c r="F890" t="s">
        <v>382</v>
      </c>
      <c r="G890">
        <v>58</v>
      </c>
    </row>
    <row r="891" spans="1:8">
      <c r="A891" t="str">
        <f t="shared" si="13"/>
        <v>Dorpsstraat 59a</v>
      </c>
      <c r="B891" t="s">
        <v>327</v>
      </c>
      <c r="C891" t="s">
        <v>302</v>
      </c>
      <c r="D891">
        <v>1950</v>
      </c>
      <c r="E891">
        <v>96</v>
      </c>
      <c r="F891" t="s">
        <v>382</v>
      </c>
      <c r="G891">
        <v>59</v>
      </c>
      <c r="H891" t="s">
        <v>304</v>
      </c>
    </row>
    <row r="892" spans="1:8">
      <c r="A892" t="str">
        <f t="shared" si="13"/>
        <v>Dorpsstraat 59</v>
      </c>
      <c r="B892" t="s">
        <v>327</v>
      </c>
      <c r="C892" t="s">
        <v>302</v>
      </c>
      <c r="D892">
        <v>1950</v>
      </c>
      <c r="E892">
        <v>208</v>
      </c>
      <c r="F892" t="s">
        <v>382</v>
      </c>
      <c r="G892">
        <v>59</v>
      </c>
    </row>
    <row r="893" spans="1:8">
      <c r="A893" t="str">
        <f t="shared" si="13"/>
        <v>Dorpsstraat 61</v>
      </c>
      <c r="B893" t="s">
        <v>327</v>
      </c>
      <c r="C893" t="s">
        <v>302</v>
      </c>
      <c r="D893">
        <v>1981</v>
      </c>
      <c r="E893">
        <v>250</v>
      </c>
      <c r="F893" t="s">
        <v>382</v>
      </c>
      <c r="G893">
        <v>61</v>
      </c>
    </row>
    <row r="894" spans="1:8">
      <c r="A894" t="str">
        <f t="shared" si="13"/>
        <v>Dorpsstraat 63a</v>
      </c>
      <c r="B894" t="s">
        <v>327</v>
      </c>
      <c r="C894" t="s">
        <v>302</v>
      </c>
      <c r="D894">
        <v>1987</v>
      </c>
      <c r="E894">
        <v>180</v>
      </c>
      <c r="F894" t="s">
        <v>382</v>
      </c>
      <c r="G894">
        <v>63</v>
      </c>
      <c r="H894" t="s">
        <v>304</v>
      </c>
    </row>
    <row r="895" spans="1:8">
      <c r="A895" t="str">
        <f t="shared" si="13"/>
        <v>Dorpsstraat 63b</v>
      </c>
      <c r="B895" t="s">
        <v>327</v>
      </c>
      <c r="C895" t="s">
        <v>302</v>
      </c>
      <c r="D895">
        <v>1974</v>
      </c>
      <c r="E895">
        <v>9</v>
      </c>
      <c r="F895" t="s">
        <v>382</v>
      </c>
      <c r="G895">
        <v>63</v>
      </c>
      <c r="H895" t="s">
        <v>298</v>
      </c>
    </row>
    <row r="896" spans="1:8">
      <c r="A896" t="str">
        <f t="shared" si="13"/>
        <v>Dorpsstraat 63c</v>
      </c>
      <c r="B896" t="s">
        <v>327</v>
      </c>
      <c r="C896" t="s">
        <v>302</v>
      </c>
      <c r="D896">
        <v>1999</v>
      </c>
      <c r="E896">
        <v>72</v>
      </c>
      <c r="F896" t="s">
        <v>382</v>
      </c>
      <c r="G896">
        <v>63</v>
      </c>
      <c r="H896" t="s">
        <v>299</v>
      </c>
    </row>
    <row r="897" spans="1:7">
      <c r="A897" t="str">
        <f t="shared" si="13"/>
        <v>Dorpsstraat 63</v>
      </c>
      <c r="B897" t="s">
        <v>327</v>
      </c>
      <c r="C897" t="s">
        <v>302</v>
      </c>
      <c r="D897">
        <v>1980</v>
      </c>
      <c r="E897">
        <v>209</v>
      </c>
      <c r="F897" t="s">
        <v>382</v>
      </c>
      <c r="G897">
        <v>63</v>
      </c>
    </row>
    <row r="898" spans="1:7">
      <c r="A898" t="str">
        <f t="shared" ref="A898:A961" si="14">CONCATENATE(F898," ",G898,H898)</f>
        <v>Dorpsstraat 65</v>
      </c>
      <c r="B898" t="s">
        <v>327</v>
      </c>
      <c r="C898" t="s">
        <v>302</v>
      </c>
      <c r="D898">
        <v>1917</v>
      </c>
      <c r="E898">
        <v>227</v>
      </c>
      <c r="F898" t="s">
        <v>382</v>
      </c>
      <c r="G898">
        <v>65</v>
      </c>
    </row>
    <row r="899" spans="1:7">
      <c r="A899" t="str">
        <f t="shared" si="14"/>
        <v>Drostambtstraat 2</v>
      </c>
      <c r="B899" t="s">
        <v>385</v>
      </c>
      <c r="C899" t="s">
        <v>302</v>
      </c>
      <c r="D899">
        <v>2020</v>
      </c>
      <c r="E899">
        <v>132</v>
      </c>
      <c r="F899" t="s">
        <v>386</v>
      </c>
      <c r="G899">
        <v>2</v>
      </c>
    </row>
    <row r="900" spans="1:7">
      <c r="A900" t="str">
        <f t="shared" si="14"/>
        <v>Drostambtstraat 4</v>
      </c>
      <c r="B900" t="s">
        <v>385</v>
      </c>
      <c r="C900" t="s">
        <v>302</v>
      </c>
      <c r="D900">
        <v>2020</v>
      </c>
      <c r="E900">
        <v>128</v>
      </c>
      <c r="F900" t="s">
        <v>386</v>
      </c>
      <c r="G900">
        <v>4</v>
      </c>
    </row>
    <row r="901" spans="1:7">
      <c r="A901" t="str">
        <f t="shared" si="14"/>
        <v>Drostambtstraat 6</v>
      </c>
      <c r="B901" t="s">
        <v>385</v>
      </c>
      <c r="C901" t="s">
        <v>302</v>
      </c>
      <c r="D901">
        <v>2020</v>
      </c>
      <c r="E901">
        <v>172</v>
      </c>
      <c r="F901" t="s">
        <v>386</v>
      </c>
      <c r="G901">
        <v>6</v>
      </c>
    </row>
    <row r="902" spans="1:7">
      <c r="A902" t="str">
        <f t="shared" si="14"/>
        <v>Drostambtstraat 8</v>
      </c>
      <c r="B902" t="s">
        <v>385</v>
      </c>
      <c r="C902" t="s">
        <v>302</v>
      </c>
      <c r="D902">
        <v>2020</v>
      </c>
      <c r="E902">
        <v>140</v>
      </c>
      <c r="F902" t="s">
        <v>386</v>
      </c>
      <c r="G902">
        <v>8</v>
      </c>
    </row>
    <row r="903" spans="1:7">
      <c r="A903" t="str">
        <f t="shared" si="14"/>
        <v>Eikenlaan 1</v>
      </c>
      <c r="B903" t="s">
        <v>387</v>
      </c>
      <c r="C903" t="s">
        <v>296</v>
      </c>
      <c r="D903">
        <v>1972</v>
      </c>
      <c r="E903">
        <v>179</v>
      </c>
      <c r="F903" t="s">
        <v>388</v>
      </c>
      <c r="G903">
        <v>1</v>
      </c>
    </row>
    <row r="904" spans="1:7">
      <c r="A904" t="str">
        <f t="shared" si="14"/>
        <v>Eikenlaan 2</v>
      </c>
      <c r="B904" t="s">
        <v>389</v>
      </c>
      <c r="C904" t="s">
        <v>296</v>
      </c>
      <c r="D904">
        <v>2014</v>
      </c>
      <c r="E904">
        <v>139</v>
      </c>
      <c r="F904" t="s">
        <v>388</v>
      </c>
      <c r="G904">
        <v>2</v>
      </c>
    </row>
    <row r="905" spans="1:7">
      <c r="A905" t="str">
        <f t="shared" si="14"/>
        <v>Eikenlaan 3</v>
      </c>
      <c r="B905" t="s">
        <v>387</v>
      </c>
      <c r="C905" t="s">
        <v>296</v>
      </c>
      <c r="D905">
        <v>1972</v>
      </c>
      <c r="E905">
        <v>176</v>
      </c>
      <c r="F905" t="s">
        <v>388</v>
      </c>
      <c r="G905">
        <v>3</v>
      </c>
    </row>
    <row r="906" spans="1:7">
      <c r="A906" t="str">
        <f t="shared" si="14"/>
        <v>Eikenlaan 4</v>
      </c>
      <c r="B906" t="s">
        <v>389</v>
      </c>
      <c r="C906" t="s">
        <v>296</v>
      </c>
      <c r="D906">
        <v>2014</v>
      </c>
      <c r="E906">
        <v>139</v>
      </c>
      <c r="F906" t="s">
        <v>388</v>
      </c>
      <c r="G906">
        <v>4</v>
      </c>
    </row>
    <row r="907" spans="1:7">
      <c r="A907" t="str">
        <f t="shared" si="14"/>
        <v>Eikenlaan 5</v>
      </c>
      <c r="B907" t="s">
        <v>387</v>
      </c>
      <c r="C907" t="s">
        <v>296</v>
      </c>
      <c r="D907">
        <v>1972</v>
      </c>
      <c r="E907">
        <v>157</v>
      </c>
      <c r="F907" t="s">
        <v>388</v>
      </c>
      <c r="G907">
        <v>5</v>
      </c>
    </row>
    <row r="908" spans="1:7">
      <c r="A908" t="str">
        <f t="shared" si="14"/>
        <v>Eikenlaan 6</v>
      </c>
      <c r="B908" t="s">
        <v>389</v>
      </c>
      <c r="C908" t="s">
        <v>296</v>
      </c>
      <c r="D908">
        <v>2014</v>
      </c>
      <c r="E908">
        <v>139</v>
      </c>
      <c r="F908" t="s">
        <v>388</v>
      </c>
      <c r="G908">
        <v>6</v>
      </c>
    </row>
    <row r="909" spans="1:7">
      <c r="A909" t="str">
        <f t="shared" si="14"/>
        <v>Eikenlaan 7</v>
      </c>
      <c r="B909" t="s">
        <v>387</v>
      </c>
      <c r="C909" t="s">
        <v>296</v>
      </c>
      <c r="D909">
        <v>1972</v>
      </c>
      <c r="E909">
        <v>157</v>
      </c>
      <c r="F909" t="s">
        <v>388</v>
      </c>
      <c r="G909">
        <v>7</v>
      </c>
    </row>
    <row r="910" spans="1:7">
      <c r="A910" t="str">
        <f t="shared" si="14"/>
        <v>Eikenlaan 8</v>
      </c>
      <c r="B910" t="s">
        <v>389</v>
      </c>
      <c r="C910" t="s">
        <v>296</v>
      </c>
      <c r="D910">
        <v>2014</v>
      </c>
      <c r="E910">
        <v>139</v>
      </c>
      <c r="F910" t="s">
        <v>388</v>
      </c>
      <c r="G910">
        <v>8</v>
      </c>
    </row>
    <row r="911" spans="1:7">
      <c r="A911" t="str">
        <f t="shared" si="14"/>
        <v>Eikenlaan 9</v>
      </c>
      <c r="B911" t="s">
        <v>387</v>
      </c>
      <c r="C911" t="s">
        <v>296</v>
      </c>
      <c r="D911">
        <v>1972</v>
      </c>
      <c r="E911">
        <v>158</v>
      </c>
      <c r="F911" t="s">
        <v>388</v>
      </c>
      <c r="G911">
        <v>9</v>
      </c>
    </row>
    <row r="912" spans="1:7">
      <c r="A912" t="str">
        <f t="shared" si="14"/>
        <v>Eikenlaan 10</v>
      </c>
      <c r="B912" t="s">
        <v>389</v>
      </c>
      <c r="C912" t="s">
        <v>296</v>
      </c>
      <c r="D912">
        <v>2014</v>
      </c>
      <c r="E912">
        <v>139</v>
      </c>
      <c r="F912" t="s">
        <v>388</v>
      </c>
      <c r="G912">
        <v>10</v>
      </c>
    </row>
    <row r="913" spans="1:7">
      <c r="A913" t="str">
        <f t="shared" si="14"/>
        <v>Eikenlaan 11</v>
      </c>
      <c r="B913" t="s">
        <v>387</v>
      </c>
      <c r="C913" t="s">
        <v>296</v>
      </c>
      <c r="D913">
        <v>1972</v>
      </c>
      <c r="E913">
        <v>159</v>
      </c>
      <c r="F913" t="s">
        <v>388</v>
      </c>
      <c r="G913">
        <v>11</v>
      </c>
    </row>
    <row r="914" spans="1:7">
      <c r="A914" t="str">
        <f t="shared" si="14"/>
        <v>Eikenlaan 12</v>
      </c>
      <c r="B914" t="s">
        <v>389</v>
      </c>
      <c r="C914" t="s">
        <v>296</v>
      </c>
      <c r="D914">
        <v>2014</v>
      </c>
      <c r="E914">
        <v>139</v>
      </c>
      <c r="F914" t="s">
        <v>388</v>
      </c>
      <c r="G914">
        <v>12</v>
      </c>
    </row>
    <row r="915" spans="1:7">
      <c r="A915" t="str">
        <f t="shared" si="14"/>
        <v>Eikenlaan 13</v>
      </c>
      <c r="B915" t="s">
        <v>387</v>
      </c>
      <c r="C915" t="s">
        <v>296</v>
      </c>
      <c r="D915">
        <v>1972</v>
      </c>
      <c r="E915">
        <v>180</v>
      </c>
      <c r="F915" t="s">
        <v>388</v>
      </c>
      <c r="G915">
        <v>13</v>
      </c>
    </row>
    <row r="916" spans="1:7">
      <c r="A916" t="str">
        <f t="shared" si="14"/>
        <v>Eikenlaan 14</v>
      </c>
      <c r="B916" t="s">
        <v>389</v>
      </c>
      <c r="C916" t="s">
        <v>296</v>
      </c>
      <c r="D916">
        <v>2014</v>
      </c>
      <c r="E916">
        <v>139</v>
      </c>
      <c r="F916" t="s">
        <v>388</v>
      </c>
      <c r="G916">
        <v>14</v>
      </c>
    </row>
    <row r="917" spans="1:7">
      <c r="A917" t="str">
        <f t="shared" si="14"/>
        <v>Eikenlaan 15</v>
      </c>
      <c r="B917" t="s">
        <v>387</v>
      </c>
      <c r="C917" t="s">
        <v>296</v>
      </c>
      <c r="D917">
        <v>1972</v>
      </c>
      <c r="E917">
        <v>157</v>
      </c>
      <c r="F917" t="s">
        <v>388</v>
      </c>
      <c r="G917">
        <v>15</v>
      </c>
    </row>
    <row r="918" spans="1:7">
      <c r="A918" t="str">
        <f t="shared" si="14"/>
        <v>Eikenlaan 16</v>
      </c>
      <c r="B918" t="s">
        <v>389</v>
      </c>
      <c r="C918" t="s">
        <v>296</v>
      </c>
      <c r="D918">
        <v>2014</v>
      </c>
      <c r="E918">
        <v>104</v>
      </c>
      <c r="F918" t="s">
        <v>388</v>
      </c>
      <c r="G918">
        <v>16</v>
      </c>
    </row>
    <row r="919" spans="1:7">
      <c r="A919" t="str">
        <f t="shared" si="14"/>
        <v>Eikenlaan 18</v>
      </c>
      <c r="B919" t="s">
        <v>389</v>
      </c>
      <c r="C919" t="s">
        <v>296</v>
      </c>
      <c r="D919">
        <v>2014</v>
      </c>
      <c r="E919">
        <v>104</v>
      </c>
      <c r="F919" t="s">
        <v>388</v>
      </c>
      <c r="G919">
        <v>18</v>
      </c>
    </row>
    <row r="920" spans="1:7">
      <c r="A920" t="str">
        <f t="shared" si="14"/>
        <v>Eikenlaan 20</v>
      </c>
      <c r="B920" t="s">
        <v>389</v>
      </c>
      <c r="C920" t="s">
        <v>296</v>
      </c>
      <c r="D920">
        <v>2014</v>
      </c>
      <c r="E920">
        <v>104</v>
      </c>
      <c r="F920" t="s">
        <v>388</v>
      </c>
      <c r="G920">
        <v>20</v>
      </c>
    </row>
    <row r="921" spans="1:7">
      <c r="A921" t="str">
        <f t="shared" si="14"/>
        <v>Eikenlaan 22</v>
      </c>
      <c r="B921" t="s">
        <v>389</v>
      </c>
      <c r="C921" t="s">
        <v>296</v>
      </c>
      <c r="D921">
        <v>2014</v>
      </c>
      <c r="E921">
        <v>104</v>
      </c>
      <c r="F921" t="s">
        <v>388</v>
      </c>
      <c r="G921">
        <v>22</v>
      </c>
    </row>
    <row r="922" spans="1:7">
      <c r="A922" t="str">
        <f t="shared" si="14"/>
        <v>Eikenlaan 23</v>
      </c>
      <c r="B922" t="s">
        <v>387</v>
      </c>
      <c r="C922" t="s">
        <v>296</v>
      </c>
      <c r="D922">
        <v>1972</v>
      </c>
      <c r="E922">
        <v>192</v>
      </c>
      <c r="F922" t="s">
        <v>388</v>
      </c>
      <c r="G922">
        <v>23</v>
      </c>
    </row>
    <row r="923" spans="1:7">
      <c r="A923" t="str">
        <f t="shared" si="14"/>
        <v>Eikenlaan 25</v>
      </c>
      <c r="B923" t="s">
        <v>387</v>
      </c>
      <c r="C923" t="s">
        <v>296</v>
      </c>
      <c r="D923">
        <v>1972</v>
      </c>
      <c r="E923">
        <v>168</v>
      </c>
      <c r="F923" t="s">
        <v>388</v>
      </c>
      <c r="G923">
        <v>25</v>
      </c>
    </row>
    <row r="924" spans="1:7">
      <c r="A924" t="str">
        <f t="shared" si="14"/>
        <v>Eikenlaan 27</v>
      </c>
      <c r="B924" t="s">
        <v>387</v>
      </c>
      <c r="C924" t="s">
        <v>296</v>
      </c>
      <c r="D924">
        <v>1970</v>
      </c>
      <c r="E924">
        <v>139</v>
      </c>
      <c r="F924" t="s">
        <v>388</v>
      </c>
      <c r="G924">
        <v>27</v>
      </c>
    </row>
    <row r="925" spans="1:7">
      <c r="A925" t="str">
        <f t="shared" si="14"/>
        <v>Eikenlaan 29</v>
      </c>
      <c r="B925" t="s">
        <v>387</v>
      </c>
      <c r="C925" t="s">
        <v>296</v>
      </c>
      <c r="D925">
        <v>1970</v>
      </c>
      <c r="E925">
        <v>139</v>
      </c>
      <c r="F925" t="s">
        <v>388</v>
      </c>
      <c r="G925">
        <v>29</v>
      </c>
    </row>
    <row r="926" spans="1:7">
      <c r="A926" t="str">
        <f t="shared" si="14"/>
        <v>Eikenlaan 31</v>
      </c>
      <c r="B926" t="s">
        <v>387</v>
      </c>
      <c r="C926" t="s">
        <v>296</v>
      </c>
      <c r="D926">
        <v>1970</v>
      </c>
      <c r="E926">
        <v>133</v>
      </c>
      <c r="F926" t="s">
        <v>388</v>
      </c>
      <c r="G926">
        <v>31</v>
      </c>
    </row>
    <row r="927" spans="1:7">
      <c r="A927" t="str">
        <f t="shared" si="14"/>
        <v>Eikenlaan 33</v>
      </c>
      <c r="B927" t="s">
        <v>387</v>
      </c>
      <c r="C927" t="s">
        <v>296</v>
      </c>
      <c r="D927">
        <v>1970</v>
      </c>
      <c r="E927">
        <v>133</v>
      </c>
      <c r="F927" t="s">
        <v>388</v>
      </c>
      <c r="G927">
        <v>33</v>
      </c>
    </row>
    <row r="928" spans="1:7">
      <c r="A928" t="str">
        <f t="shared" si="14"/>
        <v>Eikenlaan 35</v>
      </c>
      <c r="B928" t="s">
        <v>387</v>
      </c>
      <c r="C928" t="s">
        <v>296</v>
      </c>
      <c r="D928">
        <v>1970</v>
      </c>
      <c r="E928">
        <v>133</v>
      </c>
      <c r="F928" t="s">
        <v>388</v>
      </c>
      <c r="G928">
        <v>35</v>
      </c>
    </row>
    <row r="929" spans="1:7">
      <c r="A929" t="str">
        <f t="shared" si="14"/>
        <v>Eikenlaan 37</v>
      </c>
      <c r="B929" t="s">
        <v>390</v>
      </c>
      <c r="C929" t="s">
        <v>296</v>
      </c>
      <c r="D929">
        <v>1970</v>
      </c>
      <c r="E929">
        <v>133</v>
      </c>
      <c r="F929" t="s">
        <v>388</v>
      </c>
      <c r="G929">
        <v>37</v>
      </c>
    </row>
    <row r="930" spans="1:7">
      <c r="A930" t="str">
        <f t="shared" si="14"/>
        <v>Eikenlaan 39</v>
      </c>
      <c r="B930" t="s">
        <v>390</v>
      </c>
      <c r="C930" t="s">
        <v>296</v>
      </c>
      <c r="D930">
        <v>1970</v>
      </c>
      <c r="E930">
        <v>133</v>
      </c>
      <c r="F930" t="s">
        <v>388</v>
      </c>
      <c r="G930">
        <v>39</v>
      </c>
    </row>
    <row r="931" spans="1:7">
      <c r="A931" t="str">
        <f t="shared" si="14"/>
        <v>Eikenlaan 41</v>
      </c>
      <c r="B931" t="s">
        <v>390</v>
      </c>
      <c r="C931" t="s">
        <v>296</v>
      </c>
      <c r="D931">
        <v>1970</v>
      </c>
      <c r="E931">
        <v>131</v>
      </c>
      <c r="F931" t="s">
        <v>388</v>
      </c>
      <c r="G931">
        <v>41</v>
      </c>
    </row>
    <row r="932" spans="1:7">
      <c r="A932" t="str">
        <f t="shared" si="14"/>
        <v>Eikenlaan 43</v>
      </c>
      <c r="B932" t="s">
        <v>390</v>
      </c>
      <c r="C932" t="s">
        <v>296</v>
      </c>
      <c r="D932">
        <v>1970</v>
      </c>
      <c r="E932">
        <v>165</v>
      </c>
      <c r="F932" t="s">
        <v>388</v>
      </c>
      <c r="G932">
        <v>43</v>
      </c>
    </row>
    <row r="933" spans="1:7">
      <c r="A933" t="str">
        <f t="shared" si="14"/>
        <v>Eikenlaan 45</v>
      </c>
      <c r="B933" t="s">
        <v>390</v>
      </c>
      <c r="C933" t="s">
        <v>296</v>
      </c>
      <c r="D933">
        <v>1970</v>
      </c>
      <c r="E933">
        <v>133</v>
      </c>
      <c r="F933" t="s">
        <v>388</v>
      </c>
      <c r="G933">
        <v>45</v>
      </c>
    </row>
    <row r="934" spans="1:7">
      <c r="A934" t="str">
        <f t="shared" si="14"/>
        <v>Eikenlaan 47</v>
      </c>
      <c r="B934" t="s">
        <v>390</v>
      </c>
      <c r="C934" t="s">
        <v>296</v>
      </c>
      <c r="D934">
        <v>1970</v>
      </c>
      <c r="E934">
        <v>184</v>
      </c>
      <c r="F934" t="s">
        <v>388</v>
      </c>
      <c r="G934">
        <v>47</v>
      </c>
    </row>
    <row r="935" spans="1:7">
      <c r="A935" t="str">
        <f t="shared" si="14"/>
        <v>Eikenlaan 49</v>
      </c>
      <c r="B935" t="s">
        <v>390</v>
      </c>
      <c r="C935" t="s">
        <v>296</v>
      </c>
      <c r="D935">
        <v>1970</v>
      </c>
      <c r="E935">
        <v>143</v>
      </c>
      <c r="F935" t="s">
        <v>388</v>
      </c>
      <c r="G935">
        <v>49</v>
      </c>
    </row>
    <row r="936" spans="1:7">
      <c r="A936" t="str">
        <f t="shared" si="14"/>
        <v>Eikenlaan 51</v>
      </c>
      <c r="B936" t="s">
        <v>390</v>
      </c>
      <c r="C936" t="s">
        <v>296</v>
      </c>
      <c r="D936">
        <v>1970</v>
      </c>
      <c r="E936">
        <v>134</v>
      </c>
      <c r="F936" t="s">
        <v>388</v>
      </c>
      <c r="G936">
        <v>51</v>
      </c>
    </row>
    <row r="937" spans="1:7">
      <c r="A937" t="str">
        <f t="shared" si="14"/>
        <v>Eikenlaan 53</v>
      </c>
      <c r="B937" t="s">
        <v>390</v>
      </c>
      <c r="C937" t="s">
        <v>296</v>
      </c>
      <c r="D937">
        <v>1970</v>
      </c>
      <c r="E937">
        <v>145</v>
      </c>
      <c r="F937" t="s">
        <v>388</v>
      </c>
      <c r="G937">
        <v>53</v>
      </c>
    </row>
    <row r="938" spans="1:7">
      <c r="A938" t="str">
        <f t="shared" si="14"/>
        <v>Eikenlaan 55</v>
      </c>
      <c r="B938" t="s">
        <v>390</v>
      </c>
      <c r="C938" t="s">
        <v>296</v>
      </c>
      <c r="D938">
        <v>1970</v>
      </c>
      <c r="E938">
        <v>139</v>
      </c>
      <c r="F938" t="s">
        <v>388</v>
      </c>
      <c r="G938">
        <v>55</v>
      </c>
    </row>
    <row r="939" spans="1:7">
      <c r="A939" t="str">
        <f t="shared" si="14"/>
        <v>Eikenlaan 57</v>
      </c>
      <c r="B939" t="s">
        <v>390</v>
      </c>
      <c r="C939" t="s">
        <v>296</v>
      </c>
      <c r="D939">
        <v>1970</v>
      </c>
      <c r="E939">
        <v>148</v>
      </c>
      <c r="F939" t="s">
        <v>388</v>
      </c>
      <c r="G939">
        <v>57</v>
      </c>
    </row>
    <row r="940" spans="1:7">
      <c r="A940" t="str">
        <f t="shared" si="14"/>
        <v>Eikenlaan 59</v>
      </c>
      <c r="B940" t="s">
        <v>390</v>
      </c>
      <c r="C940" t="s">
        <v>296</v>
      </c>
      <c r="D940">
        <v>1970</v>
      </c>
      <c r="E940">
        <v>147</v>
      </c>
      <c r="F940" t="s">
        <v>388</v>
      </c>
      <c r="G940">
        <v>59</v>
      </c>
    </row>
    <row r="941" spans="1:7">
      <c r="A941" t="str">
        <f t="shared" si="14"/>
        <v>Eikenlaan 61</v>
      </c>
      <c r="B941" t="s">
        <v>390</v>
      </c>
      <c r="C941" t="s">
        <v>296</v>
      </c>
      <c r="D941">
        <v>1970</v>
      </c>
      <c r="E941">
        <v>146</v>
      </c>
      <c r="F941" t="s">
        <v>388</v>
      </c>
      <c r="G941">
        <v>61</v>
      </c>
    </row>
    <row r="942" spans="1:7">
      <c r="A942" t="str">
        <f t="shared" si="14"/>
        <v>Eikenlaan 63</v>
      </c>
      <c r="B942" t="s">
        <v>390</v>
      </c>
      <c r="C942" t="s">
        <v>296</v>
      </c>
      <c r="D942">
        <v>1970</v>
      </c>
      <c r="E942">
        <v>190</v>
      </c>
      <c r="F942" t="s">
        <v>388</v>
      </c>
      <c r="G942">
        <v>63</v>
      </c>
    </row>
    <row r="943" spans="1:7">
      <c r="A943" t="str">
        <f t="shared" si="14"/>
        <v>Eikenlaan 65</v>
      </c>
      <c r="B943" t="s">
        <v>390</v>
      </c>
      <c r="C943" t="s">
        <v>296</v>
      </c>
      <c r="D943">
        <v>1970</v>
      </c>
      <c r="E943">
        <v>151</v>
      </c>
      <c r="F943" t="s">
        <v>388</v>
      </c>
      <c r="G943">
        <v>65</v>
      </c>
    </row>
    <row r="944" spans="1:7">
      <c r="A944" t="str">
        <f t="shared" si="14"/>
        <v>Eindweg 2</v>
      </c>
      <c r="B944" t="s">
        <v>391</v>
      </c>
      <c r="C944" t="s">
        <v>302</v>
      </c>
      <c r="D944">
        <v>1958</v>
      </c>
      <c r="E944">
        <v>125</v>
      </c>
      <c r="F944" t="s">
        <v>392</v>
      </c>
      <c r="G944">
        <v>2</v>
      </c>
    </row>
    <row r="945" spans="1:8">
      <c r="A945" t="str">
        <f t="shared" si="14"/>
        <v>Eindweg 3</v>
      </c>
      <c r="B945" t="s">
        <v>391</v>
      </c>
      <c r="C945" t="s">
        <v>302</v>
      </c>
      <c r="D945">
        <v>1947</v>
      </c>
      <c r="E945">
        <v>135</v>
      </c>
      <c r="F945" t="s">
        <v>392</v>
      </c>
      <c r="G945">
        <v>3</v>
      </c>
    </row>
    <row r="946" spans="1:8">
      <c r="A946" t="str">
        <f t="shared" si="14"/>
        <v>Eindweg 4</v>
      </c>
      <c r="B946" t="s">
        <v>391</v>
      </c>
      <c r="C946" t="s">
        <v>302</v>
      </c>
      <c r="D946">
        <v>1958</v>
      </c>
      <c r="E946">
        <v>111</v>
      </c>
      <c r="F946" t="s">
        <v>392</v>
      </c>
      <c r="G946">
        <v>4</v>
      </c>
    </row>
    <row r="947" spans="1:8">
      <c r="A947" t="str">
        <f t="shared" si="14"/>
        <v>Eindweg 5</v>
      </c>
      <c r="B947" t="s">
        <v>391</v>
      </c>
      <c r="C947" t="s">
        <v>302</v>
      </c>
      <c r="D947">
        <v>1947</v>
      </c>
      <c r="E947">
        <v>160</v>
      </c>
      <c r="F947" t="s">
        <v>392</v>
      </c>
      <c r="G947">
        <v>5</v>
      </c>
    </row>
    <row r="948" spans="1:8">
      <c r="A948" t="str">
        <f t="shared" si="14"/>
        <v>Eindweg 6</v>
      </c>
      <c r="B948" t="s">
        <v>391</v>
      </c>
      <c r="C948" t="s">
        <v>302</v>
      </c>
      <c r="D948">
        <v>1900</v>
      </c>
      <c r="E948">
        <v>9</v>
      </c>
      <c r="F948" t="s">
        <v>392</v>
      </c>
      <c r="G948">
        <v>6</v>
      </c>
    </row>
    <row r="949" spans="1:8">
      <c r="A949" t="str">
        <f t="shared" si="14"/>
        <v>Eindweg 7a</v>
      </c>
      <c r="B949" t="s">
        <v>391</v>
      </c>
      <c r="C949" t="s">
        <v>302</v>
      </c>
      <c r="D949">
        <v>2022</v>
      </c>
      <c r="E949">
        <v>45</v>
      </c>
      <c r="F949" t="s">
        <v>392</v>
      </c>
      <c r="G949">
        <v>7</v>
      </c>
      <c r="H949" t="s">
        <v>304</v>
      </c>
    </row>
    <row r="950" spans="1:8">
      <c r="A950" t="str">
        <f t="shared" si="14"/>
        <v>Eindweg 7a</v>
      </c>
      <c r="C950" t="s">
        <v>302</v>
      </c>
      <c r="D950">
        <v>2022</v>
      </c>
      <c r="E950">
        <v>340</v>
      </c>
      <c r="F950" t="s">
        <v>392</v>
      </c>
      <c r="G950">
        <v>7</v>
      </c>
      <c r="H950" t="s">
        <v>304</v>
      </c>
    </row>
    <row r="951" spans="1:8">
      <c r="A951" t="str">
        <f t="shared" si="14"/>
        <v>Eindweg 7b</v>
      </c>
      <c r="B951" t="s">
        <v>391</v>
      </c>
      <c r="C951" t="s">
        <v>302</v>
      </c>
      <c r="D951">
        <v>2022</v>
      </c>
      <c r="E951">
        <v>189</v>
      </c>
      <c r="F951" t="s">
        <v>392</v>
      </c>
      <c r="G951">
        <v>7</v>
      </c>
      <c r="H951" t="s">
        <v>298</v>
      </c>
    </row>
    <row r="952" spans="1:8">
      <c r="A952" t="str">
        <f t="shared" si="14"/>
        <v>Eindweg 8</v>
      </c>
      <c r="B952" t="s">
        <v>391</v>
      </c>
      <c r="C952" t="s">
        <v>302</v>
      </c>
      <c r="D952">
        <v>1950</v>
      </c>
      <c r="E952">
        <v>190</v>
      </c>
      <c r="F952" t="s">
        <v>392</v>
      </c>
      <c r="G952">
        <v>8</v>
      </c>
    </row>
    <row r="953" spans="1:8">
      <c r="A953" t="str">
        <f t="shared" si="14"/>
        <v>Eindweg 9a</v>
      </c>
      <c r="B953" t="s">
        <v>391</v>
      </c>
      <c r="C953" t="s">
        <v>302</v>
      </c>
      <c r="D953">
        <v>1950</v>
      </c>
      <c r="E953">
        <v>142</v>
      </c>
      <c r="F953" t="s">
        <v>392</v>
      </c>
      <c r="G953">
        <v>9</v>
      </c>
      <c r="H953" t="s">
        <v>304</v>
      </c>
    </row>
    <row r="954" spans="1:8">
      <c r="A954" t="str">
        <f t="shared" si="14"/>
        <v>Eindweg 9b</v>
      </c>
      <c r="B954" t="s">
        <v>391</v>
      </c>
      <c r="C954" t="s">
        <v>302</v>
      </c>
      <c r="D954">
        <v>1950</v>
      </c>
      <c r="E954">
        <v>212</v>
      </c>
      <c r="F954" t="s">
        <v>392</v>
      </c>
      <c r="G954">
        <v>9</v>
      </c>
      <c r="H954" t="s">
        <v>298</v>
      </c>
    </row>
    <row r="955" spans="1:8">
      <c r="A955" t="str">
        <f t="shared" si="14"/>
        <v>Eindweg 9</v>
      </c>
      <c r="B955" t="s">
        <v>391</v>
      </c>
      <c r="C955" t="s">
        <v>302</v>
      </c>
      <c r="D955">
        <v>1950</v>
      </c>
      <c r="E955">
        <v>133</v>
      </c>
      <c r="F955" t="s">
        <v>392</v>
      </c>
      <c r="G955">
        <v>9</v>
      </c>
    </row>
    <row r="956" spans="1:8">
      <c r="A956" t="str">
        <f t="shared" si="14"/>
        <v>Eindweg 10</v>
      </c>
      <c r="B956" t="s">
        <v>391</v>
      </c>
      <c r="C956" t="s">
        <v>302</v>
      </c>
      <c r="D956">
        <v>1950</v>
      </c>
      <c r="E956">
        <v>222</v>
      </c>
      <c r="F956" t="s">
        <v>392</v>
      </c>
      <c r="G956">
        <v>10</v>
      </c>
    </row>
    <row r="957" spans="1:8">
      <c r="A957" t="str">
        <f t="shared" si="14"/>
        <v>Eindweg 11</v>
      </c>
      <c r="B957" t="s">
        <v>391</v>
      </c>
      <c r="C957" t="s">
        <v>302</v>
      </c>
      <c r="D957">
        <v>2022</v>
      </c>
      <c r="E957">
        <v>212</v>
      </c>
      <c r="F957" t="s">
        <v>392</v>
      </c>
      <c r="G957">
        <v>11</v>
      </c>
    </row>
    <row r="958" spans="1:8">
      <c r="A958" t="str">
        <f t="shared" si="14"/>
        <v>Eindweg 12</v>
      </c>
      <c r="B958" t="s">
        <v>391</v>
      </c>
      <c r="C958" t="s">
        <v>302</v>
      </c>
      <c r="D958">
        <v>1950</v>
      </c>
      <c r="E958">
        <v>133</v>
      </c>
      <c r="F958" t="s">
        <v>392</v>
      </c>
      <c r="G958">
        <v>12</v>
      </c>
    </row>
    <row r="959" spans="1:8">
      <c r="A959" t="str">
        <f t="shared" si="14"/>
        <v>Eindweg 13a</v>
      </c>
      <c r="B959" t="s">
        <v>391</v>
      </c>
      <c r="C959" t="s">
        <v>302</v>
      </c>
      <c r="D959">
        <v>2021</v>
      </c>
      <c r="E959">
        <v>120</v>
      </c>
      <c r="F959" t="s">
        <v>392</v>
      </c>
      <c r="G959">
        <v>13</v>
      </c>
      <c r="H959" t="s">
        <v>304</v>
      </c>
    </row>
    <row r="960" spans="1:8">
      <c r="A960" t="str">
        <f t="shared" si="14"/>
        <v>Eindweg 13</v>
      </c>
      <c r="B960" t="s">
        <v>391</v>
      </c>
      <c r="C960" t="s">
        <v>302</v>
      </c>
      <c r="D960">
        <v>1967</v>
      </c>
      <c r="E960">
        <v>131</v>
      </c>
      <c r="F960" t="s">
        <v>392</v>
      </c>
      <c r="G960">
        <v>13</v>
      </c>
    </row>
    <row r="961" spans="1:8">
      <c r="A961" t="str">
        <f t="shared" si="14"/>
        <v>Eindweg 14</v>
      </c>
      <c r="B961" t="s">
        <v>391</v>
      </c>
      <c r="C961" t="s">
        <v>302</v>
      </c>
      <c r="D961">
        <v>1950</v>
      </c>
      <c r="E961">
        <v>134</v>
      </c>
      <c r="F961" t="s">
        <v>392</v>
      </c>
      <c r="G961">
        <v>14</v>
      </c>
    </row>
    <row r="962" spans="1:8">
      <c r="A962" t="str">
        <f t="shared" ref="A962:A1025" si="15">CONCATENATE(F962," ",G962,H962)</f>
        <v>Eindweg 15a</v>
      </c>
      <c r="B962" t="s">
        <v>391</v>
      </c>
      <c r="C962" t="s">
        <v>302</v>
      </c>
      <c r="D962">
        <v>2003</v>
      </c>
      <c r="E962">
        <v>249</v>
      </c>
      <c r="F962" t="s">
        <v>392</v>
      </c>
      <c r="G962">
        <v>15</v>
      </c>
      <c r="H962" t="s">
        <v>304</v>
      </c>
    </row>
    <row r="963" spans="1:8">
      <c r="A963" t="str">
        <f t="shared" si="15"/>
        <v>Eindweg 15</v>
      </c>
      <c r="B963" t="s">
        <v>391</v>
      </c>
      <c r="C963" t="s">
        <v>302</v>
      </c>
      <c r="D963">
        <v>1972</v>
      </c>
      <c r="E963">
        <v>197</v>
      </c>
      <c r="F963" t="s">
        <v>392</v>
      </c>
      <c r="G963">
        <v>15</v>
      </c>
    </row>
    <row r="964" spans="1:8">
      <c r="A964" t="str">
        <f t="shared" si="15"/>
        <v>Eindweg 16a</v>
      </c>
      <c r="B964" t="s">
        <v>391</v>
      </c>
      <c r="C964" t="s">
        <v>302</v>
      </c>
      <c r="D964">
        <v>1948</v>
      </c>
      <c r="E964">
        <v>443</v>
      </c>
      <c r="F964" t="s">
        <v>392</v>
      </c>
      <c r="G964">
        <v>16</v>
      </c>
      <c r="H964" t="s">
        <v>304</v>
      </c>
    </row>
    <row r="965" spans="1:8">
      <c r="A965" t="str">
        <f t="shared" si="15"/>
        <v>Eindweg 16</v>
      </c>
      <c r="B965" t="s">
        <v>391</v>
      </c>
      <c r="C965" t="s">
        <v>302</v>
      </c>
      <c r="D965">
        <v>1948</v>
      </c>
      <c r="E965">
        <v>104</v>
      </c>
      <c r="F965" t="s">
        <v>392</v>
      </c>
      <c r="G965">
        <v>16</v>
      </c>
    </row>
    <row r="966" spans="1:8">
      <c r="A966" t="str">
        <f t="shared" si="15"/>
        <v>Eindweg 17</v>
      </c>
      <c r="B966" t="s">
        <v>391</v>
      </c>
      <c r="C966" t="s">
        <v>302</v>
      </c>
      <c r="D966">
        <v>1950</v>
      </c>
      <c r="E966">
        <v>93</v>
      </c>
      <c r="F966" t="s">
        <v>392</v>
      </c>
      <c r="G966">
        <v>17</v>
      </c>
    </row>
    <row r="967" spans="1:8">
      <c r="A967" t="str">
        <f t="shared" si="15"/>
        <v>Eindweg 19</v>
      </c>
      <c r="B967" t="s">
        <v>391</v>
      </c>
      <c r="C967" t="s">
        <v>302</v>
      </c>
      <c r="D967">
        <v>1950</v>
      </c>
      <c r="E967">
        <v>242</v>
      </c>
      <c r="F967" t="s">
        <v>392</v>
      </c>
      <c r="G967">
        <v>19</v>
      </c>
    </row>
    <row r="968" spans="1:8">
      <c r="A968" t="str">
        <f t="shared" si="15"/>
        <v>Eindweg 21</v>
      </c>
      <c r="B968" t="s">
        <v>391</v>
      </c>
      <c r="C968" t="s">
        <v>302</v>
      </c>
      <c r="D968">
        <v>2014</v>
      </c>
      <c r="E968">
        <v>266</v>
      </c>
      <c r="F968" t="s">
        <v>392</v>
      </c>
      <c r="G968">
        <v>21</v>
      </c>
    </row>
    <row r="969" spans="1:8">
      <c r="A969" t="str">
        <f t="shared" si="15"/>
        <v>Eindweg 23</v>
      </c>
      <c r="B969" t="s">
        <v>391</v>
      </c>
      <c r="C969" t="s">
        <v>302</v>
      </c>
      <c r="D969">
        <v>2016</v>
      </c>
      <c r="E969">
        <v>271</v>
      </c>
      <c r="F969" t="s">
        <v>392</v>
      </c>
      <c r="G969">
        <v>23</v>
      </c>
    </row>
    <row r="970" spans="1:8">
      <c r="A970" t="str">
        <f t="shared" si="15"/>
        <v>Elzenstraat 1</v>
      </c>
      <c r="B970" t="s">
        <v>393</v>
      </c>
      <c r="C970" t="s">
        <v>302</v>
      </c>
      <c r="D970">
        <v>1958</v>
      </c>
      <c r="E970">
        <v>161</v>
      </c>
      <c r="F970" t="s">
        <v>394</v>
      </c>
      <c r="G970">
        <v>1</v>
      </c>
    </row>
    <row r="971" spans="1:8">
      <c r="A971" t="str">
        <f t="shared" si="15"/>
        <v>Elzenstraat 2</v>
      </c>
      <c r="B971" t="s">
        <v>393</v>
      </c>
      <c r="C971" t="s">
        <v>302</v>
      </c>
      <c r="D971">
        <v>1973</v>
      </c>
      <c r="E971">
        <v>192</v>
      </c>
      <c r="F971" t="s">
        <v>394</v>
      </c>
      <c r="G971">
        <v>2</v>
      </c>
    </row>
    <row r="972" spans="1:8">
      <c r="A972" t="str">
        <f t="shared" si="15"/>
        <v>Elzenstraat 3</v>
      </c>
      <c r="B972" t="s">
        <v>393</v>
      </c>
      <c r="C972" t="s">
        <v>302</v>
      </c>
      <c r="D972">
        <v>1954</v>
      </c>
      <c r="E972">
        <v>106</v>
      </c>
      <c r="F972" t="s">
        <v>394</v>
      </c>
      <c r="G972">
        <v>3</v>
      </c>
    </row>
    <row r="973" spans="1:8">
      <c r="A973" t="str">
        <f t="shared" si="15"/>
        <v>Elzenstraat 4</v>
      </c>
      <c r="B973" t="s">
        <v>393</v>
      </c>
      <c r="C973" t="s">
        <v>302</v>
      </c>
      <c r="D973">
        <v>1949</v>
      </c>
      <c r="E973">
        <v>512</v>
      </c>
      <c r="F973" t="s">
        <v>394</v>
      </c>
      <c r="G973">
        <v>4</v>
      </c>
    </row>
    <row r="974" spans="1:8">
      <c r="A974" t="str">
        <f t="shared" si="15"/>
        <v>Elzenstraat 5</v>
      </c>
      <c r="B974" t="s">
        <v>393</v>
      </c>
      <c r="C974" t="s">
        <v>302</v>
      </c>
      <c r="D974">
        <v>1960</v>
      </c>
      <c r="E974">
        <v>189</v>
      </c>
      <c r="F974" t="s">
        <v>394</v>
      </c>
      <c r="G974">
        <v>5</v>
      </c>
    </row>
    <row r="975" spans="1:8">
      <c r="A975" t="str">
        <f t="shared" si="15"/>
        <v>Elzenstraat 6</v>
      </c>
      <c r="B975" t="s">
        <v>393</v>
      </c>
      <c r="C975" t="s">
        <v>302</v>
      </c>
      <c r="D975">
        <v>1950</v>
      </c>
      <c r="E975">
        <v>185</v>
      </c>
      <c r="F975" t="s">
        <v>394</v>
      </c>
      <c r="G975">
        <v>6</v>
      </c>
    </row>
    <row r="976" spans="1:8">
      <c r="A976" t="str">
        <f t="shared" si="15"/>
        <v>Elzenstraat 7a</v>
      </c>
      <c r="B976" t="s">
        <v>393</v>
      </c>
      <c r="C976" t="s">
        <v>302</v>
      </c>
      <c r="D976">
        <v>1972</v>
      </c>
      <c r="E976">
        <v>167</v>
      </c>
      <c r="F976" t="s">
        <v>394</v>
      </c>
      <c r="G976">
        <v>7</v>
      </c>
      <c r="H976" t="s">
        <v>304</v>
      </c>
    </row>
    <row r="977" spans="1:8">
      <c r="A977" t="str">
        <f t="shared" si="15"/>
        <v>Elzenstraat 7b</v>
      </c>
      <c r="B977" t="s">
        <v>393</v>
      </c>
      <c r="C977" t="s">
        <v>302</v>
      </c>
      <c r="D977">
        <v>1972</v>
      </c>
      <c r="E977">
        <v>171</v>
      </c>
      <c r="F977" t="s">
        <v>394</v>
      </c>
      <c r="G977">
        <v>7</v>
      </c>
      <c r="H977" t="s">
        <v>298</v>
      </c>
    </row>
    <row r="978" spans="1:8">
      <c r="A978" t="str">
        <f t="shared" si="15"/>
        <v>Elzenstraat 7</v>
      </c>
      <c r="B978" t="s">
        <v>393</v>
      </c>
      <c r="C978" t="s">
        <v>302</v>
      </c>
      <c r="D978">
        <v>1972</v>
      </c>
      <c r="E978">
        <v>166</v>
      </c>
      <c r="F978" t="s">
        <v>394</v>
      </c>
      <c r="G978">
        <v>7</v>
      </c>
    </row>
    <row r="979" spans="1:8">
      <c r="A979" t="str">
        <f t="shared" si="15"/>
        <v>Elzenstraat 8</v>
      </c>
      <c r="B979" t="s">
        <v>393</v>
      </c>
      <c r="C979" t="s">
        <v>302</v>
      </c>
      <c r="D979">
        <v>1953</v>
      </c>
      <c r="E979">
        <v>116</v>
      </c>
      <c r="F979" t="s">
        <v>394</v>
      </c>
      <c r="G979">
        <v>8</v>
      </c>
    </row>
    <row r="980" spans="1:8">
      <c r="A980" t="str">
        <f t="shared" si="15"/>
        <v>Elzenstraat 9</v>
      </c>
      <c r="B980" t="s">
        <v>393</v>
      </c>
      <c r="C980" t="s">
        <v>302</v>
      </c>
      <c r="D980">
        <v>1948</v>
      </c>
      <c r="E980">
        <v>143</v>
      </c>
      <c r="F980" t="s">
        <v>394</v>
      </c>
      <c r="G980">
        <v>9</v>
      </c>
    </row>
    <row r="981" spans="1:8">
      <c r="A981" t="str">
        <f t="shared" si="15"/>
        <v>Elzenstraat 10</v>
      </c>
      <c r="B981" t="s">
        <v>393</v>
      </c>
      <c r="C981" t="s">
        <v>302</v>
      </c>
      <c r="D981">
        <v>1953</v>
      </c>
      <c r="E981">
        <v>96</v>
      </c>
      <c r="F981" t="s">
        <v>394</v>
      </c>
      <c r="G981">
        <v>10</v>
      </c>
    </row>
    <row r="982" spans="1:8">
      <c r="A982" t="str">
        <f t="shared" si="15"/>
        <v>Elzenstraat 11a</v>
      </c>
      <c r="B982" t="s">
        <v>393</v>
      </c>
      <c r="C982" t="s">
        <v>302</v>
      </c>
      <c r="D982">
        <v>1950</v>
      </c>
      <c r="E982">
        <v>208</v>
      </c>
      <c r="F982" t="s">
        <v>394</v>
      </c>
      <c r="G982">
        <v>11</v>
      </c>
      <c r="H982" t="s">
        <v>304</v>
      </c>
    </row>
    <row r="983" spans="1:8">
      <c r="A983" t="str">
        <f t="shared" si="15"/>
        <v>Elzenstraat 11b</v>
      </c>
      <c r="B983" t="s">
        <v>393</v>
      </c>
      <c r="C983" t="s">
        <v>302</v>
      </c>
      <c r="D983">
        <v>2011</v>
      </c>
      <c r="E983">
        <v>235</v>
      </c>
      <c r="F983" t="s">
        <v>394</v>
      </c>
      <c r="G983">
        <v>11</v>
      </c>
      <c r="H983" t="s">
        <v>298</v>
      </c>
    </row>
    <row r="984" spans="1:8">
      <c r="A984" t="str">
        <f t="shared" si="15"/>
        <v>Elzenstraat 11</v>
      </c>
      <c r="B984" t="s">
        <v>393</v>
      </c>
      <c r="C984" t="s">
        <v>302</v>
      </c>
      <c r="D984">
        <v>1950</v>
      </c>
      <c r="E984">
        <v>202</v>
      </c>
      <c r="F984" t="s">
        <v>394</v>
      </c>
      <c r="G984">
        <v>11</v>
      </c>
    </row>
    <row r="985" spans="1:8">
      <c r="A985" t="str">
        <f t="shared" si="15"/>
        <v>Elzenstraat 12</v>
      </c>
      <c r="B985" t="s">
        <v>393</v>
      </c>
      <c r="C985" t="s">
        <v>302</v>
      </c>
      <c r="D985">
        <v>1961</v>
      </c>
      <c r="E985">
        <v>1175</v>
      </c>
      <c r="F985" t="s">
        <v>394</v>
      </c>
      <c r="G985">
        <v>12</v>
      </c>
    </row>
    <row r="986" spans="1:8">
      <c r="A986" t="str">
        <f t="shared" si="15"/>
        <v>Elzenstraat 14a</v>
      </c>
      <c r="B986" t="s">
        <v>393</v>
      </c>
      <c r="C986" t="s">
        <v>302</v>
      </c>
      <c r="D986">
        <v>1946</v>
      </c>
      <c r="E986">
        <v>93</v>
      </c>
      <c r="F986" t="s">
        <v>394</v>
      </c>
      <c r="G986">
        <v>14</v>
      </c>
      <c r="H986" t="s">
        <v>304</v>
      </c>
    </row>
    <row r="987" spans="1:8">
      <c r="A987" t="str">
        <f t="shared" si="15"/>
        <v>Elzenstraat 14b</v>
      </c>
      <c r="B987" t="s">
        <v>393</v>
      </c>
      <c r="C987" t="s">
        <v>302</v>
      </c>
      <c r="D987">
        <v>2019</v>
      </c>
      <c r="E987">
        <v>173</v>
      </c>
      <c r="F987" t="s">
        <v>394</v>
      </c>
      <c r="G987">
        <v>14</v>
      </c>
      <c r="H987" t="s">
        <v>298</v>
      </c>
    </row>
    <row r="988" spans="1:8">
      <c r="A988" t="str">
        <f t="shared" si="15"/>
        <v>Elzenstraat 14c</v>
      </c>
      <c r="B988" t="s">
        <v>393</v>
      </c>
      <c r="C988" t="s">
        <v>302</v>
      </c>
      <c r="D988">
        <v>2019</v>
      </c>
      <c r="E988">
        <v>329</v>
      </c>
      <c r="F988" t="s">
        <v>394</v>
      </c>
      <c r="G988">
        <v>14</v>
      </c>
      <c r="H988" t="s">
        <v>299</v>
      </c>
    </row>
    <row r="989" spans="1:8">
      <c r="A989" t="str">
        <f t="shared" si="15"/>
        <v>Elzenstraat 14</v>
      </c>
      <c r="B989" t="s">
        <v>393</v>
      </c>
      <c r="C989" t="s">
        <v>302</v>
      </c>
      <c r="D989">
        <v>1981</v>
      </c>
      <c r="E989">
        <v>353</v>
      </c>
      <c r="F989" t="s">
        <v>394</v>
      </c>
      <c r="G989">
        <v>14</v>
      </c>
    </row>
    <row r="990" spans="1:8">
      <c r="A990" t="str">
        <f t="shared" si="15"/>
        <v>Elzenstraat 16a</v>
      </c>
      <c r="B990" t="s">
        <v>393</v>
      </c>
      <c r="C990" t="s">
        <v>302</v>
      </c>
      <c r="D990">
        <v>1950</v>
      </c>
      <c r="E990">
        <v>694</v>
      </c>
      <c r="F990" t="s">
        <v>394</v>
      </c>
      <c r="G990">
        <v>16</v>
      </c>
      <c r="H990" t="s">
        <v>304</v>
      </c>
    </row>
    <row r="991" spans="1:8">
      <c r="A991" t="str">
        <f t="shared" si="15"/>
        <v>Elzenstraat 16</v>
      </c>
      <c r="B991" t="s">
        <v>393</v>
      </c>
      <c r="C991" t="s">
        <v>302</v>
      </c>
      <c r="D991">
        <v>1949</v>
      </c>
      <c r="E991">
        <v>281</v>
      </c>
      <c r="F991" t="s">
        <v>394</v>
      </c>
      <c r="G991">
        <v>16</v>
      </c>
    </row>
    <row r="992" spans="1:8">
      <c r="A992" t="str">
        <f t="shared" si="15"/>
        <v>Elzenstraat 18a</v>
      </c>
      <c r="B992" t="s">
        <v>393</v>
      </c>
      <c r="C992" t="s">
        <v>302</v>
      </c>
      <c r="D992">
        <v>1994</v>
      </c>
      <c r="E992">
        <v>182</v>
      </c>
      <c r="F992" t="s">
        <v>394</v>
      </c>
      <c r="G992">
        <v>18</v>
      </c>
      <c r="H992" t="s">
        <v>304</v>
      </c>
    </row>
    <row r="993" spans="1:8">
      <c r="A993" t="str">
        <f t="shared" si="15"/>
        <v>Elzenstraat 18</v>
      </c>
      <c r="B993" t="s">
        <v>393</v>
      </c>
      <c r="C993" t="s">
        <v>302</v>
      </c>
      <c r="D993">
        <v>1983</v>
      </c>
      <c r="E993">
        <v>160</v>
      </c>
      <c r="F993" t="s">
        <v>394</v>
      </c>
      <c r="G993">
        <v>18</v>
      </c>
    </row>
    <row r="994" spans="1:8">
      <c r="A994" t="str">
        <f t="shared" si="15"/>
        <v>Elzenstraat 19</v>
      </c>
      <c r="B994" t="s">
        <v>393</v>
      </c>
      <c r="C994" t="s">
        <v>302</v>
      </c>
      <c r="D994">
        <v>1956</v>
      </c>
      <c r="E994">
        <v>156</v>
      </c>
      <c r="F994" t="s">
        <v>394</v>
      </c>
      <c r="G994">
        <v>19</v>
      </c>
    </row>
    <row r="995" spans="1:8">
      <c r="A995" t="str">
        <f t="shared" si="15"/>
        <v>Elzenstraat 20</v>
      </c>
      <c r="B995" t="s">
        <v>393</v>
      </c>
      <c r="C995" t="s">
        <v>302</v>
      </c>
      <c r="D995">
        <v>1980</v>
      </c>
      <c r="E995">
        <v>125</v>
      </c>
      <c r="F995" t="s">
        <v>394</v>
      </c>
      <c r="G995">
        <v>20</v>
      </c>
    </row>
    <row r="996" spans="1:8">
      <c r="A996" t="str">
        <f t="shared" si="15"/>
        <v>Elzenstraat 21</v>
      </c>
      <c r="B996" t="s">
        <v>393</v>
      </c>
      <c r="C996" t="s">
        <v>302</v>
      </c>
      <c r="D996">
        <v>1905</v>
      </c>
      <c r="E996">
        <v>1111</v>
      </c>
      <c r="F996" t="s">
        <v>394</v>
      </c>
      <c r="G996">
        <v>21</v>
      </c>
    </row>
    <row r="997" spans="1:8">
      <c r="A997" t="str">
        <f t="shared" si="15"/>
        <v>Esdoornlaan 3</v>
      </c>
      <c r="B997" t="s">
        <v>395</v>
      </c>
      <c r="C997" t="s">
        <v>296</v>
      </c>
      <c r="D997">
        <v>1976</v>
      </c>
      <c r="E997">
        <v>162</v>
      </c>
      <c r="F997" t="s">
        <v>396</v>
      </c>
      <c r="G997">
        <v>3</v>
      </c>
    </row>
    <row r="998" spans="1:8">
      <c r="A998" t="str">
        <f t="shared" si="15"/>
        <v>Esdoornlaan 5</v>
      </c>
      <c r="B998" t="s">
        <v>395</v>
      </c>
      <c r="C998" t="s">
        <v>296</v>
      </c>
      <c r="D998">
        <v>1979</v>
      </c>
      <c r="E998">
        <v>1294</v>
      </c>
      <c r="F998" t="s">
        <v>396</v>
      </c>
      <c r="G998">
        <v>5</v>
      </c>
    </row>
    <row r="999" spans="1:8">
      <c r="A999" t="str">
        <f t="shared" si="15"/>
        <v>Esdoornlaan 7a</v>
      </c>
      <c r="B999" t="s">
        <v>395</v>
      </c>
      <c r="C999" t="s">
        <v>296</v>
      </c>
      <c r="D999">
        <v>2014</v>
      </c>
      <c r="E999">
        <v>76</v>
      </c>
      <c r="F999" t="s">
        <v>396</v>
      </c>
      <c r="G999">
        <v>7</v>
      </c>
      <c r="H999" t="s">
        <v>304</v>
      </c>
    </row>
    <row r="1000" spans="1:8">
      <c r="A1000" t="str">
        <f t="shared" si="15"/>
        <v>Esdoornlaan 7b</v>
      </c>
      <c r="B1000" t="s">
        <v>395</v>
      </c>
      <c r="C1000" t="s">
        <v>296</v>
      </c>
      <c r="D1000">
        <v>2014</v>
      </c>
      <c r="E1000">
        <v>76</v>
      </c>
      <c r="F1000" t="s">
        <v>396</v>
      </c>
      <c r="G1000">
        <v>7</v>
      </c>
      <c r="H1000" t="s">
        <v>298</v>
      </c>
    </row>
    <row r="1001" spans="1:8">
      <c r="A1001" t="str">
        <f t="shared" si="15"/>
        <v>Esdoornlaan 7c</v>
      </c>
      <c r="B1001" t="s">
        <v>395</v>
      </c>
      <c r="C1001" t="s">
        <v>296</v>
      </c>
      <c r="D1001">
        <v>2014</v>
      </c>
      <c r="E1001">
        <v>76</v>
      </c>
      <c r="F1001" t="s">
        <v>396</v>
      </c>
      <c r="G1001">
        <v>7</v>
      </c>
      <c r="H1001" t="s">
        <v>299</v>
      </c>
    </row>
    <row r="1002" spans="1:8">
      <c r="A1002" t="str">
        <f t="shared" si="15"/>
        <v>Esdoornlaan 7d</v>
      </c>
      <c r="B1002" t="s">
        <v>395</v>
      </c>
      <c r="C1002" t="s">
        <v>296</v>
      </c>
      <c r="D1002">
        <v>2014</v>
      </c>
      <c r="E1002">
        <v>76</v>
      </c>
      <c r="F1002" t="s">
        <v>396</v>
      </c>
      <c r="G1002">
        <v>7</v>
      </c>
      <c r="H1002" t="s">
        <v>300</v>
      </c>
    </row>
    <row r="1003" spans="1:8">
      <c r="A1003" t="str">
        <f t="shared" si="15"/>
        <v>Esdoornlaan 7e</v>
      </c>
      <c r="B1003" t="s">
        <v>395</v>
      </c>
      <c r="C1003" t="s">
        <v>296</v>
      </c>
      <c r="D1003">
        <v>2014</v>
      </c>
      <c r="E1003">
        <v>76</v>
      </c>
      <c r="F1003" t="s">
        <v>396</v>
      </c>
      <c r="G1003">
        <v>7</v>
      </c>
      <c r="H1003" t="s">
        <v>319</v>
      </c>
    </row>
    <row r="1004" spans="1:8">
      <c r="A1004" t="str">
        <f t="shared" si="15"/>
        <v>Esdoornlaan 7f</v>
      </c>
      <c r="B1004" t="s">
        <v>395</v>
      </c>
      <c r="C1004" t="s">
        <v>296</v>
      </c>
      <c r="D1004">
        <v>2014</v>
      </c>
      <c r="E1004">
        <v>76</v>
      </c>
      <c r="F1004" t="s">
        <v>396</v>
      </c>
      <c r="G1004">
        <v>7</v>
      </c>
      <c r="H1004" t="s">
        <v>329</v>
      </c>
    </row>
    <row r="1005" spans="1:8">
      <c r="A1005" t="str">
        <f t="shared" si="15"/>
        <v>Esdoornlaan 7g</v>
      </c>
      <c r="B1005" t="s">
        <v>395</v>
      </c>
      <c r="C1005" t="s">
        <v>296</v>
      </c>
      <c r="D1005">
        <v>2014</v>
      </c>
      <c r="E1005">
        <v>76</v>
      </c>
      <c r="F1005" t="s">
        <v>396</v>
      </c>
      <c r="G1005">
        <v>7</v>
      </c>
      <c r="H1005" t="s">
        <v>330</v>
      </c>
    </row>
    <row r="1006" spans="1:8">
      <c r="A1006" t="str">
        <f t="shared" si="15"/>
        <v>Esdoornlaan 7h</v>
      </c>
      <c r="B1006" t="s">
        <v>395</v>
      </c>
      <c r="C1006" t="s">
        <v>296</v>
      </c>
      <c r="D1006">
        <v>2014</v>
      </c>
      <c r="E1006">
        <v>76</v>
      </c>
      <c r="F1006" t="s">
        <v>396</v>
      </c>
      <c r="G1006">
        <v>7</v>
      </c>
      <c r="H1006" t="s">
        <v>397</v>
      </c>
    </row>
    <row r="1007" spans="1:8">
      <c r="A1007" t="str">
        <f t="shared" si="15"/>
        <v>Esdoornlaan 7</v>
      </c>
      <c r="B1007" t="s">
        <v>395</v>
      </c>
      <c r="C1007" t="s">
        <v>296</v>
      </c>
      <c r="D1007">
        <v>2014</v>
      </c>
      <c r="E1007">
        <v>76</v>
      </c>
      <c r="F1007" t="s">
        <v>396</v>
      </c>
      <c r="G1007">
        <v>7</v>
      </c>
    </row>
    <row r="1008" spans="1:8">
      <c r="A1008" t="str">
        <f t="shared" si="15"/>
        <v>Esdoornlaan 8</v>
      </c>
      <c r="B1008" t="s">
        <v>395</v>
      </c>
      <c r="C1008" t="s">
        <v>296</v>
      </c>
      <c r="D1008">
        <v>2012</v>
      </c>
      <c r="E1008">
        <v>2753</v>
      </c>
      <c r="F1008" t="s">
        <v>396</v>
      </c>
      <c r="G1008">
        <v>8</v>
      </c>
    </row>
    <row r="1009" spans="1:8">
      <c r="A1009" t="str">
        <f t="shared" si="15"/>
        <v>Esdoornlaan 9</v>
      </c>
      <c r="B1009" t="s">
        <v>395</v>
      </c>
      <c r="C1009" t="s">
        <v>296</v>
      </c>
      <c r="D1009">
        <v>1987</v>
      </c>
      <c r="E1009">
        <v>139</v>
      </c>
      <c r="F1009" t="s">
        <v>396</v>
      </c>
      <c r="G1009">
        <v>9</v>
      </c>
    </row>
    <row r="1010" spans="1:8">
      <c r="A1010" t="str">
        <f t="shared" si="15"/>
        <v>Esdoornlaan 10</v>
      </c>
      <c r="B1010" t="s">
        <v>395</v>
      </c>
      <c r="C1010" t="s">
        <v>296</v>
      </c>
      <c r="D1010">
        <v>1972</v>
      </c>
      <c r="E1010">
        <v>199</v>
      </c>
      <c r="F1010" t="s">
        <v>396</v>
      </c>
      <c r="G1010">
        <v>10</v>
      </c>
    </row>
    <row r="1011" spans="1:8">
      <c r="A1011" t="str">
        <f t="shared" si="15"/>
        <v>Esdoornlaan 11</v>
      </c>
      <c r="B1011" t="s">
        <v>395</v>
      </c>
      <c r="C1011" t="s">
        <v>296</v>
      </c>
      <c r="D1011">
        <v>1987</v>
      </c>
      <c r="E1011">
        <v>139</v>
      </c>
      <c r="F1011" t="s">
        <v>396</v>
      </c>
      <c r="G1011">
        <v>11</v>
      </c>
    </row>
    <row r="1012" spans="1:8">
      <c r="A1012" t="str">
        <f t="shared" si="15"/>
        <v>Esdoornlaan 12</v>
      </c>
      <c r="B1012" t="s">
        <v>395</v>
      </c>
      <c r="C1012" t="s">
        <v>296</v>
      </c>
      <c r="D1012">
        <v>1972</v>
      </c>
      <c r="E1012">
        <v>201</v>
      </c>
      <c r="F1012" t="s">
        <v>396</v>
      </c>
      <c r="G1012">
        <v>12</v>
      </c>
    </row>
    <row r="1013" spans="1:8">
      <c r="A1013" t="str">
        <f t="shared" si="15"/>
        <v>Esdoornlaan 13</v>
      </c>
      <c r="B1013" t="s">
        <v>395</v>
      </c>
      <c r="C1013" t="s">
        <v>296</v>
      </c>
      <c r="D1013">
        <v>1987</v>
      </c>
      <c r="E1013">
        <v>153</v>
      </c>
      <c r="F1013" t="s">
        <v>396</v>
      </c>
      <c r="G1013">
        <v>13</v>
      </c>
    </row>
    <row r="1014" spans="1:8">
      <c r="A1014" t="str">
        <f t="shared" si="15"/>
        <v>Esdoornlaan 15</v>
      </c>
      <c r="B1014" t="s">
        <v>395</v>
      </c>
      <c r="C1014" t="s">
        <v>296</v>
      </c>
      <c r="D1014">
        <v>1987</v>
      </c>
      <c r="E1014">
        <v>154</v>
      </c>
      <c r="F1014" t="s">
        <v>396</v>
      </c>
      <c r="G1014">
        <v>15</v>
      </c>
    </row>
    <row r="1015" spans="1:8">
      <c r="A1015" t="str">
        <f t="shared" si="15"/>
        <v>Esdoornlaan 17</v>
      </c>
      <c r="B1015" t="s">
        <v>395</v>
      </c>
      <c r="C1015" t="s">
        <v>296</v>
      </c>
      <c r="D1015">
        <v>1987</v>
      </c>
      <c r="E1015">
        <v>151</v>
      </c>
      <c r="F1015" t="s">
        <v>396</v>
      </c>
      <c r="G1015">
        <v>17</v>
      </c>
    </row>
    <row r="1016" spans="1:8">
      <c r="A1016" t="str">
        <f t="shared" si="15"/>
        <v>Esdoornlaan 19</v>
      </c>
      <c r="B1016" t="s">
        <v>395</v>
      </c>
      <c r="C1016" t="s">
        <v>296</v>
      </c>
      <c r="D1016">
        <v>1987</v>
      </c>
      <c r="E1016">
        <v>154</v>
      </c>
      <c r="F1016" t="s">
        <v>396</v>
      </c>
      <c r="G1016">
        <v>19</v>
      </c>
    </row>
    <row r="1017" spans="1:8">
      <c r="A1017" t="str">
        <f t="shared" si="15"/>
        <v>Esdoornlaan 21</v>
      </c>
      <c r="B1017" t="s">
        <v>395</v>
      </c>
      <c r="C1017" t="s">
        <v>296</v>
      </c>
      <c r="D1017">
        <v>1987</v>
      </c>
      <c r="E1017">
        <v>154</v>
      </c>
      <c r="F1017" t="s">
        <v>396</v>
      </c>
      <c r="G1017">
        <v>21</v>
      </c>
    </row>
    <row r="1018" spans="1:8">
      <c r="A1018" t="str">
        <f t="shared" si="15"/>
        <v>Essenhof 2</v>
      </c>
      <c r="B1018" t="s">
        <v>398</v>
      </c>
      <c r="C1018" t="s">
        <v>296</v>
      </c>
      <c r="D1018">
        <v>1969</v>
      </c>
      <c r="E1018">
        <v>137</v>
      </c>
      <c r="F1018" t="s">
        <v>399</v>
      </c>
      <c r="G1018">
        <v>2</v>
      </c>
    </row>
    <row r="1019" spans="1:8">
      <c r="A1019" t="str">
        <f t="shared" si="15"/>
        <v>Essenhof 4</v>
      </c>
      <c r="B1019" t="s">
        <v>398</v>
      </c>
      <c r="C1019" t="s">
        <v>296</v>
      </c>
      <c r="D1019">
        <v>1969</v>
      </c>
      <c r="E1019">
        <v>131</v>
      </c>
      <c r="F1019" t="s">
        <v>399</v>
      </c>
      <c r="G1019">
        <v>4</v>
      </c>
    </row>
    <row r="1020" spans="1:8">
      <c r="A1020" t="str">
        <f t="shared" si="15"/>
        <v>Essenhof 6a</v>
      </c>
      <c r="B1020" t="s">
        <v>398</v>
      </c>
      <c r="C1020" t="s">
        <v>296</v>
      </c>
      <c r="D1020">
        <v>1972</v>
      </c>
      <c r="E1020">
        <v>20</v>
      </c>
      <c r="F1020" t="s">
        <v>399</v>
      </c>
      <c r="G1020">
        <v>6</v>
      </c>
      <c r="H1020" t="s">
        <v>304</v>
      </c>
    </row>
    <row r="1021" spans="1:8">
      <c r="A1021" t="str">
        <f t="shared" si="15"/>
        <v>Essenhof 6b</v>
      </c>
      <c r="B1021" t="s">
        <v>398</v>
      </c>
      <c r="C1021" t="s">
        <v>296</v>
      </c>
      <c r="D1021">
        <v>1972</v>
      </c>
      <c r="E1021">
        <v>18</v>
      </c>
      <c r="F1021" t="s">
        <v>399</v>
      </c>
      <c r="G1021">
        <v>6</v>
      </c>
      <c r="H1021" t="s">
        <v>298</v>
      </c>
    </row>
    <row r="1022" spans="1:8">
      <c r="A1022" t="str">
        <f t="shared" si="15"/>
        <v>Essenhof 6c</v>
      </c>
      <c r="B1022" t="s">
        <v>398</v>
      </c>
      <c r="C1022" t="s">
        <v>296</v>
      </c>
      <c r="D1022">
        <v>1972</v>
      </c>
      <c r="E1022">
        <v>18</v>
      </c>
      <c r="F1022" t="s">
        <v>399</v>
      </c>
      <c r="G1022">
        <v>6</v>
      </c>
      <c r="H1022" t="s">
        <v>299</v>
      </c>
    </row>
    <row r="1023" spans="1:8">
      <c r="A1023" t="str">
        <f t="shared" si="15"/>
        <v>Essenhof 6d</v>
      </c>
      <c r="B1023" t="s">
        <v>398</v>
      </c>
      <c r="C1023" t="s">
        <v>296</v>
      </c>
      <c r="D1023">
        <v>1969</v>
      </c>
      <c r="E1023">
        <v>17</v>
      </c>
      <c r="F1023" t="s">
        <v>399</v>
      </c>
      <c r="G1023">
        <v>6</v>
      </c>
      <c r="H1023" t="s">
        <v>300</v>
      </c>
    </row>
    <row r="1024" spans="1:8">
      <c r="A1024" t="str">
        <f t="shared" si="15"/>
        <v>Essenhof 6</v>
      </c>
      <c r="B1024" t="s">
        <v>398</v>
      </c>
      <c r="C1024" t="s">
        <v>296</v>
      </c>
      <c r="D1024">
        <v>1969</v>
      </c>
      <c r="E1024">
        <v>132</v>
      </c>
      <c r="F1024" t="s">
        <v>399</v>
      </c>
      <c r="G1024">
        <v>6</v>
      </c>
    </row>
    <row r="1025" spans="1:8">
      <c r="A1025" t="str">
        <f t="shared" si="15"/>
        <v>Essenhof 8</v>
      </c>
      <c r="B1025" t="s">
        <v>398</v>
      </c>
      <c r="C1025" t="s">
        <v>296</v>
      </c>
      <c r="D1025">
        <v>1970</v>
      </c>
      <c r="E1025">
        <v>97</v>
      </c>
      <c r="F1025" t="s">
        <v>399</v>
      </c>
      <c r="G1025">
        <v>8</v>
      </c>
    </row>
    <row r="1026" spans="1:8">
      <c r="A1026" t="str">
        <f t="shared" ref="A1026:A1089" si="16">CONCATENATE(F1026," ",G1026,H1026)</f>
        <v>Essenhof 10</v>
      </c>
      <c r="B1026" t="s">
        <v>398</v>
      </c>
      <c r="C1026" t="s">
        <v>296</v>
      </c>
      <c r="D1026">
        <v>1970</v>
      </c>
      <c r="E1026">
        <v>98</v>
      </c>
      <c r="F1026" t="s">
        <v>399</v>
      </c>
      <c r="G1026">
        <v>10</v>
      </c>
    </row>
    <row r="1027" spans="1:8">
      <c r="A1027" t="str">
        <f t="shared" si="16"/>
        <v>Essenhof 12</v>
      </c>
      <c r="B1027" t="s">
        <v>398</v>
      </c>
      <c r="C1027" t="s">
        <v>296</v>
      </c>
      <c r="D1027">
        <v>1970</v>
      </c>
      <c r="E1027">
        <v>98</v>
      </c>
      <c r="F1027" t="s">
        <v>399</v>
      </c>
      <c r="G1027">
        <v>12</v>
      </c>
    </row>
    <row r="1028" spans="1:8">
      <c r="A1028" t="str">
        <f t="shared" si="16"/>
        <v>Essenhof 14</v>
      </c>
      <c r="B1028" t="s">
        <v>398</v>
      </c>
      <c r="C1028" t="s">
        <v>296</v>
      </c>
      <c r="D1028">
        <v>1970</v>
      </c>
      <c r="E1028">
        <v>98</v>
      </c>
      <c r="F1028" t="s">
        <v>399</v>
      </c>
      <c r="G1028">
        <v>14</v>
      </c>
    </row>
    <row r="1029" spans="1:8">
      <c r="A1029" t="str">
        <f t="shared" si="16"/>
        <v>Essenhof 16</v>
      </c>
      <c r="B1029" t="s">
        <v>398</v>
      </c>
      <c r="C1029" t="s">
        <v>296</v>
      </c>
      <c r="D1029">
        <v>1970</v>
      </c>
      <c r="E1029">
        <v>99</v>
      </c>
      <c r="F1029" t="s">
        <v>399</v>
      </c>
      <c r="G1029">
        <v>16</v>
      </c>
    </row>
    <row r="1030" spans="1:8">
      <c r="A1030" t="str">
        <f t="shared" si="16"/>
        <v>Essenhof 18</v>
      </c>
      <c r="B1030" t="s">
        <v>398</v>
      </c>
      <c r="C1030" t="s">
        <v>296</v>
      </c>
      <c r="D1030">
        <v>1970</v>
      </c>
      <c r="E1030">
        <v>97</v>
      </c>
      <c r="F1030" t="s">
        <v>399</v>
      </c>
      <c r="G1030">
        <v>18</v>
      </c>
    </row>
    <row r="1031" spans="1:8">
      <c r="A1031" t="str">
        <f t="shared" si="16"/>
        <v>Essenhof 20</v>
      </c>
      <c r="B1031" t="s">
        <v>398</v>
      </c>
      <c r="C1031" t="s">
        <v>296</v>
      </c>
      <c r="D1031">
        <v>1970</v>
      </c>
      <c r="E1031">
        <v>114</v>
      </c>
      <c r="F1031" t="s">
        <v>399</v>
      </c>
      <c r="G1031">
        <v>20</v>
      </c>
    </row>
    <row r="1032" spans="1:8">
      <c r="A1032" t="str">
        <f t="shared" si="16"/>
        <v>Franciscanessenstraat 1a</v>
      </c>
      <c r="B1032" t="s">
        <v>400</v>
      </c>
      <c r="C1032" t="s">
        <v>296</v>
      </c>
      <c r="D1032">
        <v>2006</v>
      </c>
      <c r="E1032">
        <v>167</v>
      </c>
      <c r="F1032" t="s">
        <v>401</v>
      </c>
      <c r="G1032">
        <v>1</v>
      </c>
      <c r="H1032" t="s">
        <v>304</v>
      </c>
    </row>
    <row r="1033" spans="1:8">
      <c r="A1033" t="str">
        <f t="shared" si="16"/>
        <v>Franciscanessenstraat 1</v>
      </c>
      <c r="B1033" t="s">
        <v>400</v>
      </c>
      <c r="C1033" t="s">
        <v>296</v>
      </c>
      <c r="D1033">
        <v>2006</v>
      </c>
      <c r="E1033">
        <v>166</v>
      </c>
      <c r="F1033" t="s">
        <v>401</v>
      </c>
      <c r="G1033">
        <v>1</v>
      </c>
    </row>
    <row r="1034" spans="1:8">
      <c r="A1034" t="str">
        <f t="shared" si="16"/>
        <v>Franciscanessenstraat 2</v>
      </c>
      <c r="B1034" t="s">
        <v>402</v>
      </c>
      <c r="C1034" t="s">
        <v>296</v>
      </c>
      <c r="D1034">
        <v>2004</v>
      </c>
      <c r="E1034">
        <v>241</v>
      </c>
      <c r="F1034" t="s">
        <v>401</v>
      </c>
      <c r="G1034">
        <v>2</v>
      </c>
    </row>
    <row r="1035" spans="1:8">
      <c r="A1035" t="str">
        <f t="shared" si="16"/>
        <v>Franciscanessenstraat 3</v>
      </c>
      <c r="B1035" t="s">
        <v>400</v>
      </c>
      <c r="C1035" t="s">
        <v>296</v>
      </c>
      <c r="D1035">
        <v>1980</v>
      </c>
      <c r="E1035">
        <v>396</v>
      </c>
      <c r="F1035" t="s">
        <v>401</v>
      </c>
      <c r="G1035">
        <v>3</v>
      </c>
    </row>
    <row r="1036" spans="1:8">
      <c r="A1036" t="str">
        <f t="shared" si="16"/>
        <v>Franciscanessenstraat 4</v>
      </c>
      <c r="B1036" t="s">
        <v>402</v>
      </c>
      <c r="C1036" t="s">
        <v>296</v>
      </c>
      <c r="D1036">
        <v>2005</v>
      </c>
      <c r="E1036">
        <v>214</v>
      </c>
      <c r="F1036" t="s">
        <v>401</v>
      </c>
      <c r="G1036">
        <v>4</v>
      </c>
    </row>
    <row r="1037" spans="1:8">
      <c r="A1037" t="str">
        <f t="shared" si="16"/>
        <v>Franciscanessenstraat 5</v>
      </c>
      <c r="B1037" t="s">
        <v>400</v>
      </c>
      <c r="C1037" t="s">
        <v>296</v>
      </c>
      <c r="D1037">
        <v>2004</v>
      </c>
      <c r="E1037">
        <v>279</v>
      </c>
      <c r="F1037" t="s">
        <v>401</v>
      </c>
      <c r="G1037">
        <v>5</v>
      </c>
    </row>
    <row r="1038" spans="1:8">
      <c r="A1038" t="str">
        <f t="shared" si="16"/>
        <v>Franciscanessenstraat 6</v>
      </c>
      <c r="B1038" t="s">
        <v>402</v>
      </c>
      <c r="C1038" t="s">
        <v>296</v>
      </c>
      <c r="D1038">
        <v>2003</v>
      </c>
      <c r="E1038">
        <v>373</v>
      </c>
      <c r="F1038" t="s">
        <v>401</v>
      </c>
      <c r="G1038">
        <v>6</v>
      </c>
    </row>
    <row r="1039" spans="1:8">
      <c r="A1039" t="str">
        <f t="shared" si="16"/>
        <v>Franciscanessenstraat 7</v>
      </c>
      <c r="B1039" t="s">
        <v>400</v>
      </c>
      <c r="C1039" t="s">
        <v>296</v>
      </c>
      <c r="D1039">
        <v>2005</v>
      </c>
      <c r="E1039">
        <v>179</v>
      </c>
      <c r="F1039" t="s">
        <v>401</v>
      </c>
      <c r="G1039">
        <v>7</v>
      </c>
    </row>
    <row r="1040" spans="1:8">
      <c r="A1040" t="str">
        <f t="shared" si="16"/>
        <v>Franciscanessenstraat 8</v>
      </c>
      <c r="B1040" t="s">
        <v>402</v>
      </c>
      <c r="C1040" t="s">
        <v>296</v>
      </c>
      <c r="D1040">
        <v>2005</v>
      </c>
      <c r="E1040">
        <v>199</v>
      </c>
      <c r="F1040" t="s">
        <v>401</v>
      </c>
      <c r="G1040">
        <v>8</v>
      </c>
    </row>
    <row r="1041" spans="1:8">
      <c r="A1041" t="str">
        <f t="shared" si="16"/>
        <v>Franciscanessenstraat 9</v>
      </c>
      <c r="B1041" t="s">
        <v>400</v>
      </c>
      <c r="C1041" t="s">
        <v>296</v>
      </c>
      <c r="D1041">
        <v>2005</v>
      </c>
      <c r="E1041">
        <v>199</v>
      </c>
      <c r="F1041" t="s">
        <v>401</v>
      </c>
      <c r="G1041">
        <v>9</v>
      </c>
    </row>
    <row r="1042" spans="1:8">
      <c r="A1042" t="str">
        <f t="shared" si="16"/>
        <v>Franciscanessenstraat 10</v>
      </c>
      <c r="B1042" t="s">
        <v>402</v>
      </c>
      <c r="C1042" t="s">
        <v>296</v>
      </c>
      <c r="D1042">
        <v>2005</v>
      </c>
      <c r="E1042">
        <v>239</v>
      </c>
      <c r="F1042" t="s">
        <v>401</v>
      </c>
      <c r="G1042">
        <v>10</v>
      </c>
    </row>
    <row r="1043" spans="1:8">
      <c r="A1043" t="str">
        <f t="shared" si="16"/>
        <v>Franciscanessenstraat 11</v>
      </c>
      <c r="B1043" t="s">
        <v>400</v>
      </c>
      <c r="C1043" t="s">
        <v>296</v>
      </c>
      <c r="D1043">
        <v>2005</v>
      </c>
      <c r="E1043">
        <v>223</v>
      </c>
      <c r="F1043" t="s">
        <v>401</v>
      </c>
      <c r="G1043">
        <v>11</v>
      </c>
    </row>
    <row r="1044" spans="1:8">
      <c r="A1044" t="str">
        <f t="shared" si="16"/>
        <v>Franciscanessenstraat 12</v>
      </c>
      <c r="B1044" t="s">
        <v>402</v>
      </c>
      <c r="C1044" t="s">
        <v>296</v>
      </c>
      <c r="D1044">
        <v>2005</v>
      </c>
      <c r="E1044">
        <v>220</v>
      </c>
      <c r="F1044" t="s">
        <v>401</v>
      </c>
      <c r="G1044">
        <v>12</v>
      </c>
    </row>
    <row r="1045" spans="1:8">
      <c r="A1045" t="str">
        <f t="shared" si="16"/>
        <v>Franciscanessenstraat 13</v>
      </c>
      <c r="B1045" t="s">
        <v>400</v>
      </c>
      <c r="C1045" t="s">
        <v>296</v>
      </c>
      <c r="D1045">
        <v>2005</v>
      </c>
      <c r="E1045">
        <v>224</v>
      </c>
      <c r="F1045" t="s">
        <v>401</v>
      </c>
      <c r="G1045">
        <v>13</v>
      </c>
    </row>
    <row r="1046" spans="1:8">
      <c r="A1046" t="str">
        <f t="shared" si="16"/>
        <v>Franciscanessenstraat 14</v>
      </c>
      <c r="B1046" t="s">
        <v>402</v>
      </c>
      <c r="C1046" t="s">
        <v>296</v>
      </c>
      <c r="D1046">
        <v>2005</v>
      </c>
      <c r="E1046">
        <v>203</v>
      </c>
      <c r="F1046" t="s">
        <v>401</v>
      </c>
      <c r="G1046">
        <v>14</v>
      </c>
    </row>
    <row r="1047" spans="1:8">
      <c r="A1047" t="str">
        <f t="shared" si="16"/>
        <v>Franciscanessenstraat 15</v>
      </c>
      <c r="B1047" t="s">
        <v>400</v>
      </c>
      <c r="C1047" t="s">
        <v>296</v>
      </c>
      <c r="D1047">
        <v>2005</v>
      </c>
      <c r="E1047">
        <v>250</v>
      </c>
      <c r="F1047" t="s">
        <v>401</v>
      </c>
      <c r="G1047">
        <v>15</v>
      </c>
    </row>
    <row r="1048" spans="1:8">
      <c r="A1048" t="str">
        <f t="shared" si="16"/>
        <v>Franciscanessenstraat 16</v>
      </c>
      <c r="B1048" t="s">
        <v>402</v>
      </c>
      <c r="C1048" t="s">
        <v>296</v>
      </c>
      <c r="D1048">
        <v>2005</v>
      </c>
      <c r="E1048">
        <v>221</v>
      </c>
      <c r="F1048" t="s">
        <v>401</v>
      </c>
      <c r="G1048">
        <v>16</v>
      </c>
    </row>
    <row r="1049" spans="1:8">
      <c r="A1049" t="str">
        <f t="shared" si="16"/>
        <v>Franciscanessenstraat 17</v>
      </c>
      <c r="B1049" t="s">
        <v>400</v>
      </c>
      <c r="C1049" t="s">
        <v>296</v>
      </c>
      <c r="D1049">
        <v>2005</v>
      </c>
      <c r="E1049">
        <v>230</v>
      </c>
      <c r="F1049" t="s">
        <v>401</v>
      </c>
      <c r="G1049">
        <v>17</v>
      </c>
    </row>
    <row r="1050" spans="1:8">
      <c r="A1050" t="str">
        <f t="shared" si="16"/>
        <v>Franciscanessenstraat 18</v>
      </c>
      <c r="B1050" t="s">
        <v>402</v>
      </c>
      <c r="C1050" t="s">
        <v>296</v>
      </c>
      <c r="D1050">
        <v>2005</v>
      </c>
      <c r="E1050">
        <v>180</v>
      </c>
      <c r="F1050" t="s">
        <v>401</v>
      </c>
      <c r="G1050">
        <v>18</v>
      </c>
    </row>
    <row r="1051" spans="1:8">
      <c r="A1051" t="str">
        <f t="shared" si="16"/>
        <v>Franciscanessenstraat 19</v>
      </c>
      <c r="B1051" t="s">
        <v>400</v>
      </c>
      <c r="C1051" t="s">
        <v>296</v>
      </c>
      <c r="D1051">
        <v>2005</v>
      </c>
      <c r="E1051">
        <v>202</v>
      </c>
      <c r="F1051" t="s">
        <v>401</v>
      </c>
      <c r="G1051">
        <v>19</v>
      </c>
    </row>
    <row r="1052" spans="1:8">
      <c r="A1052" t="str">
        <f t="shared" si="16"/>
        <v>Franciscanessenstraat 20</v>
      </c>
      <c r="B1052" t="s">
        <v>402</v>
      </c>
      <c r="C1052" t="s">
        <v>296</v>
      </c>
      <c r="D1052">
        <v>2005</v>
      </c>
      <c r="E1052">
        <v>224</v>
      </c>
      <c r="F1052" t="s">
        <v>401</v>
      </c>
      <c r="G1052">
        <v>20</v>
      </c>
    </row>
    <row r="1053" spans="1:8">
      <c r="A1053" t="str">
        <f t="shared" si="16"/>
        <v>Franciscanessenstraat 21</v>
      </c>
      <c r="B1053" t="s">
        <v>400</v>
      </c>
      <c r="C1053" t="s">
        <v>296</v>
      </c>
      <c r="D1053">
        <v>2009</v>
      </c>
      <c r="E1053">
        <v>232</v>
      </c>
      <c r="F1053" t="s">
        <v>401</v>
      </c>
      <c r="G1053">
        <v>21</v>
      </c>
    </row>
    <row r="1054" spans="1:8">
      <c r="A1054" t="str">
        <f t="shared" si="16"/>
        <v>Franciscanessenstraat 22a</v>
      </c>
      <c r="B1054" t="s">
        <v>402</v>
      </c>
      <c r="C1054" t="s">
        <v>296</v>
      </c>
      <c r="D1054">
        <v>2022</v>
      </c>
      <c r="E1054">
        <v>305</v>
      </c>
      <c r="F1054" t="s">
        <v>401</v>
      </c>
      <c r="G1054">
        <v>22</v>
      </c>
      <c r="H1054" t="s">
        <v>304</v>
      </c>
    </row>
    <row r="1055" spans="1:8">
      <c r="A1055" t="str">
        <f t="shared" si="16"/>
        <v>Franciscanessenstraat 22</v>
      </c>
      <c r="B1055" t="s">
        <v>402</v>
      </c>
      <c r="C1055" t="s">
        <v>296</v>
      </c>
      <c r="D1055">
        <v>2015</v>
      </c>
      <c r="E1055">
        <v>242</v>
      </c>
      <c r="F1055" t="s">
        <v>401</v>
      </c>
      <c r="G1055">
        <v>22</v>
      </c>
    </row>
    <row r="1056" spans="1:8">
      <c r="A1056" t="str">
        <f t="shared" si="16"/>
        <v>Franciscanessenstraat 23</v>
      </c>
      <c r="B1056" t="s">
        <v>400</v>
      </c>
      <c r="C1056" t="s">
        <v>296</v>
      </c>
      <c r="D1056">
        <v>2008</v>
      </c>
      <c r="E1056">
        <v>208</v>
      </c>
      <c r="F1056" t="s">
        <v>401</v>
      </c>
      <c r="G1056">
        <v>23</v>
      </c>
    </row>
    <row r="1057" spans="1:8">
      <c r="A1057" t="str">
        <f t="shared" si="16"/>
        <v>Franciscanessenstraat 24</v>
      </c>
      <c r="B1057" t="s">
        <v>402</v>
      </c>
      <c r="C1057" t="s">
        <v>296</v>
      </c>
      <c r="D1057">
        <v>2008</v>
      </c>
      <c r="E1057">
        <v>202</v>
      </c>
      <c r="F1057" t="s">
        <v>401</v>
      </c>
      <c r="G1057">
        <v>24</v>
      </c>
    </row>
    <row r="1058" spans="1:8">
      <c r="A1058" t="str">
        <f t="shared" si="16"/>
        <v>Franciscanessenstraat 25</v>
      </c>
      <c r="B1058" t="s">
        <v>400</v>
      </c>
      <c r="C1058" t="s">
        <v>296</v>
      </c>
      <c r="D1058">
        <v>2008</v>
      </c>
      <c r="E1058">
        <v>230</v>
      </c>
      <c r="F1058" t="s">
        <v>401</v>
      </c>
      <c r="G1058">
        <v>25</v>
      </c>
    </row>
    <row r="1059" spans="1:8">
      <c r="A1059" t="str">
        <f t="shared" si="16"/>
        <v>Franciscanessenstraat 26</v>
      </c>
      <c r="B1059" t="s">
        <v>402</v>
      </c>
      <c r="C1059" t="s">
        <v>296</v>
      </c>
      <c r="D1059">
        <v>2008</v>
      </c>
      <c r="E1059">
        <v>202</v>
      </c>
      <c r="F1059" t="s">
        <v>401</v>
      </c>
      <c r="G1059">
        <v>26</v>
      </c>
    </row>
    <row r="1060" spans="1:8">
      <c r="A1060" t="str">
        <f t="shared" si="16"/>
        <v>Franciscanessenstraat 28</v>
      </c>
      <c r="B1060" t="s">
        <v>402</v>
      </c>
      <c r="C1060" t="s">
        <v>296</v>
      </c>
      <c r="D1060">
        <v>2014</v>
      </c>
      <c r="E1060">
        <v>205</v>
      </c>
      <c r="F1060" t="s">
        <v>401</v>
      </c>
      <c r="G1060">
        <v>28</v>
      </c>
    </row>
    <row r="1061" spans="1:8">
      <c r="A1061" t="str">
        <f t="shared" si="16"/>
        <v>Franciscanessenstraat 30</v>
      </c>
      <c r="B1061" t="s">
        <v>402</v>
      </c>
      <c r="C1061" t="s">
        <v>296</v>
      </c>
      <c r="D1061">
        <v>2008</v>
      </c>
      <c r="E1061">
        <v>226</v>
      </c>
      <c r="F1061" t="s">
        <v>401</v>
      </c>
      <c r="G1061">
        <v>30</v>
      </c>
    </row>
    <row r="1062" spans="1:8">
      <c r="A1062" t="str">
        <f t="shared" si="16"/>
        <v>Frankenstraat 2</v>
      </c>
      <c r="B1062" t="s">
        <v>403</v>
      </c>
      <c r="C1062" t="s">
        <v>306</v>
      </c>
      <c r="D1062">
        <v>1992</v>
      </c>
      <c r="E1062">
        <v>98</v>
      </c>
      <c r="F1062" t="s">
        <v>404</v>
      </c>
      <c r="G1062">
        <v>2</v>
      </c>
    </row>
    <row r="1063" spans="1:8">
      <c r="A1063" t="str">
        <f t="shared" si="16"/>
        <v>Frankenstraat 4</v>
      </c>
      <c r="B1063" t="s">
        <v>403</v>
      </c>
      <c r="C1063" t="s">
        <v>306</v>
      </c>
      <c r="D1063">
        <v>1992</v>
      </c>
      <c r="E1063">
        <v>87</v>
      </c>
      <c r="F1063" t="s">
        <v>404</v>
      </c>
      <c r="G1063">
        <v>4</v>
      </c>
    </row>
    <row r="1064" spans="1:8">
      <c r="A1064" t="str">
        <f t="shared" si="16"/>
        <v>Frankenstraat 6</v>
      </c>
      <c r="B1064" t="s">
        <v>403</v>
      </c>
      <c r="C1064" t="s">
        <v>306</v>
      </c>
      <c r="D1064">
        <v>1993</v>
      </c>
      <c r="E1064">
        <v>106</v>
      </c>
      <c r="F1064" t="s">
        <v>404</v>
      </c>
      <c r="G1064">
        <v>6</v>
      </c>
    </row>
    <row r="1065" spans="1:8">
      <c r="A1065" t="str">
        <f t="shared" si="16"/>
        <v>Frankenstraat 8</v>
      </c>
      <c r="B1065" t="s">
        <v>403</v>
      </c>
      <c r="C1065" t="s">
        <v>306</v>
      </c>
      <c r="D1065">
        <v>1993</v>
      </c>
      <c r="E1065">
        <v>112</v>
      </c>
      <c r="F1065" t="s">
        <v>404</v>
      </c>
      <c r="G1065">
        <v>8</v>
      </c>
    </row>
    <row r="1066" spans="1:8">
      <c r="A1066" t="str">
        <f t="shared" si="16"/>
        <v>Frankenstraat 10</v>
      </c>
      <c r="B1066" t="s">
        <v>403</v>
      </c>
      <c r="C1066" t="s">
        <v>306</v>
      </c>
      <c r="D1066">
        <v>1990</v>
      </c>
      <c r="E1066">
        <v>145</v>
      </c>
      <c r="F1066" t="s">
        <v>404</v>
      </c>
      <c r="G1066">
        <v>10</v>
      </c>
    </row>
    <row r="1067" spans="1:8">
      <c r="A1067" t="str">
        <f t="shared" si="16"/>
        <v>Frankenstraat 12</v>
      </c>
      <c r="B1067" t="s">
        <v>403</v>
      </c>
      <c r="C1067" t="s">
        <v>306</v>
      </c>
      <c r="D1067">
        <v>1993</v>
      </c>
      <c r="E1067">
        <v>145</v>
      </c>
      <c r="F1067" t="s">
        <v>404</v>
      </c>
      <c r="G1067">
        <v>12</v>
      </c>
    </row>
    <row r="1068" spans="1:8">
      <c r="A1068" t="str">
        <f t="shared" si="16"/>
        <v>Gelrestraat 1</v>
      </c>
      <c r="B1068" t="s">
        <v>405</v>
      </c>
      <c r="C1068" t="s">
        <v>306</v>
      </c>
      <c r="D1068">
        <v>1987</v>
      </c>
      <c r="E1068">
        <v>176</v>
      </c>
      <c r="F1068" t="s">
        <v>406</v>
      </c>
      <c r="G1068">
        <v>1</v>
      </c>
    </row>
    <row r="1069" spans="1:8">
      <c r="A1069" t="str">
        <f t="shared" si="16"/>
        <v>Gelrestraat 3</v>
      </c>
      <c r="B1069" t="s">
        <v>405</v>
      </c>
      <c r="C1069" t="s">
        <v>306</v>
      </c>
      <c r="D1069">
        <v>1980</v>
      </c>
      <c r="E1069">
        <v>203</v>
      </c>
      <c r="F1069" t="s">
        <v>406</v>
      </c>
      <c r="G1069">
        <v>3</v>
      </c>
    </row>
    <row r="1070" spans="1:8">
      <c r="A1070" t="str">
        <f t="shared" si="16"/>
        <v>Gelrestraat 4</v>
      </c>
      <c r="B1070" t="s">
        <v>407</v>
      </c>
      <c r="C1070" t="s">
        <v>306</v>
      </c>
      <c r="D1070">
        <v>1969</v>
      </c>
      <c r="E1070">
        <v>211</v>
      </c>
      <c r="F1070" t="s">
        <v>406</v>
      </c>
      <c r="G1070">
        <v>4</v>
      </c>
    </row>
    <row r="1071" spans="1:8">
      <c r="A1071" t="str">
        <f t="shared" si="16"/>
        <v>Gelrestraat 5a</v>
      </c>
      <c r="B1071" t="s">
        <v>405</v>
      </c>
      <c r="C1071" t="s">
        <v>306</v>
      </c>
      <c r="D1071">
        <v>1998</v>
      </c>
      <c r="E1071">
        <v>186</v>
      </c>
      <c r="F1071" t="s">
        <v>406</v>
      </c>
      <c r="G1071">
        <v>5</v>
      </c>
      <c r="H1071" t="s">
        <v>304</v>
      </c>
    </row>
    <row r="1072" spans="1:8">
      <c r="A1072" t="str">
        <f t="shared" si="16"/>
        <v>Gelrestraat 5</v>
      </c>
      <c r="B1072" t="s">
        <v>405</v>
      </c>
      <c r="C1072" t="s">
        <v>306</v>
      </c>
      <c r="D1072">
        <v>1998</v>
      </c>
      <c r="E1072">
        <v>151</v>
      </c>
      <c r="F1072" t="s">
        <v>406</v>
      </c>
      <c r="G1072">
        <v>5</v>
      </c>
    </row>
    <row r="1073" spans="1:8">
      <c r="A1073" t="str">
        <f t="shared" si="16"/>
        <v>Gelrestraat 6</v>
      </c>
      <c r="B1073" t="s">
        <v>407</v>
      </c>
      <c r="C1073" t="s">
        <v>306</v>
      </c>
      <c r="D1073">
        <v>1987</v>
      </c>
      <c r="E1073">
        <v>227</v>
      </c>
      <c r="F1073" t="s">
        <v>406</v>
      </c>
      <c r="G1073">
        <v>6</v>
      </c>
    </row>
    <row r="1074" spans="1:8">
      <c r="A1074" t="str">
        <f t="shared" si="16"/>
        <v>Gelrestraat 7a</v>
      </c>
      <c r="B1074" t="s">
        <v>405</v>
      </c>
      <c r="C1074" t="s">
        <v>306</v>
      </c>
      <c r="D1074">
        <v>1998</v>
      </c>
      <c r="E1074">
        <v>183</v>
      </c>
      <c r="F1074" t="s">
        <v>406</v>
      </c>
      <c r="G1074">
        <v>7</v>
      </c>
      <c r="H1074" t="s">
        <v>304</v>
      </c>
    </row>
    <row r="1075" spans="1:8">
      <c r="A1075" t="str">
        <f t="shared" si="16"/>
        <v>Gelrestraat 7b</v>
      </c>
      <c r="B1075" t="s">
        <v>405</v>
      </c>
      <c r="C1075" t="s">
        <v>306</v>
      </c>
      <c r="D1075">
        <v>2001</v>
      </c>
      <c r="E1075">
        <v>182</v>
      </c>
      <c r="F1075" t="s">
        <v>406</v>
      </c>
      <c r="G1075">
        <v>7</v>
      </c>
      <c r="H1075" t="s">
        <v>298</v>
      </c>
    </row>
    <row r="1076" spans="1:8">
      <c r="A1076" t="str">
        <f t="shared" si="16"/>
        <v>Gelrestraat 7c</v>
      </c>
      <c r="B1076" t="s">
        <v>405</v>
      </c>
      <c r="C1076" t="s">
        <v>306</v>
      </c>
      <c r="D1076">
        <v>2001</v>
      </c>
      <c r="E1076">
        <v>161</v>
      </c>
      <c r="F1076" t="s">
        <v>406</v>
      </c>
      <c r="G1076">
        <v>7</v>
      </c>
      <c r="H1076" t="s">
        <v>299</v>
      </c>
    </row>
    <row r="1077" spans="1:8">
      <c r="A1077" t="str">
        <f t="shared" si="16"/>
        <v>Gelrestraat 7d</v>
      </c>
      <c r="B1077" t="s">
        <v>405</v>
      </c>
      <c r="C1077" t="s">
        <v>306</v>
      </c>
      <c r="D1077">
        <v>2000</v>
      </c>
      <c r="E1077">
        <v>180</v>
      </c>
      <c r="F1077" t="s">
        <v>406</v>
      </c>
      <c r="G1077">
        <v>7</v>
      </c>
      <c r="H1077" t="s">
        <v>300</v>
      </c>
    </row>
    <row r="1078" spans="1:8">
      <c r="A1078" t="str">
        <f t="shared" si="16"/>
        <v>Gelrestraat 7</v>
      </c>
      <c r="B1078" t="s">
        <v>405</v>
      </c>
      <c r="C1078" t="s">
        <v>306</v>
      </c>
      <c r="D1078">
        <v>1998</v>
      </c>
      <c r="E1078">
        <v>180</v>
      </c>
      <c r="F1078" t="s">
        <v>406</v>
      </c>
      <c r="G1078">
        <v>7</v>
      </c>
    </row>
    <row r="1079" spans="1:8">
      <c r="A1079" t="str">
        <f t="shared" si="16"/>
        <v>Gelrestraat 8</v>
      </c>
      <c r="B1079" t="s">
        <v>407</v>
      </c>
      <c r="C1079" t="s">
        <v>306</v>
      </c>
      <c r="D1079">
        <v>1967</v>
      </c>
      <c r="E1079">
        <v>358</v>
      </c>
      <c r="F1079" t="s">
        <v>406</v>
      </c>
      <c r="G1079">
        <v>8</v>
      </c>
    </row>
    <row r="1080" spans="1:8">
      <c r="A1080" t="str">
        <f t="shared" si="16"/>
        <v>Gelrestraat 9a</v>
      </c>
      <c r="B1080" t="s">
        <v>405</v>
      </c>
      <c r="C1080" t="s">
        <v>306</v>
      </c>
      <c r="D1080">
        <v>1998</v>
      </c>
      <c r="E1080">
        <v>316</v>
      </c>
      <c r="F1080" t="s">
        <v>406</v>
      </c>
      <c r="G1080">
        <v>9</v>
      </c>
      <c r="H1080" t="s">
        <v>304</v>
      </c>
    </row>
    <row r="1081" spans="1:8">
      <c r="A1081" t="str">
        <f t="shared" si="16"/>
        <v>Gelrestraat 9</v>
      </c>
      <c r="B1081" t="s">
        <v>405</v>
      </c>
      <c r="C1081" t="s">
        <v>306</v>
      </c>
      <c r="D1081">
        <v>1989</v>
      </c>
      <c r="E1081">
        <v>194</v>
      </c>
      <c r="F1081" t="s">
        <v>406</v>
      </c>
      <c r="G1081">
        <v>9</v>
      </c>
    </row>
    <row r="1082" spans="1:8">
      <c r="A1082" t="str">
        <f t="shared" si="16"/>
        <v>Gelrestraat 10</v>
      </c>
      <c r="B1082" t="s">
        <v>407</v>
      </c>
      <c r="C1082" t="s">
        <v>306</v>
      </c>
      <c r="D1082">
        <v>1968</v>
      </c>
      <c r="E1082">
        <v>214</v>
      </c>
      <c r="F1082" t="s">
        <v>406</v>
      </c>
      <c r="G1082">
        <v>10</v>
      </c>
    </row>
    <row r="1083" spans="1:8">
      <c r="A1083" t="str">
        <f t="shared" si="16"/>
        <v>Gelrestraat 11</v>
      </c>
      <c r="B1083" t="s">
        <v>405</v>
      </c>
      <c r="C1083" t="s">
        <v>306</v>
      </c>
      <c r="D1083">
        <v>1987</v>
      </c>
      <c r="E1083">
        <v>344</v>
      </c>
      <c r="F1083" t="s">
        <v>406</v>
      </c>
      <c r="G1083">
        <v>11</v>
      </c>
    </row>
    <row r="1084" spans="1:8">
      <c r="A1084" t="str">
        <f t="shared" si="16"/>
        <v>Gelrestraat 12</v>
      </c>
      <c r="B1084" t="s">
        <v>407</v>
      </c>
      <c r="C1084" t="s">
        <v>306</v>
      </c>
      <c r="D1084">
        <v>1960</v>
      </c>
      <c r="E1084">
        <v>149</v>
      </c>
      <c r="F1084" t="s">
        <v>406</v>
      </c>
      <c r="G1084">
        <v>12</v>
      </c>
    </row>
    <row r="1085" spans="1:8">
      <c r="A1085" t="str">
        <f t="shared" si="16"/>
        <v>Gelrestraat 13</v>
      </c>
      <c r="B1085" t="s">
        <v>405</v>
      </c>
      <c r="C1085" t="s">
        <v>306</v>
      </c>
      <c r="D1085">
        <v>2002</v>
      </c>
      <c r="E1085">
        <v>252</v>
      </c>
      <c r="F1085" t="s">
        <v>406</v>
      </c>
      <c r="G1085">
        <v>13</v>
      </c>
    </row>
    <row r="1086" spans="1:8">
      <c r="A1086" t="str">
        <f t="shared" si="16"/>
        <v>Gelrestraat 14</v>
      </c>
      <c r="B1086" t="s">
        <v>407</v>
      </c>
      <c r="C1086" t="s">
        <v>306</v>
      </c>
      <c r="D1086">
        <v>1960</v>
      </c>
      <c r="E1086">
        <v>159</v>
      </c>
      <c r="F1086" t="s">
        <v>406</v>
      </c>
      <c r="G1086">
        <v>14</v>
      </c>
    </row>
    <row r="1087" spans="1:8">
      <c r="A1087" t="str">
        <f t="shared" si="16"/>
        <v>Gelrestraat 15</v>
      </c>
      <c r="B1087" t="s">
        <v>405</v>
      </c>
      <c r="C1087" t="s">
        <v>306</v>
      </c>
      <c r="D1087">
        <v>1965</v>
      </c>
      <c r="E1087">
        <v>221</v>
      </c>
      <c r="F1087" t="s">
        <v>406</v>
      </c>
      <c r="G1087">
        <v>15</v>
      </c>
    </row>
    <row r="1088" spans="1:8">
      <c r="A1088" t="str">
        <f t="shared" si="16"/>
        <v>Gelrestraat 16</v>
      </c>
      <c r="B1088" t="s">
        <v>407</v>
      </c>
      <c r="C1088" t="s">
        <v>306</v>
      </c>
      <c r="D1088">
        <v>1960</v>
      </c>
      <c r="E1088">
        <v>162</v>
      </c>
      <c r="F1088" t="s">
        <v>406</v>
      </c>
      <c r="G1088">
        <v>16</v>
      </c>
    </row>
    <row r="1089" spans="1:8">
      <c r="A1089" t="str">
        <f t="shared" si="16"/>
        <v>Gelrestraat 17a</v>
      </c>
      <c r="B1089" t="s">
        <v>405</v>
      </c>
      <c r="C1089" t="s">
        <v>306</v>
      </c>
      <c r="D1089">
        <v>1965</v>
      </c>
      <c r="E1089">
        <v>149</v>
      </c>
      <c r="F1089" t="s">
        <v>406</v>
      </c>
      <c r="G1089">
        <v>17</v>
      </c>
      <c r="H1089" t="s">
        <v>304</v>
      </c>
    </row>
    <row r="1090" spans="1:8">
      <c r="A1090" t="str">
        <f t="shared" ref="A1090:A1153" si="17">CONCATENATE(F1090," ",G1090,H1090)</f>
        <v>Gelrestraat 17b</v>
      </c>
      <c r="B1090" t="s">
        <v>405</v>
      </c>
      <c r="C1090" t="s">
        <v>306</v>
      </c>
      <c r="D1090">
        <v>1976</v>
      </c>
      <c r="E1090">
        <v>247</v>
      </c>
      <c r="F1090" t="s">
        <v>406</v>
      </c>
      <c r="G1090">
        <v>17</v>
      </c>
      <c r="H1090" t="s">
        <v>298</v>
      </c>
    </row>
    <row r="1091" spans="1:8">
      <c r="A1091" t="str">
        <f t="shared" si="17"/>
        <v>Gelrestraat 17</v>
      </c>
      <c r="B1091" t="s">
        <v>405</v>
      </c>
      <c r="C1091" t="s">
        <v>306</v>
      </c>
      <c r="D1091">
        <v>1960</v>
      </c>
      <c r="E1091">
        <v>139</v>
      </c>
      <c r="F1091" t="s">
        <v>406</v>
      </c>
      <c r="G1091">
        <v>17</v>
      </c>
    </row>
    <row r="1092" spans="1:8">
      <c r="A1092" t="str">
        <f t="shared" si="17"/>
        <v>Gelrestraat 18</v>
      </c>
      <c r="B1092" t="s">
        <v>407</v>
      </c>
      <c r="C1092" t="s">
        <v>306</v>
      </c>
      <c r="D1092">
        <v>1960</v>
      </c>
      <c r="E1092">
        <v>157</v>
      </c>
      <c r="F1092" t="s">
        <v>406</v>
      </c>
      <c r="G1092">
        <v>18</v>
      </c>
    </row>
    <row r="1093" spans="1:8">
      <c r="A1093" t="str">
        <f t="shared" si="17"/>
        <v>Gelrestraat 19</v>
      </c>
      <c r="B1093" t="s">
        <v>405</v>
      </c>
      <c r="C1093" t="s">
        <v>306</v>
      </c>
      <c r="D1093">
        <v>1962</v>
      </c>
      <c r="E1093">
        <v>144</v>
      </c>
      <c r="F1093" t="s">
        <v>406</v>
      </c>
      <c r="G1093">
        <v>19</v>
      </c>
    </row>
    <row r="1094" spans="1:8">
      <c r="A1094" t="str">
        <f t="shared" si="17"/>
        <v>Gelrestraat 20</v>
      </c>
      <c r="B1094" t="s">
        <v>407</v>
      </c>
      <c r="C1094" t="s">
        <v>306</v>
      </c>
      <c r="D1094">
        <v>1960</v>
      </c>
      <c r="E1094">
        <v>162</v>
      </c>
      <c r="F1094" t="s">
        <v>406</v>
      </c>
      <c r="G1094">
        <v>20</v>
      </c>
    </row>
    <row r="1095" spans="1:8">
      <c r="A1095" t="str">
        <f t="shared" si="17"/>
        <v>Gelrestraat 21</v>
      </c>
      <c r="B1095" t="s">
        <v>405</v>
      </c>
      <c r="C1095" t="s">
        <v>306</v>
      </c>
      <c r="D1095">
        <v>1960</v>
      </c>
      <c r="E1095">
        <v>182</v>
      </c>
      <c r="F1095" t="s">
        <v>406</v>
      </c>
      <c r="G1095">
        <v>21</v>
      </c>
    </row>
    <row r="1096" spans="1:8">
      <c r="A1096" t="str">
        <f t="shared" si="17"/>
        <v>Gelrestraat 22</v>
      </c>
      <c r="B1096" t="s">
        <v>407</v>
      </c>
      <c r="C1096" t="s">
        <v>306</v>
      </c>
      <c r="D1096">
        <v>1960</v>
      </c>
      <c r="E1096">
        <v>177</v>
      </c>
      <c r="F1096" t="s">
        <v>406</v>
      </c>
      <c r="G1096">
        <v>22</v>
      </c>
    </row>
    <row r="1097" spans="1:8">
      <c r="A1097" t="str">
        <f t="shared" si="17"/>
        <v>Gelrestraat 23</v>
      </c>
      <c r="B1097" t="s">
        <v>405</v>
      </c>
      <c r="C1097" t="s">
        <v>306</v>
      </c>
      <c r="D1097">
        <v>1960</v>
      </c>
      <c r="E1097">
        <v>180</v>
      </c>
      <c r="F1097" t="s">
        <v>406</v>
      </c>
      <c r="G1097">
        <v>23</v>
      </c>
    </row>
    <row r="1098" spans="1:8">
      <c r="A1098" t="str">
        <f t="shared" si="17"/>
        <v>Gelrestraat 25</v>
      </c>
      <c r="B1098" t="s">
        <v>405</v>
      </c>
      <c r="C1098" t="s">
        <v>306</v>
      </c>
      <c r="D1098">
        <v>1960</v>
      </c>
      <c r="E1098">
        <v>220</v>
      </c>
      <c r="F1098" t="s">
        <v>406</v>
      </c>
      <c r="G1098">
        <v>25</v>
      </c>
    </row>
    <row r="1099" spans="1:8">
      <c r="A1099" t="str">
        <f t="shared" si="17"/>
        <v>Gelrestraat 27</v>
      </c>
      <c r="B1099" t="s">
        <v>405</v>
      </c>
      <c r="C1099" t="s">
        <v>306</v>
      </c>
      <c r="D1099">
        <v>1966</v>
      </c>
      <c r="E1099">
        <v>272</v>
      </c>
      <c r="F1099" t="s">
        <v>406</v>
      </c>
      <c r="G1099">
        <v>27</v>
      </c>
    </row>
    <row r="1100" spans="1:8">
      <c r="A1100" t="str">
        <f t="shared" si="17"/>
        <v>Gelrestraat 29</v>
      </c>
      <c r="B1100" t="s">
        <v>405</v>
      </c>
      <c r="C1100" t="s">
        <v>306</v>
      </c>
      <c r="D1100">
        <v>1963</v>
      </c>
      <c r="E1100">
        <v>170</v>
      </c>
      <c r="F1100" t="s">
        <v>406</v>
      </c>
      <c r="G1100">
        <v>29</v>
      </c>
    </row>
    <row r="1101" spans="1:8">
      <c r="A1101" t="str">
        <f t="shared" si="17"/>
        <v>Generaal Gavinstraat 1a</v>
      </c>
      <c r="B1101" t="s">
        <v>408</v>
      </c>
      <c r="C1101" t="s">
        <v>306</v>
      </c>
      <c r="D1101">
        <v>1974</v>
      </c>
      <c r="E1101">
        <v>9</v>
      </c>
      <c r="F1101" t="s">
        <v>409</v>
      </c>
      <c r="G1101">
        <v>1</v>
      </c>
      <c r="H1101" t="s">
        <v>304</v>
      </c>
    </row>
    <row r="1102" spans="1:8">
      <c r="A1102" t="str">
        <f t="shared" si="17"/>
        <v>Generaal Gavinstraat 1</v>
      </c>
      <c r="B1102" t="s">
        <v>408</v>
      </c>
      <c r="C1102" t="s">
        <v>306</v>
      </c>
      <c r="D1102">
        <v>1970</v>
      </c>
      <c r="E1102">
        <v>122</v>
      </c>
      <c r="F1102" t="s">
        <v>409</v>
      </c>
      <c r="G1102">
        <v>1</v>
      </c>
    </row>
    <row r="1103" spans="1:8">
      <c r="A1103" t="str">
        <f t="shared" si="17"/>
        <v>Generaal Gavinstraat 2</v>
      </c>
      <c r="B1103" t="s">
        <v>410</v>
      </c>
      <c r="C1103" t="s">
        <v>306</v>
      </c>
      <c r="D1103">
        <v>1960</v>
      </c>
      <c r="E1103">
        <v>113</v>
      </c>
      <c r="F1103" t="s">
        <v>409</v>
      </c>
      <c r="G1103">
        <v>2</v>
      </c>
    </row>
    <row r="1104" spans="1:8">
      <c r="A1104" t="str">
        <f t="shared" si="17"/>
        <v>Generaal Gavinstraat 3</v>
      </c>
      <c r="B1104" t="s">
        <v>408</v>
      </c>
      <c r="C1104" t="s">
        <v>306</v>
      </c>
      <c r="D1104">
        <v>1933</v>
      </c>
      <c r="E1104">
        <v>149</v>
      </c>
      <c r="F1104" t="s">
        <v>409</v>
      </c>
      <c r="G1104">
        <v>3</v>
      </c>
    </row>
    <row r="1105" spans="1:7">
      <c r="A1105" t="str">
        <f t="shared" si="17"/>
        <v>Generaal Gavinstraat 4</v>
      </c>
      <c r="B1105" t="s">
        <v>410</v>
      </c>
      <c r="C1105" t="s">
        <v>306</v>
      </c>
      <c r="D1105">
        <v>1960</v>
      </c>
      <c r="E1105">
        <v>98</v>
      </c>
      <c r="F1105" t="s">
        <v>409</v>
      </c>
      <c r="G1105">
        <v>4</v>
      </c>
    </row>
    <row r="1106" spans="1:7">
      <c r="A1106" t="str">
        <f t="shared" si="17"/>
        <v>Generaal Gavinstraat 5</v>
      </c>
      <c r="B1106" t="s">
        <v>408</v>
      </c>
      <c r="C1106" t="s">
        <v>306</v>
      </c>
      <c r="D1106">
        <v>1935</v>
      </c>
      <c r="E1106">
        <v>310</v>
      </c>
      <c r="F1106" t="s">
        <v>409</v>
      </c>
      <c r="G1106">
        <v>5</v>
      </c>
    </row>
    <row r="1107" spans="1:7">
      <c r="A1107" t="str">
        <f t="shared" si="17"/>
        <v>Generaal Gavinstraat 6</v>
      </c>
      <c r="B1107" t="s">
        <v>410</v>
      </c>
      <c r="C1107" t="s">
        <v>306</v>
      </c>
      <c r="D1107">
        <v>1960</v>
      </c>
      <c r="E1107">
        <v>154</v>
      </c>
      <c r="F1107" t="s">
        <v>409</v>
      </c>
      <c r="G1107">
        <v>6</v>
      </c>
    </row>
    <row r="1108" spans="1:7">
      <c r="A1108" t="str">
        <f t="shared" si="17"/>
        <v>Generaal Gavinstraat 7</v>
      </c>
      <c r="B1108" t="s">
        <v>408</v>
      </c>
      <c r="C1108" t="s">
        <v>306</v>
      </c>
      <c r="D1108">
        <v>1940</v>
      </c>
      <c r="E1108">
        <v>142</v>
      </c>
      <c r="F1108" t="s">
        <v>409</v>
      </c>
      <c r="G1108">
        <v>7</v>
      </c>
    </row>
    <row r="1109" spans="1:7">
      <c r="A1109" t="str">
        <f t="shared" si="17"/>
        <v>Generaal Gavinstraat 8</v>
      </c>
      <c r="B1109" t="s">
        <v>410</v>
      </c>
      <c r="C1109" t="s">
        <v>306</v>
      </c>
      <c r="D1109">
        <v>1960</v>
      </c>
      <c r="E1109">
        <v>144</v>
      </c>
      <c r="F1109" t="s">
        <v>409</v>
      </c>
      <c r="G1109">
        <v>8</v>
      </c>
    </row>
    <row r="1110" spans="1:7">
      <c r="A1110" t="str">
        <f t="shared" si="17"/>
        <v>Generaal Gavinstraat 9</v>
      </c>
      <c r="B1110" t="s">
        <v>408</v>
      </c>
      <c r="C1110" t="s">
        <v>306</v>
      </c>
      <c r="D1110">
        <v>1940</v>
      </c>
      <c r="E1110">
        <v>120</v>
      </c>
      <c r="F1110" t="s">
        <v>409</v>
      </c>
      <c r="G1110">
        <v>9</v>
      </c>
    </row>
    <row r="1111" spans="1:7">
      <c r="A1111" t="str">
        <f t="shared" si="17"/>
        <v>Generaal Gavinstraat 10</v>
      </c>
      <c r="B1111" t="s">
        <v>410</v>
      </c>
      <c r="C1111" t="s">
        <v>306</v>
      </c>
      <c r="D1111">
        <v>1967</v>
      </c>
      <c r="E1111">
        <v>218</v>
      </c>
      <c r="F1111" t="s">
        <v>409</v>
      </c>
      <c r="G1111">
        <v>10</v>
      </c>
    </row>
    <row r="1112" spans="1:7">
      <c r="A1112" t="str">
        <f t="shared" si="17"/>
        <v>Generaal Gavinstraat 11</v>
      </c>
      <c r="B1112" t="s">
        <v>408</v>
      </c>
      <c r="C1112" t="s">
        <v>306</v>
      </c>
      <c r="D1112">
        <v>1977</v>
      </c>
      <c r="E1112">
        <v>215</v>
      </c>
      <c r="F1112" t="s">
        <v>409</v>
      </c>
      <c r="G1112">
        <v>11</v>
      </c>
    </row>
    <row r="1113" spans="1:7">
      <c r="A1113" t="str">
        <f t="shared" si="17"/>
        <v>Generaal Gavinstraat 12</v>
      </c>
      <c r="B1113" t="s">
        <v>410</v>
      </c>
      <c r="C1113" t="s">
        <v>306</v>
      </c>
      <c r="D1113">
        <v>1967</v>
      </c>
      <c r="E1113">
        <v>170</v>
      </c>
      <c r="F1113" t="s">
        <v>409</v>
      </c>
      <c r="G1113">
        <v>12</v>
      </c>
    </row>
    <row r="1114" spans="1:7">
      <c r="A1114" t="str">
        <f t="shared" si="17"/>
        <v>Generaal Gavinstraat 13</v>
      </c>
      <c r="B1114" t="s">
        <v>408</v>
      </c>
      <c r="C1114" t="s">
        <v>306</v>
      </c>
      <c r="D1114">
        <v>1970</v>
      </c>
      <c r="E1114">
        <v>119</v>
      </c>
      <c r="F1114" t="s">
        <v>409</v>
      </c>
      <c r="G1114">
        <v>13</v>
      </c>
    </row>
    <row r="1115" spans="1:7">
      <c r="A1115" t="str">
        <f t="shared" si="17"/>
        <v>Generaal Gavinstraat 14</v>
      </c>
      <c r="B1115" t="s">
        <v>410</v>
      </c>
      <c r="C1115" t="s">
        <v>306</v>
      </c>
      <c r="D1115">
        <v>1966</v>
      </c>
      <c r="E1115">
        <v>137</v>
      </c>
      <c r="F1115" t="s">
        <v>409</v>
      </c>
      <c r="G1115">
        <v>14</v>
      </c>
    </row>
    <row r="1116" spans="1:7">
      <c r="A1116" t="str">
        <f t="shared" si="17"/>
        <v>Generaal Gavinstraat 15</v>
      </c>
      <c r="B1116" t="s">
        <v>408</v>
      </c>
      <c r="C1116" t="s">
        <v>306</v>
      </c>
      <c r="D1116">
        <v>1972</v>
      </c>
      <c r="E1116">
        <v>397</v>
      </c>
      <c r="F1116" t="s">
        <v>409</v>
      </c>
      <c r="G1116">
        <v>15</v>
      </c>
    </row>
    <row r="1117" spans="1:7">
      <c r="A1117" t="str">
        <f t="shared" si="17"/>
        <v>Generaal Gavinstraat 16</v>
      </c>
      <c r="B1117" t="s">
        <v>410</v>
      </c>
      <c r="C1117" t="s">
        <v>306</v>
      </c>
      <c r="D1117">
        <v>1966</v>
      </c>
      <c r="E1117">
        <v>122</v>
      </c>
      <c r="F1117" t="s">
        <v>409</v>
      </c>
      <c r="G1117">
        <v>16</v>
      </c>
    </row>
    <row r="1118" spans="1:7">
      <c r="A1118" t="str">
        <f t="shared" si="17"/>
        <v>Generaal Gavinstraat 17</v>
      </c>
      <c r="B1118" t="s">
        <v>408</v>
      </c>
      <c r="C1118" t="s">
        <v>306</v>
      </c>
      <c r="D1118">
        <v>1957</v>
      </c>
      <c r="E1118">
        <v>184</v>
      </c>
      <c r="F1118" t="s">
        <v>409</v>
      </c>
      <c r="G1118">
        <v>17</v>
      </c>
    </row>
    <row r="1119" spans="1:7">
      <c r="A1119" t="str">
        <f t="shared" si="17"/>
        <v>Generaal Gavinstraat 18</v>
      </c>
      <c r="B1119" t="s">
        <v>410</v>
      </c>
      <c r="C1119" t="s">
        <v>306</v>
      </c>
      <c r="D1119">
        <v>1968</v>
      </c>
      <c r="E1119">
        <v>170</v>
      </c>
      <c r="F1119" t="s">
        <v>409</v>
      </c>
      <c r="G1119">
        <v>18</v>
      </c>
    </row>
    <row r="1120" spans="1:7">
      <c r="A1120" t="str">
        <f t="shared" si="17"/>
        <v>Generaal Gavinstraat 19</v>
      </c>
      <c r="B1120" t="s">
        <v>408</v>
      </c>
      <c r="C1120" t="s">
        <v>306</v>
      </c>
      <c r="D1120">
        <v>1962</v>
      </c>
      <c r="E1120">
        <v>114</v>
      </c>
      <c r="F1120" t="s">
        <v>409</v>
      </c>
      <c r="G1120">
        <v>19</v>
      </c>
    </row>
    <row r="1121" spans="1:7">
      <c r="A1121" t="str">
        <f t="shared" si="17"/>
        <v>Generaal Gavinstraat 20</v>
      </c>
      <c r="B1121" t="s">
        <v>410</v>
      </c>
      <c r="C1121" t="s">
        <v>306</v>
      </c>
      <c r="D1121">
        <v>1968</v>
      </c>
      <c r="E1121">
        <v>141</v>
      </c>
      <c r="F1121" t="s">
        <v>409</v>
      </c>
      <c r="G1121">
        <v>20</v>
      </c>
    </row>
    <row r="1122" spans="1:7">
      <c r="A1122" t="str">
        <f t="shared" si="17"/>
        <v>Generaal Gavinstraat 21</v>
      </c>
      <c r="B1122" t="s">
        <v>408</v>
      </c>
      <c r="C1122" t="s">
        <v>306</v>
      </c>
      <c r="D1122">
        <v>1961</v>
      </c>
      <c r="E1122">
        <v>257</v>
      </c>
      <c r="F1122" t="s">
        <v>409</v>
      </c>
      <c r="G1122">
        <v>21</v>
      </c>
    </row>
    <row r="1123" spans="1:7">
      <c r="A1123" t="str">
        <f t="shared" si="17"/>
        <v>Generaal Gavinstraat 22</v>
      </c>
      <c r="B1123" t="s">
        <v>410</v>
      </c>
      <c r="C1123" t="s">
        <v>306</v>
      </c>
      <c r="D1123">
        <v>1968</v>
      </c>
      <c r="E1123">
        <v>170</v>
      </c>
      <c r="F1123" t="s">
        <v>409</v>
      </c>
      <c r="G1123">
        <v>22</v>
      </c>
    </row>
    <row r="1124" spans="1:7">
      <c r="A1124" t="str">
        <f t="shared" si="17"/>
        <v>Generaal Gavinstraat 23</v>
      </c>
      <c r="B1124" t="s">
        <v>408</v>
      </c>
      <c r="C1124" t="s">
        <v>306</v>
      </c>
      <c r="D1124">
        <v>1959</v>
      </c>
      <c r="E1124">
        <v>153</v>
      </c>
      <c r="F1124" t="s">
        <v>409</v>
      </c>
      <c r="G1124">
        <v>23</v>
      </c>
    </row>
    <row r="1125" spans="1:7">
      <c r="A1125" t="str">
        <f t="shared" si="17"/>
        <v>Generaal Gavinstraat 24</v>
      </c>
      <c r="B1125" t="s">
        <v>410</v>
      </c>
      <c r="C1125" t="s">
        <v>306</v>
      </c>
      <c r="D1125">
        <v>1969</v>
      </c>
      <c r="E1125">
        <v>153</v>
      </c>
      <c r="F1125" t="s">
        <v>409</v>
      </c>
      <c r="G1125">
        <v>24</v>
      </c>
    </row>
    <row r="1126" spans="1:7">
      <c r="A1126" t="str">
        <f t="shared" si="17"/>
        <v>Generaal Gavinstraat 25</v>
      </c>
      <c r="B1126" t="s">
        <v>408</v>
      </c>
      <c r="C1126" t="s">
        <v>306</v>
      </c>
      <c r="D1126">
        <v>1959</v>
      </c>
      <c r="E1126">
        <v>124</v>
      </c>
      <c r="F1126" t="s">
        <v>409</v>
      </c>
      <c r="G1126">
        <v>25</v>
      </c>
    </row>
    <row r="1127" spans="1:7">
      <c r="A1127" t="str">
        <f t="shared" si="17"/>
        <v>Generaal Gavinstraat 26</v>
      </c>
      <c r="B1127" t="s">
        <v>410</v>
      </c>
      <c r="C1127" t="s">
        <v>306</v>
      </c>
      <c r="D1127">
        <v>1969</v>
      </c>
      <c r="E1127">
        <v>147</v>
      </c>
      <c r="F1127" t="s">
        <v>409</v>
      </c>
      <c r="G1127">
        <v>26</v>
      </c>
    </row>
    <row r="1128" spans="1:7">
      <c r="A1128" t="str">
        <f t="shared" si="17"/>
        <v>Generaal Gavinstraat 27</v>
      </c>
      <c r="B1128" t="s">
        <v>408</v>
      </c>
      <c r="C1128" t="s">
        <v>306</v>
      </c>
      <c r="D1128">
        <v>1948</v>
      </c>
      <c r="E1128">
        <v>142</v>
      </c>
      <c r="F1128" t="s">
        <v>409</v>
      </c>
      <c r="G1128">
        <v>27</v>
      </c>
    </row>
    <row r="1129" spans="1:7">
      <c r="A1129" t="str">
        <f t="shared" si="17"/>
        <v>Generaal Gavinstraat 28</v>
      </c>
      <c r="B1129" t="s">
        <v>410</v>
      </c>
      <c r="C1129" t="s">
        <v>306</v>
      </c>
      <c r="D1129">
        <v>1969</v>
      </c>
      <c r="E1129">
        <v>147</v>
      </c>
      <c r="F1129" t="s">
        <v>409</v>
      </c>
      <c r="G1129">
        <v>28</v>
      </c>
    </row>
    <row r="1130" spans="1:7">
      <c r="A1130" t="str">
        <f t="shared" si="17"/>
        <v>Generaal Gavinstraat 29</v>
      </c>
      <c r="B1130" t="s">
        <v>408</v>
      </c>
      <c r="C1130" t="s">
        <v>306</v>
      </c>
      <c r="D1130">
        <v>1948</v>
      </c>
      <c r="E1130">
        <v>134</v>
      </c>
      <c r="F1130" t="s">
        <v>409</v>
      </c>
      <c r="G1130">
        <v>29</v>
      </c>
    </row>
    <row r="1131" spans="1:7">
      <c r="A1131" t="str">
        <f t="shared" si="17"/>
        <v>Generaal Gavinstraat 30</v>
      </c>
      <c r="B1131" t="s">
        <v>410</v>
      </c>
      <c r="C1131" t="s">
        <v>306</v>
      </c>
      <c r="D1131">
        <v>1969</v>
      </c>
      <c r="E1131">
        <v>148</v>
      </c>
      <c r="F1131" t="s">
        <v>409</v>
      </c>
      <c r="G1131">
        <v>30</v>
      </c>
    </row>
    <row r="1132" spans="1:7">
      <c r="A1132" t="str">
        <f t="shared" si="17"/>
        <v>Generaal Gavinstraat 31</v>
      </c>
      <c r="B1132" t="s">
        <v>408</v>
      </c>
      <c r="C1132" t="s">
        <v>306</v>
      </c>
      <c r="D1132">
        <v>1948</v>
      </c>
      <c r="E1132">
        <v>143</v>
      </c>
      <c r="F1132" t="s">
        <v>409</v>
      </c>
      <c r="G1132">
        <v>31</v>
      </c>
    </row>
    <row r="1133" spans="1:7">
      <c r="A1133" t="str">
        <f t="shared" si="17"/>
        <v>Generaal Gavinstraat 32</v>
      </c>
      <c r="B1133" t="s">
        <v>410</v>
      </c>
      <c r="C1133" t="s">
        <v>306</v>
      </c>
      <c r="D1133">
        <v>1969</v>
      </c>
      <c r="E1133">
        <v>147</v>
      </c>
      <c r="F1133" t="s">
        <v>409</v>
      </c>
      <c r="G1133">
        <v>32</v>
      </c>
    </row>
    <row r="1134" spans="1:7">
      <c r="A1134" t="str">
        <f t="shared" si="17"/>
        <v>Generaal Gavinstraat 33</v>
      </c>
      <c r="B1134" t="s">
        <v>408</v>
      </c>
      <c r="C1134" t="s">
        <v>306</v>
      </c>
      <c r="D1134">
        <v>1970</v>
      </c>
      <c r="E1134">
        <v>418</v>
      </c>
      <c r="F1134" t="s">
        <v>409</v>
      </c>
      <c r="G1134">
        <v>33</v>
      </c>
    </row>
    <row r="1135" spans="1:7">
      <c r="A1135" t="str">
        <f t="shared" si="17"/>
        <v>Generaal Gavinstraat 34</v>
      </c>
      <c r="B1135" t="s">
        <v>410</v>
      </c>
      <c r="C1135" t="s">
        <v>306</v>
      </c>
      <c r="D1135">
        <v>1969</v>
      </c>
      <c r="E1135">
        <v>145</v>
      </c>
      <c r="F1135" t="s">
        <v>409</v>
      </c>
      <c r="G1135">
        <v>34</v>
      </c>
    </row>
    <row r="1136" spans="1:7">
      <c r="A1136" t="str">
        <f t="shared" si="17"/>
        <v>Generaal Gavinstraat 35</v>
      </c>
      <c r="B1136" t="s">
        <v>408</v>
      </c>
      <c r="C1136" t="s">
        <v>306</v>
      </c>
      <c r="D1136">
        <v>1973</v>
      </c>
      <c r="E1136">
        <v>305</v>
      </c>
      <c r="F1136" t="s">
        <v>409</v>
      </c>
      <c r="G1136">
        <v>35</v>
      </c>
    </row>
    <row r="1137" spans="1:7">
      <c r="A1137" t="str">
        <f t="shared" si="17"/>
        <v>Generaal Gavinstraat 36</v>
      </c>
      <c r="B1137" t="s">
        <v>410</v>
      </c>
      <c r="C1137" t="s">
        <v>306</v>
      </c>
      <c r="D1137">
        <v>1969</v>
      </c>
      <c r="E1137">
        <v>146</v>
      </c>
      <c r="F1137" t="s">
        <v>409</v>
      </c>
      <c r="G1137">
        <v>36</v>
      </c>
    </row>
    <row r="1138" spans="1:7">
      <c r="A1138" t="str">
        <f t="shared" si="17"/>
        <v>Generaal Gavinstraat 37</v>
      </c>
      <c r="B1138" t="s">
        <v>408</v>
      </c>
      <c r="C1138" t="s">
        <v>306</v>
      </c>
      <c r="D1138">
        <v>1970</v>
      </c>
      <c r="E1138">
        <v>297</v>
      </c>
      <c r="F1138" t="s">
        <v>409</v>
      </c>
      <c r="G1138">
        <v>37</v>
      </c>
    </row>
    <row r="1139" spans="1:7">
      <c r="A1139" t="str">
        <f t="shared" si="17"/>
        <v>Generaal Gavinstraat 38</v>
      </c>
      <c r="B1139" t="s">
        <v>410</v>
      </c>
      <c r="C1139" t="s">
        <v>306</v>
      </c>
      <c r="D1139">
        <v>1969</v>
      </c>
      <c r="E1139">
        <v>146</v>
      </c>
      <c r="F1139" t="s">
        <v>409</v>
      </c>
      <c r="G1139">
        <v>38</v>
      </c>
    </row>
    <row r="1140" spans="1:7">
      <c r="A1140" t="str">
        <f t="shared" si="17"/>
        <v>Generaal Gavinstraat 39</v>
      </c>
      <c r="B1140" t="s">
        <v>408</v>
      </c>
      <c r="C1140" t="s">
        <v>306</v>
      </c>
      <c r="D1140">
        <v>1982</v>
      </c>
      <c r="E1140">
        <v>165</v>
      </c>
      <c r="F1140" t="s">
        <v>409</v>
      </c>
      <c r="G1140">
        <v>39</v>
      </c>
    </row>
    <row r="1141" spans="1:7">
      <c r="A1141" t="str">
        <f t="shared" si="17"/>
        <v>Generaal Gavinstraat 40</v>
      </c>
      <c r="B1141" t="s">
        <v>410</v>
      </c>
      <c r="C1141" t="s">
        <v>306</v>
      </c>
      <c r="D1141">
        <v>1969</v>
      </c>
      <c r="E1141">
        <v>146</v>
      </c>
      <c r="F1141" t="s">
        <v>409</v>
      </c>
      <c r="G1141">
        <v>40</v>
      </c>
    </row>
    <row r="1142" spans="1:7">
      <c r="A1142" t="str">
        <f t="shared" si="17"/>
        <v>Generaal Gavinstraat 41</v>
      </c>
      <c r="B1142" t="s">
        <v>408</v>
      </c>
      <c r="C1142" t="s">
        <v>306</v>
      </c>
      <c r="D1142">
        <v>1952</v>
      </c>
      <c r="E1142">
        <v>253</v>
      </c>
      <c r="F1142" t="s">
        <v>409</v>
      </c>
      <c r="G1142">
        <v>41</v>
      </c>
    </row>
    <row r="1143" spans="1:7">
      <c r="A1143" t="str">
        <f t="shared" si="17"/>
        <v>Generaal Gavinstraat 42</v>
      </c>
      <c r="B1143" t="s">
        <v>410</v>
      </c>
      <c r="C1143" t="s">
        <v>306</v>
      </c>
      <c r="D1143">
        <v>1969</v>
      </c>
      <c r="E1143">
        <v>179</v>
      </c>
      <c r="F1143" t="s">
        <v>409</v>
      </c>
      <c r="G1143">
        <v>42</v>
      </c>
    </row>
    <row r="1144" spans="1:7">
      <c r="A1144" t="str">
        <f t="shared" si="17"/>
        <v>Generaal Gavinstraat 43</v>
      </c>
      <c r="B1144" t="s">
        <v>408</v>
      </c>
      <c r="C1144" t="s">
        <v>306</v>
      </c>
      <c r="D1144">
        <v>2018</v>
      </c>
      <c r="E1144">
        <v>270</v>
      </c>
      <c r="F1144" t="s">
        <v>409</v>
      </c>
      <c r="G1144">
        <v>43</v>
      </c>
    </row>
    <row r="1145" spans="1:7">
      <c r="A1145" t="str">
        <f t="shared" si="17"/>
        <v>Generaal Gavinstraat 44</v>
      </c>
      <c r="B1145" t="s">
        <v>411</v>
      </c>
      <c r="C1145" t="s">
        <v>306</v>
      </c>
      <c r="D1145">
        <v>1968</v>
      </c>
      <c r="E1145">
        <v>140</v>
      </c>
      <c r="F1145" t="s">
        <v>409</v>
      </c>
      <c r="G1145">
        <v>44</v>
      </c>
    </row>
    <row r="1146" spans="1:7">
      <c r="A1146" t="str">
        <f t="shared" si="17"/>
        <v>Generaal Gavinstraat 46</v>
      </c>
      <c r="B1146" t="s">
        <v>411</v>
      </c>
      <c r="C1146" t="s">
        <v>306</v>
      </c>
      <c r="D1146">
        <v>1968</v>
      </c>
      <c r="E1146">
        <v>190</v>
      </c>
      <c r="F1146" t="s">
        <v>409</v>
      </c>
      <c r="G1146">
        <v>46</v>
      </c>
    </row>
    <row r="1147" spans="1:7">
      <c r="A1147" t="str">
        <f t="shared" si="17"/>
        <v>Generaal Gavinstraat 48</v>
      </c>
      <c r="B1147" t="s">
        <v>411</v>
      </c>
      <c r="C1147" t="s">
        <v>306</v>
      </c>
      <c r="D1147">
        <v>1968</v>
      </c>
      <c r="E1147">
        <v>157</v>
      </c>
      <c r="F1147" t="s">
        <v>409</v>
      </c>
      <c r="G1147">
        <v>48</v>
      </c>
    </row>
    <row r="1148" spans="1:7">
      <c r="A1148" t="str">
        <f t="shared" si="17"/>
        <v>Generaal Gavinstraat 50</v>
      </c>
      <c r="B1148" t="s">
        <v>411</v>
      </c>
      <c r="C1148" t="s">
        <v>306</v>
      </c>
      <c r="D1148">
        <v>1968</v>
      </c>
      <c r="E1148">
        <v>135</v>
      </c>
      <c r="F1148" t="s">
        <v>409</v>
      </c>
      <c r="G1148">
        <v>50</v>
      </c>
    </row>
    <row r="1149" spans="1:7">
      <c r="A1149" t="str">
        <f t="shared" si="17"/>
        <v>Generaal Gavinstraat 52</v>
      </c>
      <c r="B1149" t="s">
        <v>411</v>
      </c>
      <c r="C1149" t="s">
        <v>306</v>
      </c>
      <c r="D1149">
        <v>1968</v>
      </c>
      <c r="E1149">
        <v>151</v>
      </c>
      <c r="F1149" t="s">
        <v>409</v>
      </c>
      <c r="G1149">
        <v>52</v>
      </c>
    </row>
    <row r="1150" spans="1:7">
      <c r="A1150" t="str">
        <f t="shared" si="17"/>
        <v>Generaal Gavinstraat 54</v>
      </c>
      <c r="B1150" t="s">
        <v>411</v>
      </c>
      <c r="C1150" t="s">
        <v>306</v>
      </c>
      <c r="D1150">
        <v>1968</v>
      </c>
      <c r="E1150">
        <v>197</v>
      </c>
      <c r="F1150" t="s">
        <v>409</v>
      </c>
      <c r="G1150">
        <v>54</v>
      </c>
    </row>
    <row r="1151" spans="1:7">
      <c r="A1151" t="str">
        <f t="shared" si="17"/>
        <v>Generaal Gavinstraat 56</v>
      </c>
      <c r="B1151" t="s">
        <v>411</v>
      </c>
      <c r="C1151" t="s">
        <v>306</v>
      </c>
      <c r="D1151">
        <v>2015</v>
      </c>
      <c r="E1151">
        <v>98</v>
      </c>
      <c r="F1151" t="s">
        <v>409</v>
      </c>
      <c r="G1151">
        <v>56</v>
      </c>
    </row>
    <row r="1152" spans="1:7">
      <c r="A1152" t="str">
        <f t="shared" si="17"/>
        <v>Generaal Gavinstraat 58</v>
      </c>
      <c r="B1152" t="s">
        <v>411</v>
      </c>
      <c r="C1152" t="s">
        <v>306</v>
      </c>
      <c r="D1152">
        <v>2015</v>
      </c>
      <c r="E1152">
        <v>98</v>
      </c>
      <c r="F1152" t="s">
        <v>409</v>
      </c>
      <c r="G1152">
        <v>58</v>
      </c>
    </row>
    <row r="1153" spans="1:7">
      <c r="A1153" t="str">
        <f t="shared" si="17"/>
        <v>Generaal Gavinstraat 60</v>
      </c>
      <c r="B1153" t="s">
        <v>411</v>
      </c>
      <c r="C1153" t="s">
        <v>306</v>
      </c>
      <c r="D1153">
        <v>2015</v>
      </c>
      <c r="E1153">
        <v>98</v>
      </c>
      <c r="F1153" t="s">
        <v>409</v>
      </c>
      <c r="G1153">
        <v>60</v>
      </c>
    </row>
    <row r="1154" spans="1:7">
      <c r="A1154" t="str">
        <f t="shared" ref="A1154:A1217" si="18">CONCATENATE(F1154," ",G1154,H1154)</f>
        <v>Generaal Gavinstraat 62</v>
      </c>
      <c r="B1154" t="s">
        <v>411</v>
      </c>
      <c r="C1154" t="s">
        <v>306</v>
      </c>
      <c r="D1154">
        <v>2015</v>
      </c>
      <c r="E1154">
        <v>98</v>
      </c>
      <c r="F1154" t="s">
        <v>409</v>
      </c>
      <c r="G1154">
        <v>62</v>
      </c>
    </row>
    <row r="1155" spans="1:7">
      <c r="A1155" t="str">
        <f t="shared" si="18"/>
        <v>Generaal Gavinstraat 64</v>
      </c>
      <c r="B1155" t="s">
        <v>411</v>
      </c>
      <c r="C1155" t="s">
        <v>306</v>
      </c>
      <c r="D1155">
        <v>1999</v>
      </c>
      <c r="E1155">
        <v>135</v>
      </c>
      <c r="F1155" t="s">
        <v>409</v>
      </c>
      <c r="G1155">
        <v>64</v>
      </c>
    </row>
    <row r="1156" spans="1:7">
      <c r="A1156" t="str">
        <f t="shared" si="18"/>
        <v>Gouwenstraat 1</v>
      </c>
      <c r="B1156" t="s">
        <v>412</v>
      </c>
      <c r="C1156" t="s">
        <v>306</v>
      </c>
      <c r="D1156">
        <v>1992</v>
      </c>
      <c r="E1156">
        <v>139</v>
      </c>
      <c r="F1156" t="s">
        <v>413</v>
      </c>
      <c r="G1156">
        <v>1</v>
      </c>
    </row>
    <row r="1157" spans="1:7">
      <c r="A1157" t="str">
        <f t="shared" si="18"/>
        <v>Gouwenstraat 3</v>
      </c>
      <c r="B1157" t="s">
        <v>412</v>
      </c>
      <c r="C1157" t="s">
        <v>306</v>
      </c>
      <c r="D1157">
        <v>1992</v>
      </c>
      <c r="E1157">
        <v>111</v>
      </c>
      <c r="F1157" t="s">
        <v>413</v>
      </c>
      <c r="G1157">
        <v>3</v>
      </c>
    </row>
    <row r="1158" spans="1:7">
      <c r="A1158" t="str">
        <f t="shared" si="18"/>
        <v>Gouwenstraat 5</v>
      </c>
      <c r="B1158" t="s">
        <v>412</v>
      </c>
      <c r="C1158" t="s">
        <v>306</v>
      </c>
      <c r="D1158">
        <v>1992</v>
      </c>
      <c r="E1158">
        <v>110</v>
      </c>
      <c r="F1158" t="s">
        <v>413</v>
      </c>
      <c r="G1158">
        <v>5</v>
      </c>
    </row>
    <row r="1159" spans="1:7">
      <c r="A1159" t="str">
        <f t="shared" si="18"/>
        <v>Gouwenstraat 6</v>
      </c>
      <c r="B1159" t="s">
        <v>414</v>
      </c>
      <c r="C1159" t="s">
        <v>306</v>
      </c>
      <c r="D1159">
        <v>1990</v>
      </c>
      <c r="E1159">
        <v>136</v>
      </c>
      <c r="F1159" t="s">
        <v>413</v>
      </c>
      <c r="G1159">
        <v>6</v>
      </c>
    </row>
    <row r="1160" spans="1:7">
      <c r="A1160" t="str">
        <f t="shared" si="18"/>
        <v>Gouwenstraat 7</v>
      </c>
      <c r="B1160" t="s">
        <v>412</v>
      </c>
      <c r="C1160" t="s">
        <v>306</v>
      </c>
      <c r="D1160">
        <v>1992</v>
      </c>
      <c r="E1160">
        <v>138</v>
      </c>
      <c r="F1160" t="s">
        <v>413</v>
      </c>
      <c r="G1160">
        <v>7</v>
      </c>
    </row>
    <row r="1161" spans="1:7">
      <c r="A1161" t="str">
        <f t="shared" si="18"/>
        <v>Gouwenstraat 8</v>
      </c>
      <c r="B1161" t="s">
        <v>414</v>
      </c>
      <c r="C1161" t="s">
        <v>306</v>
      </c>
      <c r="D1161">
        <v>1991</v>
      </c>
      <c r="E1161">
        <v>138</v>
      </c>
      <c r="F1161" t="s">
        <v>413</v>
      </c>
      <c r="G1161">
        <v>8</v>
      </c>
    </row>
    <row r="1162" spans="1:7">
      <c r="A1162" t="str">
        <f t="shared" si="18"/>
        <v>Gouwenstraat 9</v>
      </c>
      <c r="B1162" t="s">
        <v>412</v>
      </c>
      <c r="C1162" t="s">
        <v>306</v>
      </c>
      <c r="D1162">
        <v>1992</v>
      </c>
      <c r="E1162">
        <v>92</v>
      </c>
      <c r="F1162" t="s">
        <v>413</v>
      </c>
      <c r="G1162">
        <v>9</v>
      </c>
    </row>
    <row r="1163" spans="1:7">
      <c r="A1163" t="str">
        <f t="shared" si="18"/>
        <v>Gouwenstraat 10</v>
      </c>
      <c r="B1163" t="s">
        <v>414</v>
      </c>
      <c r="C1163" t="s">
        <v>306</v>
      </c>
      <c r="D1163">
        <v>1990</v>
      </c>
      <c r="E1163">
        <v>69</v>
      </c>
      <c r="F1163" t="s">
        <v>413</v>
      </c>
      <c r="G1163">
        <v>10</v>
      </c>
    </row>
    <row r="1164" spans="1:7">
      <c r="A1164" t="str">
        <f t="shared" si="18"/>
        <v>Gouwenstraat 11</v>
      </c>
      <c r="B1164" t="s">
        <v>412</v>
      </c>
      <c r="C1164" t="s">
        <v>306</v>
      </c>
      <c r="D1164">
        <v>1992</v>
      </c>
      <c r="E1164">
        <v>97</v>
      </c>
      <c r="F1164" t="s">
        <v>413</v>
      </c>
      <c r="G1164">
        <v>11</v>
      </c>
    </row>
    <row r="1165" spans="1:7">
      <c r="A1165" t="str">
        <f t="shared" si="18"/>
        <v>Gouwenstraat 12</v>
      </c>
      <c r="B1165" t="s">
        <v>414</v>
      </c>
      <c r="C1165" t="s">
        <v>306</v>
      </c>
      <c r="D1165">
        <v>1990</v>
      </c>
      <c r="E1165">
        <v>69</v>
      </c>
      <c r="F1165" t="s">
        <v>413</v>
      </c>
      <c r="G1165">
        <v>12</v>
      </c>
    </row>
    <row r="1166" spans="1:7">
      <c r="A1166" t="str">
        <f t="shared" si="18"/>
        <v>Gouwenstraat 13</v>
      </c>
      <c r="B1166" t="s">
        <v>412</v>
      </c>
      <c r="C1166" t="s">
        <v>306</v>
      </c>
      <c r="D1166">
        <v>1992</v>
      </c>
      <c r="E1166">
        <v>92</v>
      </c>
      <c r="F1166" t="s">
        <v>413</v>
      </c>
      <c r="G1166">
        <v>13</v>
      </c>
    </row>
    <row r="1167" spans="1:7">
      <c r="A1167" t="str">
        <f t="shared" si="18"/>
        <v>Gouwenstraat 14</v>
      </c>
      <c r="B1167" t="s">
        <v>414</v>
      </c>
      <c r="C1167" t="s">
        <v>306</v>
      </c>
      <c r="D1167">
        <v>1990</v>
      </c>
      <c r="E1167">
        <v>69</v>
      </c>
      <c r="F1167" t="s">
        <v>413</v>
      </c>
      <c r="G1167">
        <v>14</v>
      </c>
    </row>
    <row r="1168" spans="1:7">
      <c r="A1168" t="str">
        <f t="shared" si="18"/>
        <v>Gouwenstraat 15</v>
      </c>
      <c r="B1168" t="s">
        <v>412</v>
      </c>
      <c r="C1168" t="s">
        <v>306</v>
      </c>
      <c r="D1168">
        <v>1992</v>
      </c>
      <c r="E1168">
        <v>92</v>
      </c>
      <c r="F1168" t="s">
        <v>413</v>
      </c>
      <c r="G1168">
        <v>15</v>
      </c>
    </row>
    <row r="1169" spans="1:7">
      <c r="A1169" t="str">
        <f t="shared" si="18"/>
        <v>Gouwenstraat 16</v>
      </c>
      <c r="B1169" t="s">
        <v>414</v>
      </c>
      <c r="C1169" t="s">
        <v>306</v>
      </c>
      <c r="D1169">
        <v>1990</v>
      </c>
      <c r="E1169">
        <v>69</v>
      </c>
      <c r="F1169" t="s">
        <v>413</v>
      </c>
      <c r="G1169">
        <v>16</v>
      </c>
    </row>
    <row r="1170" spans="1:7">
      <c r="A1170" t="str">
        <f t="shared" si="18"/>
        <v>Gouwenstraat 17</v>
      </c>
      <c r="B1170" t="s">
        <v>412</v>
      </c>
      <c r="C1170" t="s">
        <v>306</v>
      </c>
      <c r="D1170">
        <v>1992</v>
      </c>
      <c r="E1170">
        <v>117</v>
      </c>
      <c r="F1170" t="s">
        <v>413</v>
      </c>
      <c r="G1170">
        <v>17</v>
      </c>
    </row>
    <row r="1171" spans="1:7">
      <c r="A1171" t="str">
        <f t="shared" si="18"/>
        <v>Gouwenstraat 18</v>
      </c>
      <c r="B1171" t="s">
        <v>414</v>
      </c>
      <c r="C1171" t="s">
        <v>306</v>
      </c>
      <c r="D1171">
        <v>1990</v>
      </c>
      <c r="E1171">
        <v>69</v>
      </c>
      <c r="F1171" t="s">
        <v>413</v>
      </c>
      <c r="G1171">
        <v>18</v>
      </c>
    </row>
    <row r="1172" spans="1:7">
      <c r="A1172" t="str">
        <f t="shared" si="18"/>
        <v>Gouwenstraat 19</v>
      </c>
      <c r="B1172" t="s">
        <v>412</v>
      </c>
      <c r="C1172" t="s">
        <v>306</v>
      </c>
      <c r="D1172">
        <v>1992</v>
      </c>
      <c r="E1172">
        <v>102</v>
      </c>
      <c r="F1172" t="s">
        <v>413</v>
      </c>
      <c r="G1172">
        <v>19</v>
      </c>
    </row>
    <row r="1173" spans="1:7">
      <c r="A1173" t="str">
        <f t="shared" si="18"/>
        <v>Gouwenstraat 20</v>
      </c>
      <c r="B1173" t="s">
        <v>414</v>
      </c>
      <c r="C1173" t="s">
        <v>306</v>
      </c>
      <c r="D1173">
        <v>1990</v>
      </c>
      <c r="E1173">
        <v>86</v>
      </c>
      <c r="F1173" t="s">
        <v>413</v>
      </c>
      <c r="G1173">
        <v>20</v>
      </c>
    </row>
    <row r="1174" spans="1:7">
      <c r="A1174" t="str">
        <f t="shared" si="18"/>
        <v>Gouwenstraat 21</v>
      </c>
      <c r="B1174" t="s">
        <v>412</v>
      </c>
      <c r="C1174" t="s">
        <v>306</v>
      </c>
      <c r="D1174">
        <v>1992</v>
      </c>
      <c r="E1174">
        <v>116</v>
      </c>
      <c r="F1174" t="s">
        <v>413</v>
      </c>
      <c r="G1174">
        <v>21</v>
      </c>
    </row>
    <row r="1175" spans="1:7">
      <c r="A1175" t="str">
        <f t="shared" si="18"/>
        <v>Gouwenstraat 22</v>
      </c>
      <c r="B1175" t="s">
        <v>414</v>
      </c>
      <c r="C1175" t="s">
        <v>306</v>
      </c>
      <c r="D1175">
        <v>1990</v>
      </c>
      <c r="E1175">
        <v>85</v>
      </c>
      <c r="F1175" t="s">
        <v>413</v>
      </c>
      <c r="G1175">
        <v>22</v>
      </c>
    </row>
    <row r="1176" spans="1:7">
      <c r="A1176" t="str">
        <f t="shared" si="18"/>
        <v>Gouwenstraat 23</v>
      </c>
      <c r="B1176" t="s">
        <v>412</v>
      </c>
      <c r="C1176" t="s">
        <v>306</v>
      </c>
      <c r="D1176">
        <v>1992</v>
      </c>
      <c r="E1176">
        <v>84</v>
      </c>
      <c r="F1176" t="s">
        <v>413</v>
      </c>
      <c r="G1176">
        <v>23</v>
      </c>
    </row>
    <row r="1177" spans="1:7">
      <c r="A1177" t="str">
        <f t="shared" si="18"/>
        <v>Gouwenstraat 24</v>
      </c>
      <c r="B1177" t="s">
        <v>414</v>
      </c>
      <c r="C1177" t="s">
        <v>306</v>
      </c>
      <c r="D1177">
        <v>1990</v>
      </c>
      <c r="E1177">
        <v>69</v>
      </c>
      <c r="F1177" t="s">
        <v>413</v>
      </c>
      <c r="G1177">
        <v>24</v>
      </c>
    </row>
    <row r="1178" spans="1:7">
      <c r="A1178" t="str">
        <f t="shared" si="18"/>
        <v>Gouwenstraat 25</v>
      </c>
      <c r="B1178" t="s">
        <v>412</v>
      </c>
      <c r="C1178" t="s">
        <v>306</v>
      </c>
      <c r="D1178">
        <v>1992</v>
      </c>
      <c r="E1178">
        <v>83</v>
      </c>
      <c r="F1178" t="s">
        <v>413</v>
      </c>
      <c r="G1178">
        <v>25</v>
      </c>
    </row>
    <row r="1179" spans="1:7">
      <c r="A1179" t="str">
        <f t="shared" si="18"/>
        <v>Gouwenstraat 26</v>
      </c>
      <c r="B1179" t="s">
        <v>414</v>
      </c>
      <c r="C1179" t="s">
        <v>306</v>
      </c>
      <c r="D1179">
        <v>1990</v>
      </c>
      <c r="E1179">
        <v>69</v>
      </c>
      <c r="F1179" t="s">
        <v>413</v>
      </c>
      <c r="G1179">
        <v>26</v>
      </c>
    </row>
    <row r="1180" spans="1:7">
      <c r="A1180" t="str">
        <f t="shared" si="18"/>
        <v>Gouwenstraat 27</v>
      </c>
      <c r="B1180" t="s">
        <v>412</v>
      </c>
      <c r="C1180" t="s">
        <v>306</v>
      </c>
      <c r="D1180">
        <v>1992</v>
      </c>
      <c r="E1180">
        <v>107</v>
      </c>
      <c r="F1180" t="s">
        <v>413</v>
      </c>
      <c r="G1180">
        <v>27</v>
      </c>
    </row>
    <row r="1181" spans="1:7">
      <c r="A1181" t="str">
        <f t="shared" si="18"/>
        <v>Gouwenstraat 28</v>
      </c>
      <c r="B1181" t="s">
        <v>414</v>
      </c>
      <c r="C1181" t="s">
        <v>306</v>
      </c>
      <c r="D1181">
        <v>1990</v>
      </c>
      <c r="E1181">
        <v>96</v>
      </c>
      <c r="F1181" t="s">
        <v>413</v>
      </c>
      <c r="G1181">
        <v>28</v>
      </c>
    </row>
    <row r="1182" spans="1:7">
      <c r="A1182" t="str">
        <f t="shared" si="18"/>
        <v>Gouwenstraat 30</v>
      </c>
      <c r="B1182" t="s">
        <v>414</v>
      </c>
      <c r="C1182" t="s">
        <v>306</v>
      </c>
      <c r="D1182">
        <v>1990</v>
      </c>
      <c r="E1182">
        <v>100</v>
      </c>
      <c r="F1182" t="s">
        <v>413</v>
      </c>
      <c r="G1182">
        <v>30</v>
      </c>
    </row>
    <row r="1183" spans="1:7">
      <c r="A1183" t="str">
        <f t="shared" si="18"/>
        <v>Gouwenstraat 32</v>
      </c>
      <c r="B1183" t="s">
        <v>414</v>
      </c>
      <c r="C1183" t="s">
        <v>306</v>
      </c>
      <c r="D1183">
        <v>1990</v>
      </c>
      <c r="E1183">
        <v>69</v>
      </c>
      <c r="F1183" t="s">
        <v>413</v>
      </c>
      <c r="G1183">
        <v>32</v>
      </c>
    </row>
    <row r="1184" spans="1:7">
      <c r="A1184" t="str">
        <f t="shared" si="18"/>
        <v>Gouwenstraat 34</v>
      </c>
      <c r="B1184" t="s">
        <v>414</v>
      </c>
      <c r="C1184" t="s">
        <v>306</v>
      </c>
      <c r="D1184">
        <v>1990</v>
      </c>
      <c r="E1184">
        <v>69</v>
      </c>
      <c r="F1184" t="s">
        <v>413</v>
      </c>
      <c r="G1184">
        <v>34</v>
      </c>
    </row>
    <row r="1185" spans="1:7">
      <c r="A1185" t="str">
        <f t="shared" si="18"/>
        <v>Gouwenstraat 36</v>
      </c>
      <c r="B1185" t="s">
        <v>414</v>
      </c>
      <c r="C1185" t="s">
        <v>306</v>
      </c>
      <c r="D1185">
        <v>1990</v>
      </c>
      <c r="E1185">
        <v>69</v>
      </c>
      <c r="F1185" t="s">
        <v>413</v>
      </c>
      <c r="G1185">
        <v>36</v>
      </c>
    </row>
    <row r="1186" spans="1:7">
      <c r="A1186" t="str">
        <f t="shared" si="18"/>
        <v>Gouwenstraat 38</v>
      </c>
      <c r="B1186" t="s">
        <v>414</v>
      </c>
      <c r="C1186" t="s">
        <v>306</v>
      </c>
      <c r="D1186">
        <v>1990</v>
      </c>
      <c r="E1186">
        <v>69</v>
      </c>
      <c r="F1186" t="s">
        <v>413</v>
      </c>
      <c r="G1186">
        <v>38</v>
      </c>
    </row>
    <row r="1187" spans="1:7">
      <c r="A1187" t="str">
        <f t="shared" si="18"/>
        <v>Gouwenstraat 40</v>
      </c>
      <c r="B1187" t="s">
        <v>414</v>
      </c>
      <c r="C1187" t="s">
        <v>306</v>
      </c>
      <c r="D1187">
        <v>1990</v>
      </c>
      <c r="E1187">
        <v>69</v>
      </c>
      <c r="F1187" t="s">
        <v>413</v>
      </c>
      <c r="G1187">
        <v>40</v>
      </c>
    </row>
    <row r="1188" spans="1:7">
      <c r="A1188" t="str">
        <f t="shared" si="18"/>
        <v>Gouwenstraat 42</v>
      </c>
      <c r="B1188" t="s">
        <v>414</v>
      </c>
      <c r="C1188" t="s">
        <v>306</v>
      </c>
      <c r="D1188">
        <v>1992</v>
      </c>
      <c r="E1188">
        <v>112</v>
      </c>
      <c r="F1188" t="s">
        <v>413</v>
      </c>
      <c r="G1188">
        <v>42</v>
      </c>
    </row>
    <row r="1189" spans="1:7">
      <c r="A1189" t="str">
        <f t="shared" si="18"/>
        <v>Gouwenstraat 44</v>
      </c>
      <c r="B1189" t="s">
        <v>414</v>
      </c>
      <c r="C1189" t="s">
        <v>306</v>
      </c>
      <c r="D1189">
        <v>1992</v>
      </c>
      <c r="E1189">
        <v>114</v>
      </c>
      <c r="F1189" t="s">
        <v>413</v>
      </c>
      <c r="G1189">
        <v>44</v>
      </c>
    </row>
    <row r="1190" spans="1:7">
      <c r="A1190" t="str">
        <f t="shared" si="18"/>
        <v>Gouwenstraat 46</v>
      </c>
      <c r="B1190" t="s">
        <v>414</v>
      </c>
      <c r="C1190" t="s">
        <v>306</v>
      </c>
      <c r="D1190">
        <v>1992</v>
      </c>
      <c r="E1190">
        <v>97</v>
      </c>
      <c r="F1190" t="s">
        <v>413</v>
      </c>
      <c r="G1190">
        <v>46</v>
      </c>
    </row>
    <row r="1191" spans="1:7">
      <c r="A1191" t="str">
        <f t="shared" si="18"/>
        <v>Gouwenstraat 48</v>
      </c>
      <c r="B1191" t="s">
        <v>414</v>
      </c>
      <c r="C1191" t="s">
        <v>306</v>
      </c>
      <c r="D1191">
        <v>1992</v>
      </c>
      <c r="E1191">
        <v>72</v>
      </c>
      <c r="F1191" t="s">
        <v>413</v>
      </c>
      <c r="G1191">
        <v>48</v>
      </c>
    </row>
    <row r="1192" spans="1:7">
      <c r="A1192" t="str">
        <f t="shared" si="18"/>
        <v>Gouwenstraat 50</v>
      </c>
      <c r="B1192" t="s">
        <v>414</v>
      </c>
      <c r="C1192" t="s">
        <v>306</v>
      </c>
      <c r="D1192">
        <v>1992</v>
      </c>
      <c r="E1192">
        <v>97</v>
      </c>
      <c r="F1192" t="s">
        <v>413</v>
      </c>
      <c r="G1192">
        <v>50</v>
      </c>
    </row>
    <row r="1193" spans="1:7">
      <c r="A1193" t="str">
        <f t="shared" si="18"/>
        <v>Gouwenstraat 52</v>
      </c>
      <c r="B1193" t="s">
        <v>414</v>
      </c>
      <c r="C1193" t="s">
        <v>306</v>
      </c>
      <c r="D1193">
        <v>1992</v>
      </c>
      <c r="E1193">
        <v>97</v>
      </c>
      <c r="F1193" t="s">
        <v>413</v>
      </c>
      <c r="G1193">
        <v>52</v>
      </c>
    </row>
    <row r="1194" spans="1:7">
      <c r="A1194" t="str">
        <f t="shared" si="18"/>
        <v>Gouwenstraat 54</v>
      </c>
      <c r="B1194" t="s">
        <v>414</v>
      </c>
      <c r="C1194" t="s">
        <v>306</v>
      </c>
      <c r="D1194">
        <v>1992</v>
      </c>
      <c r="E1194">
        <v>73</v>
      </c>
      <c r="F1194" t="s">
        <v>413</v>
      </c>
      <c r="G1194">
        <v>54</v>
      </c>
    </row>
    <row r="1195" spans="1:7">
      <c r="A1195" t="str">
        <f t="shared" si="18"/>
        <v>Gouwenstraat 56</v>
      </c>
      <c r="B1195" t="s">
        <v>414</v>
      </c>
      <c r="C1195" t="s">
        <v>306</v>
      </c>
      <c r="D1195">
        <v>1992</v>
      </c>
      <c r="E1195">
        <v>71</v>
      </c>
      <c r="F1195" t="s">
        <v>413</v>
      </c>
      <c r="G1195">
        <v>56</v>
      </c>
    </row>
    <row r="1196" spans="1:7">
      <c r="A1196" t="str">
        <f t="shared" si="18"/>
        <v>Gouwenstraat 58</v>
      </c>
      <c r="B1196" t="s">
        <v>414</v>
      </c>
      <c r="C1196" t="s">
        <v>306</v>
      </c>
      <c r="D1196">
        <v>1992</v>
      </c>
      <c r="E1196">
        <v>186</v>
      </c>
      <c r="F1196" t="s">
        <v>413</v>
      </c>
      <c r="G1196">
        <v>58</v>
      </c>
    </row>
    <row r="1197" spans="1:7">
      <c r="A1197" t="str">
        <f t="shared" si="18"/>
        <v>Gouwenstraat 60</v>
      </c>
      <c r="B1197" t="s">
        <v>414</v>
      </c>
      <c r="C1197" t="s">
        <v>306</v>
      </c>
      <c r="D1197">
        <v>1992</v>
      </c>
      <c r="E1197">
        <v>164</v>
      </c>
      <c r="F1197" t="s">
        <v>413</v>
      </c>
      <c r="G1197">
        <v>60</v>
      </c>
    </row>
    <row r="1198" spans="1:7">
      <c r="A1198" t="str">
        <f t="shared" si="18"/>
        <v>Gouwenstraat 62</v>
      </c>
      <c r="B1198" t="s">
        <v>414</v>
      </c>
      <c r="C1198" t="s">
        <v>306</v>
      </c>
      <c r="D1198">
        <v>1992</v>
      </c>
      <c r="E1198">
        <v>80</v>
      </c>
      <c r="F1198" t="s">
        <v>413</v>
      </c>
      <c r="G1198">
        <v>62</v>
      </c>
    </row>
    <row r="1199" spans="1:7">
      <c r="A1199" t="str">
        <f t="shared" si="18"/>
        <v>Gouwenstraat 64</v>
      </c>
      <c r="B1199" t="s">
        <v>414</v>
      </c>
      <c r="C1199" t="s">
        <v>306</v>
      </c>
      <c r="D1199">
        <v>1992</v>
      </c>
      <c r="E1199">
        <v>71</v>
      </c>
      <c r="F1199" t="s">
        <v>413</v>
      </c>
      <c r="G1199">
        <v>64</v>
      </c>
    </row>
    <row r="1200" spans="1:7">
      <c r="A1200" t="str">
        <f t="shared" si="18"/>
        <v>Gouwenstraat 66</v>
      </c>
      <c r="B1200" t="s">
        <v>414</v>
      </c>
      <c r="C1200" t="s">
        <v>306</v>
      </c>
      <c r="D1200">
        <v>1992</v>
      </c>
      <c r="E1200">
        <v>186</v>
      </c>
      <c r="F1200" t="s">
        <v>413</v>
      </c>
      <c r="G1200">
        <v>66</v>
      </c>
    </row>
    <row r="1201" spans="1:7">
      <c r="A1201" t="str">
        <f t="shared" si="18"/>
        <v>Gouwenstraat 68</v>
      </c>
      <c r="B1201" t="s">
        <v>414</v>
      </c>
      <c r="C1201" t="s">
        <v>306</v>
      </c>
      <c r="D1201">
        <v>1992</v>
      </c>
      <c r="E1201">
        <v>71</v>
      </c>
      <c r="F1201" t="s">
        <v>413</v>
      </c>
      <c r="G1201">
        <v>68</v>
      </c>
    </row>
    <row r="1202" spans="1:7">
      <c r="A1202" t="str">
        <f t="shared" si="18"/>
        <v>Gouwenstraat 70</v>
      </c>
      <c r="B1202" t="s">
        <v>414</v>
      </c>
      <c r="C1202" t="s">
        <v>306</v>
      </c>
      <c r="D1202">
        <v>1992</v>
      </c>
      <c r="E1202">
        <v>80</v>
      </c>
      <c r="F1202" t="s">
        <v>413</v>
      </c>
      <c r="G1202">
        <v>70</v>
      </c>
    </row>
    <row r="1203" spans="1:7">
      <c r="A1203" t="str">
        <f t="shared" si="18"/>
        <v>Graaf Gerardstraat 1</v>
      </c>
      <c r="B1203" t="s">
        <v>415</v>
      </c>
      <c r="C1203" t="s">
        <v>306</v>
      </c>
      <c r="D1203">
        <v>1977</v>
      </c>
      <c r="E1203">
        <v>229</v>
      </c>
      <c r="F1203" t="s">
        <v>416</v>
      </c>
      <c r="G1203">
        <v>1</v>
      </c>
    </row>
    <row r="1204" spans="1:7">
      <c r="A1204" t="str">
        <f t="shared" si="18"/>
        <v>Graaf Gerardstraat 2</v>
      </c>
      <c r="B1204" t="s">
        <v>415</v>
      </c>
      <c r="C1204" t="s">
        <v>306</v>
      </c>
      <c r="D1204">
        <v>1960</v>
      </c>
      <c r="E1204">
        <v>166</v>
      </c>
      <c r="F1204" t="s">
        <v>416</v>
      </c>
      <c r="G1204">
        <v>2</v>
      </c>
    </row>
    <row r="1205" spans="1:7">
      <c r="A1205" t="str">
        <f t="shared" si="18"/>
        <v>Graaf Gerardstraat 3</v>
      </c>
      <c r="B1205" t="s">
        <v>415</v>
      </c>
      <c r="C1205" t="s">
        <v>306</v>
      </c>
      <c r="D1205">
        <v>1965</v>
      </c>
      <c r="E1205">
        <v>268</v>
      </c>
      <c r="F1205" t="s">
        <v>416</v>
      </c>
      <c r="G1205">
        <v>3</v>
      </c>
    </row>
    <row r="1206" spans="1:7">
      <c r="A1206" t="str">
        <f t="shared" si="18"/>
        <v>Graaf Gerardstraat 5</v>
      </c>
      <c r="B1206" t="s">
        <v>415</v>
      </c>
      <c r="C1206" t="s">
        <v>306</v>
      </c>
      <c r="D1206">
        <v>1963</v>
      </c>
      <c r="E1206">
        <v>206</v>
      </c>
      <c r="F1206" t="s">
        <v>416</v>
      </c>
      <c r="G1206">
        <v>5</v>
      </c>
    </row>
    <row r="1207" spans="1:7">
      <c r="A1207" t="str">
        <f t="shared" si="18"/>
        <v>Graaf Gerardstraat 6</v>
      </c>
      <c r="B1207" t="s">
        <v>415</v>
      </c>
      <c r="C1207" t="s">
        <v>306</v>
      </c>
      <c r="D1207">
        <v>1965</v>
      </c>
      <c r="E1207">
        <v>121</v>
      </c>
      <c r="F1207" t="s">
        <v>416</v>
      </c>
      <c r="G1207">
        <v>6</v>
      </c>
    </row>
    <row r="1208" spans="1:7">
      <c r="A1208" t="str">
        <f t="shared" si="18"/>
        <v>Graaf Gerardstraat 7</v>
      </c>
      <c r="B1208" t="s">
        <v>415</v>
      </c>
      <c r="C1208" t="s">
        <v>306</v>
      </c>
      <c r="D1208">
        <v>1963</v>
      </c>
      <c r="E1208">
        <v>145</v>
      </c>
      <c r="F1208" t="s">
        <v>416</v>
      </c>
      <c r="G1208">
        <v>7</v>
      </c>
    </row>
    <row r="1209" spans="1:7">
      <c r="A1209" t="str">
        <f t="shared" si="18"/>
        <v>Graaf Gerardstraat 8</v>
      </c>
      <c r="B1209" t="s">
        <v>415</v>
      </c>
      <c r="C1209" t="s">
        <v>306</v>
      </c>
      <c r="D1209">
        <v>1965</v>
      </c>
      <c r="E1209">
        <v>77</v>
      </c>
      <c r="F1209" t="s">
        <v>416</v>
      </c>
      <c r="G1209">
        <v>8</v>
      </c>
    </row>
    <row r="1210" spans="1:7">
      <c r="A1210" t="str">
        <f t="shared" si="18"/>
        <v>Graaf Gerardstraat 10</v>
      </c>
      <c r="B1210" t="s">
        <v>415</v>
      </c>
      <c r="C1210" t="s">
        <v>306</v>
      </c>
      <c r="D1210">
        <v>1965</v>
      </c>
      <c r="E1210">
        <v>113</v>
      </c>
      <c r="F1210" t="s">
        <v>416</v>
      </c>
      <c r="G1210">
        <v>10</v>
      </c>
    </row>
    <row r="1211" spans="1:7">
      <c r="A1211" t="str">
        <f t="shared" si="18"/>
        <v>Gravenstraat 2</v>
      </c>
      <c r="B1211" t="s">
        <v>417</v>
      </c>
      <c r="C1211" t="s">
        <v>296</v>
      </c>
      <c r="D1211">
        <v>1962</v>
      </c>
      <c r="E1211">
        <v>142</v>
      </c>
      <c r="F1211" t="s">
        <v>418</v>
      </c>
      <c r="G1211">
        <v>2</v>
      </c>
    </row>
    <row r="1212" spans="1:7">
      <c r="A1212" t="str">
        <f t="shared" si="18"/>
        <v>Gravenstraat 4</v>
      </c>
      <c r="B1212" t="s">
        <v>417</v>
      </c>
      <c r="C1212" t="s">
        <v>296</v>
      </c>
      <c r="D1212">
        <v>1962</v>
      </c>
      <c r="E1212">
        <v>173</v>
      </c>
      <c r="F1212" t="s">
        <v>418</v>
      </c>
      <c r="G1212">
        <v>4</v>
      </c>
    </row>
    <row r="1213" spans="1:7">
      <c r="A1213" t="str">
        <f t="shared" si="18"/>
        <v>Gravenstraat 6</v>
      </c>
      <c r="B1213" t="s">
        <v>417</v>
      </c>
      <c r="C1213" t="s">
        <v>296</v>
      </c>
      <c r="D1213">
        <v>1961</v>
      </c>
      <c r="E1213">
        <v>87</v>
      </c>
      <c r="F1213" t="s">
        <v>418</v>
      </c>
      <c r="G1213">
        <v>6</v>
      </c>
    </row>
    <row r="1214" spans="1:7">
      <c r="A1214" t="str">
        <f t="shared" si="18"/>
        <v>Gravenstraat 7</v>
      </c>
      <c r="B1214" t="s">
        <v>417</v>
      </c>
      <c r="C1214" t="s">
        <v>296</v>
      </c>
      <c r="D1214">
        <v>1978</v>
      </c>
      <c r="E1214">
        <v>127</v>
      </c>
      <c r="F1214" t="s">
        <v>418</v>
      </c>
      <c r="G1214">
        <v>7</v>
      </c>
    </row>
    <row r="1215" spans="1:7">
      <c r="A1215" t="str">
        <f t="shared" si="18"/>
        <v>Gravenstraat 8</v>
      </c>
      <c r="B1215" t="s">
        <v>417</v>
      </c>
      <c r="C1215" t="s">
        <v>296</v>
      </c>
      <c r="D1215">
        <v>1961</v>
      </c>
      <c r="E1215">
        <v>87</v>
      </c>
      <c r="F1215" t="s">
        <v>418</v>
      </c>
      <c r="G1215">
        <v>8</v>
      </c>
    </row>
    <row r="1216" spans="1:7">
      <c r="A1216" t="str">
        <f t="shared" si="18"/>
        <v>Gravenstraat 9</v>
      </c>
      <c r="B1216" t="s">
        <v>417</v>
      </c>
      <c r="C1216" t="s">
        <v>296</v>
      </c>
      <c r="D1216">
        <v>1961</v>
      </c>
      <c r="E1216">
        <v>87</v>
      </c>
      <c r="F1216" t="s">
        <v>418</v>
      </c>
      <c r="G1216">
        <v>9</v>
      </c>
    </row>
    <row r="1217" spans="1:8">
      <c r="A1217" t="str">
        <f t="shared" si="18"/>
        <v>Gravenstraat 10</v>
      </c>
      <c r="B1217" t="s">
        <v>417</v>
      </c>
      <c r="C1217" t="s">
        <v>296</v>
      </c>
      <c r="D1217">
        <v>1961</v>
      </c>
      <c r="E1217">
        <v>87</v>
      </c>
      <c r="F1217" t="s">
        <v>418</v>
      </c>
      <c r="G1217">
        <v>10</v>
      </c>
    </row>
    <row r="1218" spans="1:8">
      <c r="A1218" t="str">
        <f t="shared" ref="A1218:A1281" si="19">CONCATENATE(F1218," ",G1218,H1218)</f>
        <v>Gravenstraat 11</v>
      </c>
      <c r="B1218" t="s">
        <v>417</v>
      </c>
      <c r="C1218" t="s">
        <v>296</v>
      </c>
      <c r="D1218">
        <v>1961</v>
      </c>
      <c r="E1218">
        <v>88</v>
      </c>
      <c r="F1218" t="s">
        <v>418</v>
      </c>
      <c r="G1218">
        <v>11</v>
      </c>
    </row>
    <row r="1219" spans="1:8">
      <c r="A1219" t="str">
        <f t="shared" si="19"/>
        <v>Gravenstraat 12</v>
      </c>
      <c r="B1219" t="s">
        <v>417</v>
      </c>
      <c r="C1219" t="s">
        <v>296</v>
      </c>
      <c r="D1219">
        <v>1961</v>
      </c>
      <c r="E1219">
        <v>79</v>
      </c>
      <c r="F1219" t="s">
        <v>418</v>
      </c>
      <c r="G1219">
        <v>12</v>
      </c>
    </row>
    <row r="1220" spans="1:8">
      <c r="A1220" t="str">
        <f t="shared" si="19"/>
        <v>Gravenstraat 13</v>
      </c>
      <c r="B1220" t="s">
        <v>417</v>
      </c>
      <c r="C1220" t="s">
        <v>296</v>
      </c>
      <c r="D1220">
        <v>1965</v>
      </c>
      <c r="E1220">
        <v>109</v>
      </c>
      <c r="F1220" t="s">
        <v>418</v>
      </c>
      <c r="G1220">
        <v>13</v>
      </c>
    </row>
    <row r="1221" spans="1:8">
      <c r="A1221" t="str">
        <f t="shared" si="19"/>
        <v>Gravenstraat 14</v>
      </c>
      <c r="B1221" t="s">
        <v>417</v>
      </c>
      <c r="C1221" t="s">
        <v>296</v>
      </c>
      <c r="D1221">
        <v>1971</v>
      </c>
      <c r="E1221">
        <v>108</v>
      </c>
      <c r="F1221" t="s">
        <v>418</v>
      </c>
      <c r="G1221">
        <v>14</v>
      </c>
    </row>
    <row r="1222" spans="1:8">
      <c r="A1222" t="str">
        <f t="shared" si="19"/>
        <v>Gravenstraat 15</v>
      </c>
      <c r="B1222" t="s">
        <v>417</v>
      </c>
      <c r="C1222" t="s">
        <v>296</v>
      </c>
      <c r="D1222">
        <v>1965</v>
      </c>
      <c r="E1222">
        <v>80</v>
      </c>
      <c r="F1222" t="s">
        <v>418</v>
      </c>
      <c r="G1222">
        <v>15</v>
      </c>
    </row>
    <row r="1223" spans="1:8">
      <c r="A1223" t="str">
        <f t="shared" si="19"/>
        <v>Gravenstraat 16</v>
      </c>
      <c r="B1223" t="s">
        <v>417</v>
      </c>
      <c r="C1223" t="s">
        <v>296</v>
      </c>
      <c r="D1223">
        <v>1971</v>
      </c>
      <c r="E1223">
        <v>121</v>
      </c>
      <c r="F1223" t="s">
        <v>418</v>
      </c>
      <c r="G1223">
        <v>16</v>
      </c>
    </row>
    <row r="1224" spans="1:8">
      <c r="A1224" t="str">
        <f t="shared" si="19"/>
        <v>Gravenstraat 17</v>
      </c>
      <c r="B1224" t="s">
        <v>417</v>
      </c>
      <c r="C1224" t="s">
        <v>296</v>
      </c>
      <c r="D1224">
        <v>1963</v>
      </c>
      <c r="E1224">
        <v>125</v>
      </c>
      <c r="F1224" t="s">
        <v>418</v>
      </c>
      <c r="G1224">
        <v>17</v>
      </c>
    </row>
    <row r="1225" spans="1:8">
      <c r="A1225" t="str">
        <f t="shared" si="19"/>
        <v>Gravenstraat 18</v>
      </c>
      <c r="B1225" t="s">
        <v>417</v>
      </c>
      <c r="C1225" t="s">
        <v>296</v>
      </c>
      <c r="D1225">
        <v>1966</v>
      </c>
      <c r="E1225">
        <v>112</v>
      </c>
      <c r="F1225" t="s">
        <v>418</v>
      </c>
      <c r="G1225">
        <v>18</v>
      </c>
    </row>
    <row r="1226" spans="1:8">
      <c r="A1226" t="str">
        <f t="shared" si="19"/>
        <v>Groesbeekseweg 2</v>
      </c>
      <c r="B1226" t="s">
        <v>419</v>
      </c>
      <c r="C1226" t="s">
        <v>306</v>
      </c>
      <c r="D1226">
        <v>2020</v>
      </c>
      <c r="E1226">
        <v>158</v>
      </c>
      <c r="F1226" t="s">
        <v>420</v>
      </c>
      <c r="G1226">
        <v>2</v>
      </c>
    </row>
    <row r="1227" spans="1:8">
      <c r="A1227" t="str">
        <f t="shared" si="19"/>
        <v>Groesbeekseweg 3</v>
      </c>
      <c r="B1227" t="s">
        <v>421</v>
      </c>
      <c r="C1227" t="s">
        <v>306</v>
      </c>
      <c r="D1227">
        <v>1960</v>
      </c>
      <c r="E1227">
        <v>1211</v>
      </c>
      <c r="F1227" t="s">
        <v>420</v>
      </c>
      <c r="G1227">
        <v>3</v>
      </c>
    </row>
    <row r="1228" spans="1:8">
      <c r="A1228" t="str">
        <f t="shared" si="19"/>
        <v>Groesbeekseweg 4</v>
      </c>
      <c r="B1228" t="s">
        <v>419</v>
      </c>
      <c r="C1228" t="s">
        <v>306</v>
      </c>
      <c r="D1228">
        <v>2020</v>
      </c>
      <c r="E1228">
        <v>136</v>
      </c>
      <c r="F1228" t="s">
        <v>420</v>
      </c>
      <c r="G1228">
        <v>4</v>
      </c>
    </row>
    <row r="1229" spans="1:8">
      <c r="A1229" t="str">
        <f t="shared" si="19"/>
        <v>Groesbeekseweg 5a</v>
      </c>
      <c r="B1229" t="s">
        <v>421</v>
      </c>
      <c r="C1229" t="s">
        <v>306</v>
      </c>
      <c r="D1229">
        <v>1960</v>
      </c>
      <c r="E1229">
        <v>36</v>
      </c>
      <c r="F1229" t="s">
        <v>420</v>
      </c>
      <c r="G1229">
        <v>5</v>
      </c>
      <c r="H1229" t="s">
        <v>304</v>
      </c>
    </row>
    <row r="1230" spans="1:8">
      <c r="A1230" t="str">
        <f t="shared" si="19"/>
        <v>Groesbeekseweg 5b</v>
      </c>
      <c r="B1230" t="s">
        <v>421</v>
      </c>
      <c r="C1230" t="s">
        <v>306</v>
      </c>
      <c r="D1230">
        <v>1960</v>
      </c>
      <c r="E1230">
        <v>31</v>
      </c>
      <c r="F1230" t="s">
        <v>420</v>
      </c>
      <c r="G1230">
        <v>5</v>
      </c>
      <c r="H1230" t="s">
        <v>298</v>
      </c>
    </row>
    <row r="1231" spans="1:8">
      <c r="A1231" t="str">
        <f t="shared" si="19"/>
        <v>Groesbeekseweg 5c</v>
      </c>
      <c r="B1231" t="s">
        <v>421</v>
      </c>
      <c r="C1231" t="s">
        <v>306</v>
      </c>
      <c r="D1231">
        <v>1960</v>
      </c>
      <c r="E1231">
        <v>51</v>
      </c>
      <c r="F1231" t="s">
        <v>420</v>
      </c>
      <c r="G1231">
        <v>5</v>
      </c>
      <c r="H1231" t="s">
        <v>299</v>
      </c>
    </row>
    <row r="1232" spans="1:8">
      <c r="A1232" t="str">
        <f t="shared" si="19"/>
        <v>Groesbeekseweg 5</v>
      </c>
      <c r="B1232" t="s">
        <v>421</v>
      </c>
      <c r="C1232" t="s">
        <v>306</v>
      </c>
      <c r="D1232">
        <v>1960</v>
      </c>
      <c r="E1232">
        <v>53</v>
      </c>
      <c r="F1232" t="s">
        <v>420</v>
      </c>
      <c r="G1232">
        <v>5</v>
      </c>
    </row>
    <row r="1233" spans="1:8">
      <c r="A1233" t="str">
        <f t="shared" si="19"/>
        <v>Groesbeekseweg 6</v>
      </c>
      <c r="B1233" t="s">
        <v>419</v>
      </c>
      <c r="C1233" t="s">
        <v>306</v>
      </c>
      <c r="D1233">
        <v>2020</v>
      </c>
      <c r="E1233">
        <v>121</v>
      </c>
      <c r="F1233" t="s">
        <v>420</v>
      </c>
      <c r="G1233">
        <v>6</v>
      </c>
    </row>
    <row r="1234" spans="1:8">
      <c r="A1234" t="str">
        <f t="shared" si="19"/>
        <v>Groesbeekseweg 7</v>
      </c>
      <c r="B1234" t="s">
        <v>421</v>
      </c>
      <c r="C1234" t="s">
        <v>306</v>
      </c>
      <c r="D1234">
        <v>1960</v>
      </c>
      <c r="E1234">
        <v>91</v>
      </c>
      <c r="F1234" t="s">
        <v>420</v>
      </c>
      <c r="G1234">
        <v>7</v>
      </c>
    </row>
    <row r="1235" spans="1:8">
      <c r="A1235" t="str">
        <f t="shared" si="19"/>
        <v>Groesbeekseweg 8</v>
      </c>
      <c r="B1235" t="s">
        <v>419</v>
      </c>
      <c r="C1235" t="s">
        <v>306</v>
      </c>
      <c r="D1235">
        <v>2020</v>
      </c>
      <c r="E1235">
        <v>121</v>
      </c>
      <c r="F1235" t="s">
        <v>420</v>
      </c>
      <c r="G1235">
        <v>8</v>
      </c>
    </row>
    <row r="1236" spans="1:8">
      <c r="A1236" t="str">
        <f t="shared" si="19"/>
        <v>Groesbeekseweg 9a</v>
      </c>
      <c r="B1236" t="s">
        <v>421</v>
      </c>
      <c r="C1236" t="s">
        <v>306</v>
      </c>
      <c r="D1236">
        <v>1960</v>
      </c>
      <c r="E1236">
        <v>110</v>
      </c>
      <c r="F1236" t="s">
        <v>420</v>
      </c>
      <c r="G1236">
        <v>9</v>
      </c>
      <c r="H1236" t="s">
        <v>304</v>
      </c>
    </row>
    <row r="1237" spans="1:8">
      <c r="A1237" t="str">
        <f t="shared" si="19"/>
        <v>Groesbeekseweg 9</v>
      </c>
      <c r="B1237" t="s">
        <v>421</v>
      </c>
      <c r="C1237" t="s">
        <v>306</v>
      </c>
      <c r="D1237">
        <v>1960</v>
      </c>
      <c r="E1237">
        <v>269</v>
      </c>
      <c r="F1237" t="s">
        <v>420</v>
      </c>
      <c r="G1237">
        <v>9</v>
      </c>
    </row>
    <row r="1238" spans="1:8">
      <c r="A1238" t="str">
        <f t="shared" si="19"/>
        <v>Groesbeekseweg 10</v>
      </c>
      <c r="B1238" t="s">
        <v>419</v>
      </c>
      <c r="C1238" t="s">
        <v>306</v>
      </c>
      <c r="D1238">
        <v>2020</v>
      </c>
      <c r="E1238">
        <v>127</v>
      </c>
      <c r="F1238" t="s">
        <v>420</v>
      </c>
      <c r="G1238">
        <v>10</v>
      </c>
    </row>
    <row r="1239" spans="1:8">
      <c r="A1239" t="str">
        <f t="shared" si="19"/>
        <v>Groesbeekseweg 11</v>
      </c>
      <c r="B1239" t="s">
        <v>421</v>
      </c>
      <c r="C1239" t="s">
        <v>306</v>
      </c>
      <c r="D1239">
        <v>1961</v>
      </c>
      <c r="E1239">
        <v>110</v>
      </c>
      <c r="F1239" t="s">
        <v>420</v>
      </c>
      <c r="G1239">
        <v>11</v>
      </c>
    </row>
    <row r="1240" spans="1:8">
      <c r="A1240" t="str">
        <f t="shared" si="19"/>
        <v>Groesbeekseweg 12</v>
      </c>
      <c r="B1240" t="s">
        <v>419</v>
      </c>
      <c r="C1240" t="s">
        <v>306</v>
      </c>
      <c r="D1240">
        <v>1965</v>
      </c>
      <c r="E1240">
        <v>138</v>
      </c>
      <c r="F1240" t="s">
        <v>420</v>
      </c>
      <c r="G1240">
        <v>12</v>
      </c>
    </row>
    <row r="1241" spans="1:8">
      <c r="A1241" t="str">
        <f t="shared" si="19"/>
        <v>Groesbeekseweg 13</v>
      </c>
      <c r="B1241" t="s">
        <v>421</v>
      </c>
      <c r="C1241" t="s">
        <v>306</v>
      </c>
      <c r="D1241">
        <v>1962</v>
      </c>
      <c r="E1241">
        <v>151</v>
      </c>
      <c r="F1241" t="s">
        <v>420</v>
      </c>
      <c r="G1241">
        <v>13</v>
      </c>
    </row>
    <row r="1242" spans="1:8">
      <c r="A1242" t="str">
        <f t="shared" si="19"/>
        <v>Groesbeekseweg 14</v>
      </c>
      <c r="B1242" t="s">
        <v>419</v>
      </c>
      <c r="C1242" t="s">
        <v>306</v>
      </c>
      <c r="D1242">
        <v>1958</v>
      </c>
      <c r="E1242">
        <v>119</v>
      </c>
      <c r="F1242" t="s">
        <v>420</v>
      </c>
      <c r="G1242">
        <v>14</v>
      </c>
    </row>
    <row r="1243" spans="1:8">
      <c r="A1243" t="str">
        <f t="shared" si="19"/>
        <v>Groesbeekseweg 15</v>
      </c>
      <c r="B1243" t="s">
        <v>421</v>
      </c>
      <c r="C1243" t="s">
        <v>306</v>
      </c>
      <c r="D1243">
        <v>1972</v>
      </c>
      <c r="E1243">
        <v>254</v>
      </c>
      <c r="F1243" t="s">
        <v>420</v>
      </c>
      <c r="G1243">
        <v>15</v>
      </c>
    </row>
    <row r="1244" spans="1:8">
      <c r="A1244" t="str">
        <f t="shared" si="19"/>
        <v>Groesbeekseweg 16</v>
      </c>
      <c r="B1244" t="s">
        <v>419</v>
      </c>
      <c r="C1244" t="s">
        <v>306</v>
      </c>
      <c r="D1244">
        <v>1965</v>
      </c>
      <c r="E1244">
        <v>126</v>
      </c>
      <c r="F1244" t="s">
        <v>420</v>
      </c>
      <c r="G1244">
        <v>16</v>
      </c>
    </row>
    <row r="1245" spans="1:8">
      <c r="A1245" t="str">
        <f t="shared" si="19"/>
        <v>Groesbeekseweg 18</v>
      </c>
      <c r="B1245" t="s">
        <v>419</v>
      </c>
      <c r="C1245" t="s">
        <v>306</v>
      </c>
      <c r="D1245">
        <v>1954</v>
      </c>
      <c r="E1245">
        <v>238</v>
      </c>
      <c r="F1245" t="s">
        <v>420</v>
      </c>
      <c r="G1245">
        <v>18</v>
      </c>
    </row>
    <row r="1246" spans="1:8">
      <c r="A1246" t="str">
        <f t="shared" si="19"/>
        <v>Groesbeekseweg 19a</v>
      </c>
      <c r="B1246" t="s">
        <v>421</v>
      </c>
      <c r="C1246" t="s">
        <v>306</v>
      </c>
      <c r="D1246">
        <v>1965</v>
      </c>
      <c r="E1246">
        <v>72</v>
      </c>
      <c r="F1246" t="s">
        <v>420</v>
      </c>
      <c r="G1246">
        <v>19</v>
      </c>
      <c r="H1246" t="s">
        <v>304</v>
      </c>
    </row>
    <row r="1247" spans="1:8">
      <c r="A1247" t="str">
        <f t="shared" si="19"/>
        <v>Groesbeekseweg 19b</v>
      </c>
      <c r="B1247" t="s">
        <v>421</v>
      </c>
      <c r="C1247" t="s">
        <v>306</v>
      </c>
      <c r="D1247">
        <v>1965</v>
      </c>
      <c r="E1247">
        <v>72</v>
      </c>
      <c r="F1247" t="s">
        <v>420</v>
      </c>
      <c r="G1247">
        <v>19</v>
      </c>
      <c r="H1247" t="s">
        <v>298</v>
      </c>
    </row>
    <row r="1248" spans="1:8">
      <c r="A1248" t="str">
        <f t="shared" si="19"/>
        <v>Groesbeekseweg 19c</v>
      </c>
      <c r="B1248" t="s">
        <v>421</v>
      </c>
      <c r="C1248" t="s">
        <v>306</v>
      </c>
      <c r="D1248">
        <v>1965</v>
      </c>
      <c r="E1248">
        <v>72</v>
      </c>
      <c r="F1248" t="s">
        <v>420</v>
      </c>
      <c r="G1248">
        <v>19</v>
      </c>
      <c r="H1248" t="s">
        <v>299</v>
      </c>
    </row>
    <row r="1249" spans="1:8">
      <c r="A1249" t="str">
        <f t="shared" si="19"/>
        <v>Groesbeekseweg 19d</v>
      </c>
      <c r="B1249" t="s">
        <v>421</v>
      </c>
      <c r="C1249" t="s">
        <v>306</v>
      </c>
      <c r="D1249">
        <v>1965</v>
      </c>
      <c r="E1249">
        <v>72</v>
      </c>
      <c r="F1249" t="s">
        <v>420</v>
      </c>
      <c r="G1249">
        <v>19</v>
      </c>
      <c r="H1249" t="s">
        <v>300</v>
      </c>
    </row>
    <row r="1250" spans="1:8">
      <c r="A1250" t="str">
        <f t="shared" si="19"/>
        <v>Groesbeekseweg 19e</v>
      </c>
      <c r="B1250" t="s">
        <v>421</v>
      </c>
      <c r="C1250" t="s">
        <v>306</v>
      </c>
      <c r="D1250">
        <v>1965</v>
      </c>
      <c r="E1250">
        <v>72</v>
      </c>
      <c r="F1250" t="s">
        <v>420</v>
      </c>
      <c r="G1250">
        <v>19</v>
      </c>
      <c r="H1250" t="s">
        <v>319</v>
      </c>
    </row>
    <row r="1251" spans="1:8">
      <c r="A1251" t="str">
        <f t="shared" si="19"/>
        <v>Groesbeekseweg 19f</v>
      </c>
      <c r="B1251" t="s">
        <v>421</v>
      </c>
      <c r="C1251" t="s">
        <v>306</v>
      </c>
      <c r="D1251">
        <v>1965</v>
      </c>
      <c r="E1251">
        <v>72</v>
      </c>
      <c r="F1251" t="s">
        <v>420</v>
      </c>
      <c r="G1251">
        <v>19</v>
      </c>
      <c r="H1251" t="s">
        <v>329</v>
      </c>
    </row>
    <row r="1252" spans="1:8">
      <c r="A1252" t="str">
        <f t="shared" si="19"/>
        <v>Groesbeekseweg 19g</v>
      </c>
      <c r="B1252" t="s">
        <v>421</v>
      </c>
      <c r="C1252" t="s">
        <v>306</v>
      </c>
      <c r="D1252">
        <v>1965</v>
      </c>
      <c r="E1252">
        <v>88</v>
      </c>
      <c r="F1252" t="s">
        <v>420</v>
      </c>
      <c r="G1252">
        <v>19</v>
      </c>
      <c r="H1252" t="s">
        <v>330</v>
      </c>
    </row>
    <row r="1253" spans="1:8">
      <c r="A1253" t="str">
        <f t="shared" si="19"/>
        <v>Groesbeekseweg 19h</v>
      </c>
      <c r="B1253" t="s">
        <v>421</v>
      </c>
      <c r="C1253" t="s">
        <v>306</v>
      </c>
      <c r="D1253">
        <v>1965</v>
      </c>
      <c r="E1253">
        <v>88</v>
      </c>
      <c r="F1253" t="s">
        <v>420</v>
      </c>
      <c r="G1253">
        <v>19</v>
      </c>
      <c r="H1253" t="s">
        <v>397</v>
      </c>
    </row>
    <row r="1254" spans="1:8">
      <c r="A1254" t="str">
        <f t="shared" si="19"/>
        <v>Groesbeekseweg 19k</v>
      </c>
      <c r="B1254" t="s">
        <v>421</v>
      </c>
      <c r="C1254" t="s">
        <v>306</v>
      </c>
      <c r="D1254">
        <v>1965</v>
      </c>
      <c r="E1254">
        <v>88</v>
      </c>
      <c r="F1254" t="s">
        <v>420</v>
      </c>
      <c r="G1254">
        <v>19</v>
      </c>
      <c r="H1254" t="s">
        <v>308</v>
      </c>
    </row>
    <row r="1255" spans="1:8">
      <c r="A1255" t="str">
        <f t="shared" si="19"/>
        <v>Groesbeekseweg 19l</v>
      </c>
      <c r="B1255" t="s">
        <v>421</v>
      </c>
      <c r="C1255" t="s">
        <v>306</v>
      </c>
      <c r="D1255">
        <v>1965</v>
      </c>
      <c r="E1255">
        <v>99</v>
      </c>
      <c r="F1255" t="s">
        <v>420</v>
      </c>
      <c r="G1255">
        <v>19</v>
      </c>
      <c r="H1255" t="s">
        <v>422</v>
      </c>
    </row>
    <row r="1256" spans="1:8">
      <c r="A1256" t="str">
        <f t="shared" si="19"/>
        <v>Groesbeekseweg 19m</v>
      </c>
      <c r="B1256" t="s">
        <v>421</v>
      </c>
      <c r="C1256" t="s">
        <v>306</v>
      </c>
      <c r="D1256">
        <v>1965</v>
      </c>
      <c r="E1256">
        <v>99</v>
      </c>
      <c r="F1256" t="s">
        <v>420</v>
      </c>
      <c r="G1256">
        <v>19</v>
      </c>
      <c r="H1256" t="s">
        <v>286</v>
      </c>
    </row>
    <row r="1257" spans="1:8">
      <c r="A1257" t="str">
        <f t="shared" si="19"/>
        <v>Groesbeekseweg 19n</v>
      </c>
      <c r="B1257" t="s">
        <v>421</v>
      </c>
      <c r="C1257" t="s">
        <v>306</v>
      </c>
      <c r="D1257">
        <v>1965</v>
      </c>
      <c r="E1257">
        <v>88</v>
      </c>
      <c r="F1257" t="s">
        <v>420</v>
      </c>
      <c r="G1257">
        <v>19</v>
      </c>
      <c r="H1257" t="s">
        <v>423</v>
      </c>
    </row>
    <row r="1258" spans="1:8">
      <c r="A1258" t="str">
        <f t="shared" si="19"/>
        <v>Groesbeekseweg 19p</v>
      </c>
      <c r="B1258" t="s">
        <v>421</v>
      </c>
      <c r="C1258" t="s">
        <v>306</v>
      </c>
      <c r="D1258">
        <v>1965</v>
      </c>
      <c r="E1258">
        <v>88</v>
      </c>
      <c r="F1258" t="s">
        <v>420</v>
      </c>
      <c r="G1258">
        <v>19</v>
      </c>
      <c r="H1258" t="s">
        <v>424</v>
      </c>
    </row>
    <row r="1259" spans="1:8">
      <c r="A1259" t="str">
        <f t="shared" si="19"/>
        <v>Groesbeekseweg 19r</v>
      </c>
      <c r="B1259" t="s">
        <v>421</v>
      </c>
      <c r="C1259" t="s">
        <v>306</v>
      </c>
      <c r="D1259">
        <v>1965</v>
      </c>
      <c r="E1259">
        <v>88</v>
      </c>
      <c r="F1259" t="s">
        <v>420</v>
      </c>
      <c r="G1259">
        <v>19</v>
      </c>
      <c r="H1259" t="s">
        <v>425</v>
      </c>
    </row>
    <row r="1260" spans="1:8">
      <c r="A1260" t="str">
        <f t="shared" si="19"/>
        <v>Groesbeekseweg 19s</v>
      </c>
      <c r="B1260" t="s">
        <v>421</v>
      </c>
      <c r="C1260" t="s">
        <v>306</v>
      </c>
      <c r="D1260">
        <v>1965</v>
      </c>
      <c r="E1260">
        <v>91</v>
      </c>
      <c r="F1260" t="s">
        <v>420</v>
      </c>
      <c r="G1260">
        <v>19</v>
      </c>
      <c r="H1260" t="s">
        <v>426</v>
      </c>
    </row>
    <row r="1261" spans="1:8">
      <c r="A1261" t="str">
        <f t="shared" si="19"/>
        <v>Groesbeekseweg 19t</v>
      </c>
      <c r="B1261" t="s">
        <v>421</v>
      </c>
      <c r="C1261" t="s">
        <v>306</v>
      </c>
      <c r="D1261">
        <v>1965</v>
      </c>
      <c r="E1261">
        <v>91</v>
      </c>
      <c r="F1261" t="s">
        <v>420</v>
      </c>
      <c r="G1261">
        <v>19</v>
      </c>
      <c r="H1261" t="s">
        <v>427</v>
      </c>
    </row>
    <row r="1262" spans="1:8">
      <c r="A1262" t="str">
        <f t="shared" si="19"/>
        <v>Groesbeekseweg 19u</v>
      </c>
      <c r="B1262" t="s">
        <v>421</v>
      </c>
      <c r="C1262" t="s">
        <v>306</v>
      </c>
      <c r="D1262">
        <v>1965</v>
      </c>
      <c r="E1262">
        <v>118</v>
      </c>
      <c r="F1262" t="s">
        <v>420</v>
      </c>
      <c r="G1262">
        <v>19</v>
      </c>
      <c r="H1262" t="s">
        <v>428</v>
      </c>
    </row>
    <row r="1263" spans="1:8">
      <c r="A1263" t="str">
        <f t="shared" si="19"/>
        <v>Groesbeekseweg 19v</v>
      </c>
      <c r="B1263" t="s">
        <v>421</v>
      </c>
      <c r="C1263" t="s">
        <v>306</v>
      </c>
      <c r="D1263">
        <v>1965</v>
      </c>
      <c r="E1263">
        <v>118</v>
      </c>
      <c r="F1263" t="s">
        <v>420</v>
      </c>
      <c r="G1263">
        <v>19</v>
      </c>
      <c r="H1263" t="s">
        <v>429</v>
      </c>
    </row>
    <row r="1264" spans="1:8">
      <c r="A1264" t="str">
        <f t="shared" si="19"/>
        <v>Groesbeekseweg 21</v>
      </c>
      <c r="B1264" t="s">
        <v>421</v>
      </c>
      <c r="C1264" t="s">
        <v>306</v>
      </c>
      <c r="D1264">
        <v>1957</v>
      </c>
      <c r="E1264">
        <v>525</v>
      </c>
      <c r="F1264" t="s">
        <v>420</v>
      </c>
      <c r="G1264">
        <v>21</v>
      </c>
    </row>
    <row r="1265" spans="1:8">
      <c r="A1265" t="str">
        <f t="shared" si="19"/>
        <v>Groesbeekseweg 22</v>
      </c>
      <c r="B1265" t="s">
        <v>419</v>
      </c>
      <c r="C1265" t="s">
        <v>306</v>
      </c>
      <c r="D1265">
        <v>1955</v>
      </c>
      <c r="E1265">
        <v>202</v>
      </c>
      <c r="F1265" t="s">
        <v>420</v>
      </c>
      <c r="G1265">
        <v>22</v>
      </c>
    </row>
    <row r="1266" spans="1:8">
      <c r="A1266" t="str">
        <f t="shared" si="19"/>
        <v>Groesbeekseweg 23</v>
      </c>
      <c r="B1266" t="s">
        <v>421</v>
      </c>
      <c r="C1266" t="s">
        <v>306</v>
      </c>
      <c r="D1266">
        <v>1988</v>
      </c>
      <c r="E1266">
        <v>151</v>
      </c>
      <c r="F1266" t="s">
        <v>420</v>
      </c>
      <c r="G1266">
        <v>23</v>
      </c>
    </row>
    <row r="1267" spans="1:8">
      <c r="A1267" t="str">
        <f t="shared" si="19"/>
        <v>Groesbeekseweg 24</v>
      </c>
      <c r="B1267" t="s">
        <v>419</v>
      </c>
      <c r="C1267" t="s">
        <v>306</v>
      </c>
      <c r="D1267">
        <v>1953</v>
      </c>
      <c r="E1267">
        <v>638</v>
      </c>
      <c r="F1267" t="s">
        <v>420</v>
      </c>
      <c r="G1267">
        <v>24</v>
      </c>
    </row>
    <row r="1268" spans="1:8">
      <c r="A1268" t="str">
        <f t="shared" si="19"/>
        <v>Groesbeekseweg 25</v>
      </c>
      <c r="B1268" t="s">
        <v>421</v>
      </c>
      <c r="C1268" t="s">
        <v>306</v>
      </c>
      <c r="D1268">
        <v>1950</v>
      </c>
      <c r="E1268">
        <v>480</v>
      </c>
      <c r="F1268" t="s">
        <v>420</v>
      </c>
      <c r="G1268">
        <v>25</v>
      </c>
    </row>
    <row r="1269" spans="1:8">
      <c r="A1269" t="str">
        <f t="shared" si="19"/>
        <v>Groesbeekseweg 27</v>
      </c>
      <c r="B1269" t="s">
        <v>421</v>
      </c>
      <c r="C1269" t="s">
        <v>306</v>
      </c>
      <c r="D1269">
        <v>1951</v>
      </c>
      <c r="E1269">
        <v>93</v>
      </c>
      <c r="F1269" t="s">
        <v>420</v>
      </c>
      <c r="G1269">
        <v>27</v>
      </c>
    </row>
    <row r="1270" spans="1:8">
      <c r="A1270" t="str">
        <f t="shared" si="19"/>
        <v>Groesbeekseweg 28a</v>
      </c>
      <c r="B1270" t="s">
        <v>419</v>
      </c>
      <c r="C1270" t="s">
        <v>306</v>
      </c>
      <c r="D1270">
        <v>1965</v>
      </c>
      <c r="E1270">
        <v>18</v>
      </c>
      <c r="F1270" t="s">
        <v>420</v>
      </c>
      <c r="G1270">
        <v>28</v>
      </c>
      <c r="H1270" t="s">
        <v>304</v>
      </c>
    </row>
    <row r="1271" spans="1:8">
      <c r="A1271" t="str">
        <f t="shared" si="19"/>
        <v>Groesbeekseweg 28</v>
      </c>
      <c r="B1271" t="s">
        <v>419</v>
      </c>
      <c r="C1271" t="s">
        <v>306</v>
      </c>
      <c r="D1271">
        <v>1962</v>
      </c>
      <c r="E1271">
        <v>215</v>
      </c>
      <c r="F1271" t="s">
        <v>420</v>
      </c>
      <c r="G1271">
        <v>28</v>
      </c>
    </row>
    <row r="1272" spans="1:8">
      <c r="A1272" t="str">
        <f t="shared" si="19"/>
        <v>Groesbeekseweg 30</v>
      </c>
      <c r="B1272" t="s">
        <v>419</v>
      </c>
      <c r="C1272" t="s">
        <v>306</v>
      </c>
      <c r="D1272">
        <v>2005</v>
      </c>
      <c r="E1272">
        <v>414</v>
      </c>
      <c r="F1272" t="s">
        <v>420</v>
      </c>
      <c r="G1272">
        <v>30</v>
      </c>
    </row>
    <row r="1273" spans="1:8">
      <c r="A1273" t="str">
        <f t="shared" si="19"/>
        <v>Groesbeekseweg 32</v>
      </c>
      <c r="C1273" t="s">
        <v>306</v>
      </c>
      <c r="D1273">
        <v>1997</v>
      </c>
      <c r="E1273">
        <v>21</v>
      </c>
      <c r="F1273" t="s">
        <v>420</v>
      </c>
      <c r="G1273">
        <v>32</v>
      </c>
    </row>
    <row r="1274" spans="1:8">
      <c r="A1274" t="str">
        <f t="shared" si="19"/>
        <v>Groesbeekseweg 37</v>
      </c>
      <c r="B1274" t="s">
        <v>421</v>
      </c>
      <c r="C1274" t="s">
        <v>306</v>
      </c>
      <c r="D1274">
        <v>1963</v>
      </c>
      <c r="E1274">
        <v>215</v>
      </c>
      <c r="F1274" t="s">
        <v>420</v>
      </c>
      <c r="G1274">
        <v>37</v>
      </c>
    </row>
    <row r="1275" spans="1:8">
      <c r="A1275" t="str">
        <f t="shared" si="19"/>
        <v>Groesbeekseweg 38</v>
      </c>
      <c r="B1275" t="s">
        <v>419</v>
      </c>
      <c r="C1275" t="s">
        <v>306</v>
      </c>
      <c r="D1275">
        <v>1983</v>
      </c>
      <c r="E1275">
        <v>146</v>
      </c>
      <c r="F1275" t="s">
        <v>420</v>
      </c>
      <c r="G1275">
        <v>38</v>
      </c>
    </row>
    <row r="1276" spans="1:8">
      <c r="A1276" t="str">
        <f t="shared" si="19"/>
        <v>Groesbeekseweg 39</v>
      </c>
      <c r="B1276" t="s">
        <v>421</v>
      </c>
      <c r="C1276" t="s">
        <v>306</v>
      </c>
      <c r="D1276">
        <v>1963</v>
      </c>
      <c r="E1276">
        <v>90</v>
      </c>
      <c r="F1276" t="s">
        <v>420</v>
      </c>
      <c r="G1276">
        <v>39</v>
      </c>
    </row>
    <row r="1277" spans="1:8">
      <c r="A1277" t="str">
        <f t="shared" si="19"/>
        <v>Groesbeekseweg 40</v>
      </c>
      <c r="B1277" t="s">
        <v>419</v>
      </c>
      <c r="C1277" t="s">
        <v>306</v>
      </c>
      <c r="D1277">
        <v>2005</v>
      </c>
      <c r="E1277">
        <v>438</v>
      </c>
      <c r="F1277" t="s">
        <v>420</v>
      </c>
      <c r="G1277">
        <v>40</v>
      </c>
    </row>
    <row r="1278" spans="1:8">
      <c r="A1278" t="str">
        <f t="shared" si="19"/>
        <v>Groesbeekseweg 46</v>
      </c>
      <c r="B1278" t="s">
        <v>430</v>
      </c>
      <c r="C1278" t="s">
        <v>306</v>
      </c>
      <c r="D1278">
        <v>1900</v>
      </c>
      <c r="E1278">
        <v>126</v>
      </c>
      <c r="F1278" t="s">
        <v>420</v>
      </c>
      <c r="G1278">
        <v>46</v>
      </c>
    </row>
    <row r="1279" spans="1:8">
      <c r="A1279" t="str">
        <f t="shared" si="19"/>
        <v>Groesbeekseweg 74</v>
      </c>
      <c r="B1279" t="s">
        <v>430</v>
      </c>
      <c r="C1279" t="s">
        <v>306</v>
      </c>
      <c r="D1279">
        <v>1952</v>
      </c>
      <c r="E1279">
        <v>212</v>
      </c>
      <c r="F1279" t="s">
        <v>420</v>
      </c>
      <c r="G1279">
        <v>74</v>
      </c>
    </row>
    <row r="1280" spans="1:8">
      <c r="A1280" t="str">
        <f t="shared" si="19"/>
        <v>Groesbeekseweg 80</v>
      </c>
      <c r="B1280" t="s">
        <v>430</v>
      </c>
      <c r="C1280" t="s">
        <v>306</v>
      </c>
      <c r="D1280">
        <v>1958</v>
      </c>
      <c r="E1280">
        <v>49</v>
      </c>
      <c r="F1280" t="s">
        <v>420</v>
      </c>
      <c r="G1280">
        <v>80</v>
      </c>
    </row>
    <row r="1281" spans="1:7">
      <c r="A1281" t="str">
        <f t="shared" si="19"/>
        <v>Groesbeekseweg 82</v>
      </c>
      <c r="B1281" t="s">
        <v>430</v>
      </c>
      <c r="C1281" t="s">
        <v>306</v>
      </c>
      <c r="D1281">
        <v>1975</v>
      </c>
      <c r="E1281">
        <v>47</v>
      </c>
      <c r="F1281" t="s">
        <v>420</v>
      </c>
      <c r="G1281">
        <v>82</v>
      </c>
    </row>
    <row r="1282" spans="1:7">
      <c r="A1282" t="str">
        <f t="shared" ref="A1282:A1345" si="20">CONCATENATE(F1282," ",G1282,H1282)</f>
        <v>Groesbeekseweg 84</v>
      </c>
      <c r="B1282" t="s">
        <v>430</v>
      </c>
      <c r="C1282" t="s">
        <v>306</v>
      </c>
      <c r="D1282">
        <v>2018</v>
      </c>
      <c r="E1282">
        <v>195</v>
      </c>
      <c r="F1282" t="s">
        <v>420</v>
      </c>
      <c r="G1282">
        <v>84</v>
      </c>
    </row>
    <row r="1283" spans="1:7">
      <c r="A1283" t="str">
        <f t="shared" si="20"/>
        <v>Groesbeekseweg 86</v>
      </c>
      <c r="B1283" t="s">
        <v>430</v>
      </c>
      <c r="C1283" t="s">
        <v>306</v>
      </c>
      <c r="D1283">
        <v>1975</v>
      </c>
      <c r="E1283">
        <v>66</v>
      </c>
      <c r="F1283" t="s">
        <v>420</v>
      </c>
      <c r="G1283">
        <v>86</v>
      </c>
    </row>
    <row r="1284" spans="1:7">
      <c r="A1284" t="str">
        <f t="shared" si="20"/>
        <v>Groesbeekseweg 92</v>
      </c>
      <c r="B1284" t="s">
        <v>430</v>
      </c>
      <c r="C1284" t="s">
        <v>306</v>
      </c>
      <c r="D1284">
        <v>1966</v>
      </c>
      <c r="E1284">
        <v>196</v>
      </c>
      <c r="F1284" t="s">
        <v>420</v>
      </c>
      <c r="G1284">
        <v>92</v>
      </c>
    </row>
    <row r="1285" spans="1:7">
      <c r="A1285" t="str">
        <f t="shared" si="20"/>
        <v>Groesbeekseweg 94</v>
      </c>
      <c r="B1285" t="s">
        <v>430</v>
      </c>
      <c r="C1285" t="s">
        <v>306</v>
      </c>
      <c r="D1285">
        <v>1965</v>
      </c>
      <c r="E1285">
        <v>291</v>
      </c>
      <c r="F1285" t="s">
        <v>420</v>
      </c>
      <c r="G1285">
        <v>94</v>
      </c>
    </row>
    <row r="1286" spans="1:7">
      <c r="A1286" t="str">
        <f t="shared" si="20"/>
        <v>Groesbeekseweg 96</v>
      </c>
      <c r="B1286" t="s">
        <v>430</v>
      </c>
      <c r="C1286" t="s">
        <v>306</v>
      </c>
      <c r="D1286">
        <v>1965</v>
      </c>
      <c r="E1286">
        <v>254</v>
      </c>
      <c r="F1286" t="s">
        <v>420</v>
      </c>
      <c r="G1286">
        <v>96</v>
      </c>
    </row>
    <row r="1287" spans="1:7">
      <c r="A1287" t="str">
        <f t="shared" si="20"/>
        <v>Groesbeekseweg 98</v>
      </c>
      <c r="B1287" t="s">
        <v>430</v>
      </c>
      <c r="C1287" t="s">
        <v>306</v>
      </c>
      <c r="D1287">
        <v>1965</v>
      </c>
      <c r="E1287">
        <v>195</v>
      </c>
      <c r="F1287" t="s">
        <v>420</v>
      </c>
      <c r="G1287">
        <v>98</v>
      </c>
    </row>
    <row r="1288" spans="1:7">
      <c r="A1288" t="str">
        <f t="shared" si="20"/>
        <v>Groesbeekseweg 100</v>
      </c>
      <c r="B1288" t="s">
        <v>430</v>
      </c>
      <c r="C1288" t="s">
        <v>306</v>
      </c>
      <c r="D1288">
        <v>1972</v>
      </c>
      <c r="E1288">
        <v>70</v>
      </c>
      <c r="F1288" t="s">
        <v>420</v>
      </c>
      <c r="G1288">
        <v>100</v>
      </c>
    </row>
    <row r="1289" spans="1:7">
      <c r="A1289" t="str">
        <f t="shared" si="20"/>
        <v>Groesbeekseweg 102</v>
      </c>
      <c r="B1289" t="s">
        <v>430</v>
      </c>
      <c r="C1289" t="s">
        <v>306</v>
      </c>
      <c r="D1289">
        <v>1989</v>
      </c>
      <c r="E1289">
        <v>64</v>
      </c>
      <c r="F1289" t="s">
        <v>420</v>
      </c>
      <c r="G1289">
        <v>102</v>
      </c>
    </row>
    <row r="1290" spans="1:7">
      <c r="A1290" t="str">
        <f t="shared" si="20"/>
        <v>Groesbeekseweg 104</v>
      </c>
      <c r="B1290" t="s">
        <v>430</v>
      </c>
      <c r="C1290" t="s">
        <v>306</v>
      </c>
      <c r="D1290">
        <v>2022</v>
      </c>
      <c r="E1290">
        <v>128</v>
      </c>
      <c r="F1290" t="s">
        <v>420</v>
      </c>
      <c r="G1290">
        <v>104</v>
      </c>
    </row>
    <row r="1291" spans="1:7">
      <c r="A1291" t="str">
        <f t="shared" si="20"/>
        <v>Groesbeekseweg 106</v>
      </c>
      <c r="B1291" t="s">
        <v>430</v>
      </c>
      <c r="C1291" t="s">
        <v>306</v>
      </c>
      <c r="D1291">
        <v>1946</v>
      </c>
      <c r="E1291">
        <v>1668</v>
      </c>
      <c r="F1291" t="s">
        <v>420</v>
      </c>
      <c r="G1291">
        <v>106</v>
      </c>
    </row>
    <row r="1292" spans="1:7">
      <c r="A1292" t="str">
        <f t="shared" si="20"/>
        <v>Gulikstraat 2</v>
      </c>
      <c r="B1292" t="s">
        <v>431</v>
      </c>
      <c r="C1292" t="s">
        <v>306</v>
      </c>
      <c r="D1292">
        <v>1990</v>
      </c>
      <c r="E1292">
        <v>205</v>
      </c>
      <c r="F1292" t="s">
        <v>432</v>
      </c>
      <c r="G1292">
        <v>2</v>
      </c>
    </row>
    <row r="1293" spans="1:7">
      <c r="A1293" t="str">
        <f t="shared" si="20"/>
        <v>Gulikstraat 3</v>
      </c>
      <c r="B1293" t="s">
        <v>431</v>
      </c>
      <c r="C1293" t="s">
        <v>306</v>
      </c>
      <c r="D1293">
        <v>1990</v>
      </c>
      <c r="E1293">
        <v>109</v>
      </c>
      <c r="F1293" t="s">
        <v>432</v>
      </c>
      <c r="G1293">
        <v>3</v>
      </c>
    </row>
    <row r="1294" spans="1:7">
      <c r="A1294" t="str">
        <f t="shared" si="20"/>
        <v>Gulikstraat 4</v>
      </c>
      <c r="B1294" t="s">
        <v>431</v>
      </c>
      <c r="C1294" t="s">
        <v>306</v>
      </c>
      <c r="D1294">
        <v>1992</v>
      </c>
      <c r="E1294">
        <v>132</v>
      </c>
      <c r="F1294" t="s">
        <v>432</v>
      </c>
      <c r="G1294">
        <v>4</v>
      </c>
    </row>
    <row r="1295" spans="1:7">
      <c r="A1295" t="str">
        <f t="shared" si="20"/>
        <v>Gulikstraat 5</v>
      </c>
      <c r="B1295" t="s">
        <v>431</v>
      </c>
      <c r="C1295" t="s">
        <v>306</v>
      </c>
      <c r="D1295">
        <v>1990</v>
      </c>
      <c r="E1295">
        <v>114</v>
      </c>
      <c r="F1295" t="s">
        <v>432</v>
      </c>
      <c r="G1295">
        <v>5</v>
      </c>
    </row>
    <row r="1296" spans="1:7">
      <c r="A1296" t="str">
        <f t="shared" si="20"/>
        <v>Gulikstraat 6</v>
      </c>
      <c r="B1296" t="s">
        <v>431</v>
      </c>
      <c r="C1296" t="s">
        <v>306</v>
      </c>
      <c r="D1296">
        <v>1992</v>
      </c>
      <c r="E1296">
        <v>130</v>
      </c>
      <c r="F1296" t="s">
        <v>432</v>
      </c>
      <c r="G1296">
        <v>6</v>
      </c>
    </row>
    <row r="1297" spans="1:7">
      <c r="A1297" t="str">
        <f t="shared" si="20"/>
        <v>Gulikstraat 7</v>
      </c>
      <c r="B1297" t="s">
        <v>431</v>
      </c>
      <c r="C1297" t="s">
        <v>306</v>
      </c>
      <c r="D1297">
        <v>1990</v>
      </c>
      <c r="E1297">
        <v>114</v>
      </c>
      <c r="F1297" t="s">
        <v>432</v>
      </c>
      <c r="G1297">
        <v>7</v>
      </c>
    </row>
    <row r="1298" spans="1:7">
      <c r="A1298" t="str">
        <f t="shared" si="20"/>
        <v>Gulikstraat 8</v>
      </c>
      <c r="B1298" t="s">
        <v>431</v>
      </c>
      <c r="C1298" t="s">
        <v>306</v>
      </c>
      <c r="D1298">
        <v>1992</v>
      </c>
      <c r="E1298">
        <v>137</v>
      </c>
      <c r="F1298" t="s">
        <v>432</v>
      </c>
      <c r="G1298">
        <v>8</v>
      </c>
    </row>
    <row r="1299" spans="1:7">
      <c r="A1299" t="str">
        <f t="shared" si="20"/>
        <v>Gulikstraat 9</v>
      </c>
      <c r="B1299" t="s">
        <v>431</v>
      </c>
      <c r="C1299" t="s">
        <v>306</v>
      </c>
      <c r="D1299">
        <v>1990</v>
      </c>
      <c r="E1299">
        <v>114</v>
      </c>
      <c r="F1299" t="s">
        <v>432</v>
      </c>
      <c r="G1299">
        <v>9</v>
      </c>
    </row>
    <row r="1300" spans="1:7">
      <c r="A1300" t="str">
        <f t="shared" si="20"/>
        <v>Gulikstraat 11</v>
      </c>
      <c r="B1300" t="s">
        <v>431</v>
      </c>
      <c r="C1300" t="s">
        <v>306</v>
      </c>
      <c r="D1300">
        <v>1990</v>
      </c>
      <c r="E1300">
        <v>114</v>
      </c>
      <c r="F1300" t="s">
        <v>432</v>
      </c>
      <c r="G1300">
        <v>11</v>
      </c>
    </row>
    <row r="1301" spans="1:7">
      <c r="A1301" t="str">
        <f t="shared" si="20"/>
        <v>Gulikstraat 13</v>
      </c>
      <c r="B1301" t="s">
        <v>431</v>
      </c>
      <c r="C1301" t="s">
        <v>306</v>
      </c>
      <c r="D1301">
        <v>1990</v>
      </c>
      <c r="E1301">
        <v>116</v>
      </c>
      <c r="F1301" t="s">
        <v>432</v>
      </c>
      <c r="G1301">
        <v>13</v>
      </c>
    </row>
    <row r="1302" spans="1:7">
      <c r="A1302" t="str">
        <f t="shared" si="20"/>
        <v>Gulikstraat 15</v>
      </c>
      <c r="B1302" t="s">
        <v>431</v>
      </c>
      <c r="C1302" t="s">
        <v>306</v>
      </c>
      <c r="D1302">
        <v>1990</v>
      </c>
      <c r="E1302">
        <v>119</v>
      </c>
      <c r="F1302" t="s">
        <v>432</v>
      </c>
      <c r="G1302">
        <v>15</v>
      </c>
    </row>
    <row r="1303" spans="1:7">
      <c r="A1303" t="str">
        <f t="shared" si="20"/>
        <v>Gulikstraat 17</v>
      </c>
      <c r="B1303" t="s">
        <v>431</v>
      </c>
      <c r="C1303" t="s">
        <v>306</v>
      </c>
      <c r="D1303">
        <v>1990</v>
      </c>
      <c r="E1303">
        <v>110</v>
      </c>
      <c r="F1303" t="s">
        <v>432</v>
      </c>
      <c r="G1303">
        <v>17</v>
      </c>
    </row>
    <row r="1304" spans="1:7">
      <c r="A1304" t="str">
        <f t="shared" si="20"/>
        <v>Gulikstraat 19</v>
      </c>
      <c r="B1304" t="s">
        <v>431</v>
      </c>
      <c r="C1304" t="s">
        <v>306</v>
      </c>
      <c r="D1304">
        <v>1925</v>
      </c>
      <c r="E1304">
        <v>149</v>
      </c>
      <c r="F1304" t="s">
        <v>432</v>
      </c>
      <c r="G1304">
        <v>19</v>
      </c>
    </row>
    <row r="1305" spans="1:7">
      <c r="A1305" t="str">
        <f t="shared" si="20"/>
        <v>Gulikstraat 21</v>
      </c>
      <c r="B1305" t="s">
        <v>431</v>
      </c>
      <c r="C1305" t="s">
        <v>306</v>
      </c>
      <c r="D1305">
        <v>1989</v>
      </c>
      <c r="E1305">
        <v>51</v>
      </c>
      <c r="F1305" t="s">
        <v>432</v>
      </c>
      <c r="G1305">
        <v>21</v>
      </c>
    </row>
    <row r="1306" spans="1:7">
      <c r="A1306" t="str">
        <f t="shared" si="20"/>
        <v>Gulikstraat 23</v>
      </c>
      <c r="B1306" t="s">
        <v>431</v>
      </c>
      <c r="C1306" t="s">
        <v>306</v>
      </c>
      <c r="D1306">
        <v>1989</v>
      </c>
      <c r="E1306">
        <v>83</v>
      </c>
      <c r="F1306" t="s">
        <v>432</v>
      </c>
      <c r="G1306">
        <v>23</v>
      </c>
    </row>
    <row r="1307" spans="1:7">
      <c r="A1307" t="str">
        <f t="shared" si="20"/>
        <v>Gulikstraat 25</v>
      </c>
      <c r="B1307" t="s">
        <v>431</v>
      </c>
      <c r="C1307" t="s">
        <v>306</v>
      </c>
      <c r="D1307">
        <v>1989</v>
      </c>
      <c r="E1307">
        <v>51</v>
      </c>
      <c r="F1307" t="s">
        <v>432</v>
      </c>
      <c r="G1307">
        <v>25</v>
      </c>
    </row>
    <row r="1308" spans="1:7">
      <c r="A1308" t="str">
        <f t="shared" si="20"/>
        <v>Gulikstraat 27</v>
      </c>
      <c r="B1308" t="s">
        <v>431</v>
      </c>
      <c r="C1308" t="s">
        <v>306</v>
      </c>
      <c r="D1308">
        <v>1989</v>
      </c>
      <c r="E1308">
        <v>127</v>
      </c>
      <c r="F1308" t="s">
        <v>432</v>
      </c>
      <c r="G1308">
        <v>27</v>
      </c>
    </row>
    <row r="1309" spans="1:7">
      <c r="A1309" t="str">
        <f t="shared" si="20"/>
        <v>Gulikstraat 29</v>
      </c>
      <c r="B1309" t="s">
        <v>431</v>
      </c>
      <c r="C1309" t="s">
        <v>306</v>
      </c>
      <c r="D1309">
        <v>1989</v>
      </c>
      <c r="E1309">
        <v>51</v>
      </c>
      <c r="F1309" t="s">
        <v>432</v>
      </c>
      <c r="G1309">
        <v>29</v>
      </c>
    </row>
    <row r="1310" spans="1:7">
      <c r="A1310" t="str">
        <f t="shared" si="20"/>
        <v>Gulikstraat 31</v>
      </c>
      <c r="B1310" t="s">
        <v>431</v>
      </c>
      <c r="C1310" t="s">
        <v>306</v>
      </c>
      <c r="D1310">
        <v>1989</v>
      </c>
      <c r="E1310">
        <v>127</v>
      </c>
      <c r="F1310" t="s">
        <v>432</v>
      </c>
      <c r="G1310">
        <v>31</v>
      </c>
    </row>
    <row r="1311" spans="1:7">
      <c r="A1311" t="str">
        <f t="shared" si="20"/>
        <v>Gulikstraat 33</v>
      </c>
      <c r="B1311" t="s">
        <v>431</v>
      </c>
      <c r="C1311" t="s">
        <v>306</v>
      </c>
      <c r="D1311">
        <v>1989</v>
      </c>
      <c r="E1311">
        <v>51</v>
      </c>
      <c r="F1311" t="s">
        <v>432</v>
      </c>
      <c r="G1311">
        <v>33</v>
      </c>
    </row>
    <row r="1312" spans="1:7">
      <c r="A1312" t="str">
        <f t="shared" si="20"/>
        <v>Gulikstraat 35</v>
      </c>
      <c r="B1312" t="s">
        <v>431</v>
      </c>
      <c r="C1312" t="s">
        <v>306</v>
      </c>
      <c r="D1312">
        <v>1989</v>
      </c>
      <c r="E1312">
        <v>127</v>
      </c>
      <c r="F1312" t="s">
        <v>432</v>
      </c>
      <c r="G1312">
        <v>35</v>
      </c>
    </row>
    <row r="1313" spans="1:8">
      <c r="A1313" t="str">
        <f t="shared" si="20"/>
        <v>Gulikstraat 37</v>
      </c>
      <c r="B1313" t="s">
        <v>431</v>
      </c>
      <c r="C1313" t="s">
        <v>306</v>
      </c>
      <c r="D1313">
        <v>1989</v>
      </c>
      <c r="E1313">
        <v>51</v>
      </c>
      <c r="F1313" t="s">
        <v>432</v>
      </c>
      <c r="G1313">
        <v>37</v>
      </c>
    </row>
    <row r="1314" spans="1:8">
      <c r="A1314" t="str">
        <f t="shared" si="20"/>
        <v>Gulikstraat 39</v>
      </c>
      <c r="B1314" t="s">
        <v>431</v>
      </c>
      <c r="C1314" t="s">
        <v>306</v>
      </c>
      <c r="D1314">
        <v>1989</v>
      </c>
      <c r="E1314">
        <v>127</v>
      </c>
      <c r="F1314" t="s">
        <v>432</v>
      </c>
      <c r="G1314">
        <v>39</v>
      </c>
    </row>
    <row r="1315" spans="1:8">
      <c r="A1315" t="str">
        <f t="shared" si="20"/>
        <v>Halderweg 2</v>
      </c>
      <c r="B1315" t="s">
        <v>433</v>
      </c>
      <c r="C1315" t="s">
        <v>296</v>
      </c>
      <c r="D1315">
        <v>2013</v>
      </c>
      <c r="E1315">
        <v>45</v>
      </c>
      <c r="F1315" t="s">
        <v>434</v>
      </c>
      <c r="G1315">
        <v>2</v>
      </c>
    </row>
    <row r="1316" spans="1:8">
      <c r="A1316" t="str">
        <f t="shared" si="20"/>
        <v>Heidepad 1</v>
      </c>
      <c r="B1316" t="s">
        <v>435</v>
      </c>
      <c r="C1316" t="s">
        <v>296</v>
      </c>
      <c r="D1316">
        <v>1977</v>
      </c>
      <c r="E1316">
        <v>290</v>
      </c>
      <c r="F1316" t="s">
        <v>436</v>
      </c>
      <c r="G1316">
        <v>1</v>
      </c>
    </row>
    <row r="1317" spans="1:8">
      <c r="A1317" t="str">
        <f t="shared" si="20"/>
        <v>Heidepad 2</v>
      </c>
      <c r="B1317" t="s">
        <v>435</v>
      </c>
      <c r="C1317" t="s">
        <v>296</v>
      </c>
      <c r="D1317">
        <v>1978</v>
      </c>
      <c r="E1317">
        <v>301</v>
      </c>
      <c r="F1317" t="s">
        <v>436</v>
      </c>
      <c r="G1317">
        <v>2</v>
      </c>
    </row>
    <row r="1318" spans="1:8">
      <c r="A1318" t="str">
        <f t="shared" si="20"/>
        <v>Heidepad 3</v>
      </c>
      <c r="B1318" t="s">
        <v>435</v>
      </c>
      <c r="C1318" t="s">
        <v>296</v>
      </c>
      <c r="D1318">
        <v>1977</v>
      </c>
      <c r="E1318">
        <v>243</v>
      </c>
      <c r="F1318" t="s">
        <v>436</v>
      </c>
      <c r="G1318">
        <v>3</v>
      </c>
    </row>
    <row r="1319" spans="1:8">
      <c r="A1319" t="str">
        <f t="shared" si="20"/>
        <v>Heidepad 4</v>
      </c>
      <c r="B1319" t="s">
        <v>435</v>
      </c>
      <c r="C1319" t="s">
        <v>296</v>
      </c>
      <c r="D1319">
        <v>1978</v>
      </c>
      <c r="E1319">
        <v>237</v>
      </c>
      <c r="F1319" t="s">
        <v>436</v>
      </c>
      <c r="G1319">
        <v>4</v>
      </c>
    </row>
    <row r="1320" spans="1:8">
      <c r="A1320" t="str">
        <f t="shared" si="20"/>
        <v>Heidepad 5</v>
      </c>
      <c r="B1320" t="s">
        <v>435</v>
      </c>
      <c r="C1320" t="s">
        <v>296</v>
      </c>
      <c r="D1320">
        <v>1980</v>
      </c>
      <c r="E1320">
        <v>234</v>
      </c>
      <c r="F1320" t="s">
        <v>436</v>
      </c>
      <c r="G1320">
        <v>5</v>
      </c>
    </row>
    <row r="1321" spans="1:8">
      <c r="A1321" t="str">
        <f t="shared" si="20"/>
        <v>Heidepad 6</v>
      </c>
      <c r="B1321" t="s">
        <v>435</v>
      </c>
      <c r="C1321" t="s">
        <v>296</v>
      </c>
      <c r="D1321">
        <v>1976</v>
      </c>
      <c r="E1321">
        <v>280</v>
      </c>
      <c r="F1321" t="s">
        <v>436</v>
      </c>
      <c r="G1321">
        <v>6</v>
      </c>
    </row>
    <row r="1322" spans="1:8">
      <c r="A1322" t="str">
        <f t="shared" si="20"/>
        <v>Heidepad 8</v>
      </c>
      <c r="B1322" t="s">
        <v>435</v>
      </c>
      <c r="C1322" t="s">
        <v>296</v>
      </c>
      <c r="D1322">
        <v>1976</v>
      </c>
      <c r="E1322">
        <v>127</v>
      </c>
      <c r="F1322" t="s">
        <v>436</v>
      </c>
      <c r="G1322">
        <v>8</v>
      </c>
    </row>
    <row r="1323" spans="1:8">
      <c r="A1323" t="str">
        <f t="shared" si="20"/>
        <v>Heikantseweg 1</v>
      </c>
      <c r="B1323" t="s">
        <v>437</v>
      </c>
      <c r="C1323" t="s">
        <v>302</v>
      </c>
      <c r="D1323">
        <v>1948</v>
      </c>
      <c r="E1323">
        <v>159</v>
      </c>
      <c r="F1323" t="s">
        <v>438</v>
      </c>
      <c r="G1323">
        <v>1</v>
      </c>
    </row>
    <row r="1324" spans="1:8">
      <c r="A1324" t="str">
        <f t="shared" si="20"/>
        <v>Heikantseweg 3</v>
      </c>
      <c r="B1324" t="s">
        <v>437</v>
      </c>
      <c r="C1324" t="s">
        <v>302</v>
      </c>
      <c r="D1324">
        <v>1962</v>
      </c>
      <c r="E1324">
        <v>172</v>
      </c>
      <c r="F1324" t="s">
        <v>438</v>
      </c>
      <c r="G1324">
        <v>3</v>
      </c>
    </row>
    <row r="1325" spans="1:8">
      <c r="A1325" t="str">
        <f t="shared" si="20"/>
        <v>Heikantseweg 4</v>
      </c>
      <c r="B1325" t="s">
        <v>439</v>
      </c>
      <c r="C1325" t="s">
        <v>302</v>
      </c>
      <c r="D1325">
        <v>1970</v>
      </c>
      <c r="E1325">
        <v>263</v>
      </c>
      <c r="F1325" t="s">
        <v>438</v>
      </c>
      <c r="G1325">
        <v>4</v>
      </c>
    </row>
    <row r="1326" spans="1:8">
      <c r="A1326" t="str">
        <f t="shared" si="20"/>
        <v>Heikantseweg 5a</v>
      </c>
      <c r="B1326" t="s">
        <v>437</v>
      </c>
      <c r="C1326" t="s">
        <v>302</v>
      </c>
      <c r="D1326">
        <v>1979</v>
      </c>
      <c r="E1326">
        <v>335</v>
      </c>
      <c r="F1326" t="s">
        <v>438</v>
      </c>
      <c r="G1326">
        <v>5</v>
      </c>
      <c r="H1326" t="s">
        <v>304</v>
      </c>
    </row>
    <row r="1327" spans="1:8">
      <c r="A1327" t="str">
        <f t="shared" si="20"/>
        <v>Heikantseweg 5</v>
      </c>
      <c r="B1327" t="s">
        <v>437</v>
      </c>
      <c r="C1327" t="s">
        <v>302</v>
      </c>
      <c r="D1327">
        <v>1950</v>
      </c>
      <c r="E1327">
        <v>260</v>
      </c>
      <c r="F1327" t="s">
        <v>438</v>
      </c>
      <c r="G1327">
        <v>5</v>
      </c>
    </row>
    <row r="1328" spans="1:8">
      <c r="A1328" t="str">
        <f t="shared" si="20"/>
        <v>Heikantseweg 6</v>
      </c>
      <c r="B1328" t="s">
        <v>439</v>
      </c>
      <c r="C1328" t="s">
        <v>302</v>
      </c>
      <c r="D1328">
        <v>1979</v>
      </c>
      <c r="E1328">
        <v>264</v>
      </c>
      <c r="F1328" t="s">
        <v>438</v>
      </c>
      <c r="G1328">
        <v>6</v>
      </c>
    </row>
    <row r="1329" spans="1:8">
      <c r="A1329" t="str">
        <f t="shared" si="20"/>
        <v>Heikantseweg 7</v>
      </c>
      <c r="B1329" t="s">
        <v>437</v>
      </c>
      <c r="C1329" t="s">
        <v>302</v>
      </c>
      <c r="D1329">
        <v>1950</v>
      </c>
      <c r="E1329">
        <v>251</v>
      </c>
      <c r="F1329" t="s">
        <v>438</v>
      </c>
      <c r="G1329">
        <v>7</v>
      </c>
    </row>
    <row r="1330" spans="1:8">
      <c r="A1330" t="str">
        <f t="shared" si="20"/>
        <v>Heikantseweg 8</v>
      </c>
      <c r="B1330" t="s">
        <v>439</v>
      </c>
      <c r="C1330" t="s">
        <v>302</v>
      </c>
      <c r="D1330">
        <v>1950</v>
      </c>
      <c r="E1330">
        <v>154</v>
      </c>
      <c r="F1330" t="s">
        <v>438</v>
      </c>
      <c r="G1330">
        <v>8</v>
      </c>
    </row>
    <row r="1331" spans="1:8">
      <c r="A1331" t="str">
        <f t="shared" si="20"/>
        <v>Heikantseweg 9a</v>
      </c>
      <c r="B1331" t="s">
        <v>437</v>
      </c>
      <c r="C1331" t="s">
        <v>302</v>
      </c>
      <c r="D1331">
        <v>1994</v>
      </c>
      <c r="E1331">
        <v>159</v>
      </c>
      <c r="F1331" t="s">
        <v>438</v>
      </c>
      <c r="G1331">
        <v>9</v>
      </c>
      <c r="H1331" t="s">
        <v>304</v>
      </c>
    </row>
    <row r="1332" spans="1:8">
      <c r="A1332" t="str">
        <f t="shared" si="20"/>
        <v>Heikantseweg 9</v>
      </c>
      <c r="B1332" t="s">
        <v>437</v>
      </c>
      <c r="C1332" t="s">
        <v>302</v>
      </c>
      <c r="D1332">
        <v>1957</v>
      </c>
      <c r="E1332">
        <v>207</v>
      </c>
      <c r="F1332" t="s">
        <v>438</v>
      </c>
      <c r="G1332">
        <v>9</v>
      </c>
    </row>
    <row r="1333" spans="1:8">
      <c r="A1333" t="str">
        <f t="shared" si="20"/>
        <v>Heikantseweg 10</v>
      </c>
      <c r="B1333" t="s">
        <v>439</v>
      </c>
      <c r="C1333" t="s">
        <v>302</v>
      </c>
      <c r="D1333">
        <v>1950</v>
      </c>
      <c r="E1333">
        <v>139</v>
      </c>
      <c r="F1333" t="s">
        <v>438</v>
      </c>
      <c r="G1333">
        <v>10</v>
      </c>
    </row>
    <row r="1334" spans="1:8">
      <c r="A1334" t="str">
        <f t="shared" si="20"/>
        <v>Heikantseweg 11a</v>
      </c>
      <c r="B1334" t="s">
        <v>437</v>
      </c>
      <c r="C1334" t="s">
        <v>302</v>
      </c>
      <c r="D1334">
        <v>1988</v>
      </c>
      <c r="E1334">
        <v>338</v>
      </c>
      <c r="F1334" t="s">
        <v>438</v>
      </c>
      <c r="G1334">
        <v>11</v>
      </c>
      <c r="H1334" t="s">
        <v>304</v>
      </c>
    </row>
    <row r="1335" spans="1:8">
      <c r="A1335" t="str">
        <f t="shared" si="20"/>
        <v>Heikantseweg 11c</v>
      </c>
      <c r="B1335" t="s">
        <v>437</v>
      </c>
      <c r="C1335" t="s">
        <v>302</v>
      </c>
      <c r="D1335">
        <v>1988</v>
      </c>
      <c r="E1335">
        <v>2338</v>
      </c>
      <c r="F1335" t="s">
        <v>438</v>
      </c>
      <c r="G1335">
        <v>11</v>
      </c>
      <c r="H1335" t="s">
        <v>299</v>
      </c>
    </row>
    <row r="1336" spans="1:8">
      <c r="A1336" t="str">
        <f t="shared" si="20"/>
        <v>Heikantseweg 11</v>
      </c>
      <c r="B1336" t="s">
        <v>437</v>
      </c>
      <c r="C1336" t="s">
        <v>302</v>
      </c>
      <c r="D1336">
        <v>1950</v>
      </c>
      <c r="E1336">
        <v>188</v>
      </c>
      <c r="F1336" t="s">
        <v>438</v>
      </c>
      <c r="G1336">
        <v>11</v>
      </c>
    </row>
    <row r="1337" spans="1:8">
      <c r="A1337" t="str">
        <f t="shared" si="20"/>
        <v>Heikantseweg 12</v>
      </c>
      <c r="B1337" t="s">
        <v>439</v>
      </c>
      <c r="C1337" t="s">
        <v>302</v>
      </c>
      <c r="D1337">
        <v>1971</v>
      </c>
      <c r="E1337">
        <v>465</v>
      </c>
      <c r="F1337" t="s">
        <v>438</v>
      </c>
      <c r="G1337">
        <v>12</v>
      </c>
    </row>
    <row r="1338" spans="1:8">
      <c r="A1338" t="str">
        <f t="shared" si="20"/>
        <v>Heikantseweg 13</v>
      </c>
      <c r="B1338" t="s">
        <v>437</v>
      </c>
      <c r="C1338" t="s">
        <v>302</v>
      </c>
      <c r="D1338">
        <v>1969</v>
      </c>
      <c r="E1338">
        <v>291</v>
      </c>
      <c r="F1338" t="s">
        <v>438</v>
      </c>
      <c r="G1338">
        <v>13</v>
      </c>
    </row>
    <row r="1339" spans="1:8">
      <c r="A1339" t="str">
        <f t="shared" si="20"/>
        <v>Heikantseweg 14</v>
      </c>
      <c r="B1339" t="s">
        <v>439</v>
      </c>
      <c r="C1339" t="s">
        <v>302</v>
      </c>
      <c r="D1339">
        <v>1976</v>
      </c>
      <c r="E1339">
        <v>669</v>
      </c>
      <c r="F1339" t="s">
        <v>438</v>
      </c>
      <c r="G1339">
        <v>14</v>
      </c>
    </row>
    <row r="1340" spans="1:8">
      <c r="A1340" t="str">
        <f t="shared" si="20"/>
        <v>Heikantseweg 15</v>
      </c>
      <c r="B1340" t="s">
        <v>437</v>
      </c>
      <c r="C1340" t="s">
        <v>302</v>
      </c>
      <c r="D1340">
        <v>1968</v>
      </c>
      <c r="E1340">
        <v>262</v>
      </c>
      <c r="F1340" t="s">
        <v>438</v>
      </c>
      <c r="G1340">
        <v>15</v>
      </c>
    </row>
    <row r="1341" spans="1:8">
      <c r="A1341" t="str">
        <f t="shared" si="20"/>
        <v>Heikantseweg 16</v>
      </c>
      <c r="B1341" t="s">
        <v>439</v>
      </c>
      <c r="C1341" t="s">
        <v>302</v>
      </c>
      <c r="D1341">
        <v>1963</v>
      </c>
      <c r="E1341">
        <v>163</v>
      </c>
      <c r="F1341" t="s">
        <v>438</v>
      </c>
      <c r="G1341">
        <v>16</v>
      </c>
    </row>
    <row r="1342" spans="1:8">
      <c r="A1342" t="str">
        <f t="shared" si="20"/>
        <v>Heikantseweg 17</v>
      </c>
      <c r="B1342" t="s">
        <v>437</v>
      </c>
      <c r="C1342" t="s">
        <v>302</v>
      </c>
      <c r="D1342">
        <v>1965</v>
      </c>
      <c r="E1342">
        <v>336</v>
      </c>
      <c r="F1342" t="s">
        <v>438</v>
      </c>
      <c r="G1342">
        <v>17</v>
      </c>
    </row>
    <row r="1343" spans="1:8">
      <c r="A1343" t="str">
        <f t="shared" si="20"/>
        <v>Heikantseweg 18a</v>
      </c>
      <c r="B1343" t="s">
        <v>439</v>
      </c>
      <c r="C1343" t="s">
        <v>302</v>
      </c>
      <c r="D1343">
        <v>1954</v>
      </c>
      <c r="E1343">
        <v>65</v>
      </c>
      <c r="F1343" t="s">
        <v>438</v>
      </c>
      <c r="G1343">
        <v>18</v>
      </c>
      <c r="H1343" t="s">
        <v>304</v>
      </c>
    </row>
    <row r="1344" spans="1:8">
      <c r="A1344" t="str">
        <f t="shared" si="20"/>
        <v>Heikantseweg 18</v>
      </c>
      <c r="B1344" t="s">
        <v>439</v>
      </c>
      <c r="C1344" t="s">
        <v>302</v>
      </c>
      <c r="D1344">
        <v>1937</v>
      </c>
      <c r="E1344">
        <v>139</v>
      </c>
      <c r="F1344" t="s">
        <v>438</v>
      </c>
      <c r="G1344">
        <v>18</v>
      </c>
    </row>
    <row r="1345" spans="1:8">
      <c r="A1345" t="str">
        <f t="shared" si="20"/>
        <v>Heikantseweg 19</v>
      </c>
      <c r="B1345" t="s">
        <v>437</v>
      </c>
      <c r="C1345" t="s">
        <v>302</v>
      </c>
      <c r="D1345">
        <v>1968</v>
      </c>
      <c r="E1345">
        <v>399</v>
      </c>
      <c r="F1345" t="s">
        <v>438</v>
      </c>
      <c r="G1345">
        <v>19</v>
      </c>
    </row>
    <row r="1346" spans="1:8">
      <c r="A1346" t="str">
        <f t="shared" ref="A1346:A1409" si="21">CONCATENATE(F1346," ",G1346,H1346)</f>
        <v>Heikantseweg 20</v>
      </c>
      <c r="B1346" t="s">
        <v>439</v>
      </c>
      <c r="C1346" t="s">
        <v>302</v>
      </c>
      <c r="D1346">
        <v>1937</v>
      </c>
      <c r="E1346">
        <v>239</v>
      </c>
      <c r="F1346" t="s">
        <v>438</v>
      </c>
      <c r="G1346">
        <v>20</v>
      </c>
    </row>
    <row r="1347" spans="1:8">
      <c r="A1347" t="str">
        <f t="shared" si="21"/>
        <v>Heikantseweg 21</v>
      </c>
      <c r="B1347" t="s">
        <v>437</v>
      </c>
      <c r="C1347" t="s">
        <v>302</v>
      </c>
      <c r="D1347">
        <v>1968</v>
      </c>
      <c r="E1347">
        <v>215</v>
      </c>
      <c r="F1347" t="s">
        <v>438</v>
      </c>
      <c r="G1347">
        <v>21</v>
      </c>
    </row>
    <row r="1348" spans="1:8">
      <c r="A1348" t="str">
        <f t="shared" si="21"/>
        <v>Heikantseweg 22</v>
      </c>
      <c r="B1348" t="s">
        <v>439</v>
      </c>
      <c r="C1348" t="s">
        <v>302</v>
      </c>
      <c r="D1348">
        <v>1964</v>
      </c>
      <c r="E1348">
        <v>200</v>
      </c>
      <c r="F1348" t="s">
        <v>438</v>
      </c>
      <c r="G1348">
        <v>22</v>
      </c>
    </row>
    <row r="1349" spans="1:8">
      <c r="A1349" t="str">
        <f t="shared" si="21"/>
        <v>Heikantseweg 23</v>
      </c>
      <c r="B1349" t="s">
        <v>437</v>
      </c>
      <c r="C1349" t="s">
        <v>302</v>
      </c>
      <c r="D1349">
        <v>1968</v>
      </c>
      <c r="E1349">
        <v>289</v>
      </c>
      <c r="F1349" t="s">
        <v>438</v>
      </c>
      <c r="G1349">
        <v>23</v>
      </c>
    </row>
    <row r="1350" spans="1:8">
      <c r="A1350" t="str">
        <f t="shared" si="21"/>
        <v>Heikantseweg 24</v>
      </c>
      <c r="B1350" t="s">
        <v>439</v>
      </c>
      <c r="C1350" t="s">
        <v>302</v>
      </c>
      <c r="D1350">
        <v>1952</v>
      </c>
      <c r="E1350">
        <v>227</v>
      </c>
      <c r="F1350" t="s">
        <v>438</v>
      </c>
      <c r="G1350">
        <v>24</v>
      </c>
    </row>
    <row r="1351" spans="1:8">
      <c r="A1351" t="str">
        <f t="shared" si="21"/>
        <v>Heikantseweg 25</v>
      </c>
      <c r="B1351" t="s">
        <v>437</v>
      </c>
      <c r="C1351" t="s">
        <v>302</v>
      </c>
      <c r="D1351">
        <v>1968</v>
      </c>
      <c r="E1351">
        <v>335</v>
      </c>
      <c r="F1351" t="s">
        <v>438</v>
      </c>
      <c r="G1351">
        <v>25</v>
      </c>
    </row>
    <row r="1352" spans="1:8">
      <c r="A1352" t="str">
        <f t="shared" si="21"/>
        <v>Heikantseweg 26</v>
      </c>
      <c r="B1352" t="s">
        <v>439</v>
      </c>
      <c r="C1352" t="s">
        <v>302</v>
      </c>
      <c r="D1352">
        <v>1965</v>
      </c>
      <c r="E1352">
        <v>191</v>
      </c>
      <c r="F1352" t="s">
        <v>438</v>
      </c>
      <c r="G1352">
        <v>26</v>
      </c>
    </row>
    <row r="1353" spans="1:8">
      <c r="A1353" t="str">
        <f t="shared" si="21"/>
        <v>Heikantseweg 27a</v>
      </c>
      <c r="B1353" t="s">
        <v>437</v>
      </c>
      <c r="C1353" t="s">
        <v>302</v>
      </c>
      <c r="D1353">
        <v>1997</v>
      </c>
      <c r="E1353">
        <v>167</v>
      </c>
      <c r="F1353" t="s">
        <v>438</v>
      </c>
      <c r="G1353">
        <v>27</v>
      </c>
      <c r="H1353" t="s">
        <v>304</v>
      </c>
    </row>
    <row r="1354" spans="1:8">
      <c r="A1354" t="str">
        <f t="shared" si="21"/>
        <v>Heikantseweg 27</v>
      </c>
      <c r="B1354" t="s">
        <v>437</v>
      </c>
      <c r="C1354" t="s">
        <v>302</v>
      </c>
      <c r="D1354">
        <v>2021</v>
      </c>
      <c r="E1354">
        <v>273</v>
      </c>
      <c r="F1354" t="s">
        <v>438</v>
      </c>
      <c r="G1354">
        <v>27</v>
      </c>
    </row>
    <row r="1355" spans="1:8">
      <c r="A1355" t="str">
        <f t="shared" si="21"/>
        <v>Heikantseweg 28a</v>
      </c>
      <c r="B1355" t="s">
        <v>439</v>
      </c>
      <c r="C1355" t="s">
        <v>302</v>
      </c>
      <c r="D1355">
        <v>1979</v>
      </c>
      <c r="E1355">
        <v>143</v>
      </c>
      <c r="F1355" t="s">
        <v>438</v>
      </c>
      <c r="G1355">
        <v>28</v>
      </c>
      <c r="H1355" t="s">
        <v>304</v>
      </c>
    </row>
    <row r="1356" spans="1:8">
      <c r="A1356" t="str">
        <f t="shared" si="21"/>
        <v>Heikantseweg 28</v>
      </c>
      <c r="B1356" t="s">
        <v>439</v>
      </c>
      <c r="C1356" t="s">
        <v>302</v>
      </c>
      <c r="D1356">
        <v>1979</v>
      </c>
      <c r="E1356">
        <v>457</v>
      </c>
      <c r="F1356" t="s">
        <v>438</v>
      </c>
      <c r="G1356">
        <v>28</v>
      </c>
    </row>
    <row r="1357" spans="1:8">
      <c r="A1357" t="str">
        <f t="shared" si="21"/>
        <v>Heikantseweg 29</v>
      </c>
      <c r="B1357" t="s">
        <v>437</v>
      </c>
      <c r="C1357" t="s">
        <v>302</v>
      </c>
      <c r="D1357">
        <v>2020</v>
      </c>
      <c r="E1357">
        <v>269</v>
      </c>
      <c r="F1357" t="s">
        <v>438</v>
      </c>
      <c r="G1357">
        <v>29</v>
      </c>
    </row>
    <row r="1358" spans="1:8">
      <c r="A1358" t="str">
        <f t="shared" si="21"/>
        <v>Heikantseweg 30a</v>
      </c>
      <c r="B1358" t="s">
        <v>439</v>
      </c>
      <c r="C1358" t="s">
        <v>302</v>
      </c>
      <c r="D1358">
        <v>2011</v>
      </c>
      <c r="E1358">
        <v>213</v>
      </c>
      <c r="F1358" t="s">
        <v>438</v>
      </c>
      <c r="G1358">
        <v>30</v>
      </c>
      <c r="H1358" t="s">
        <v>304</v>
      </c>
    </row>
    <row r="1359" spans="1:8">
      <c r="A1359" t="str">
        <f t="shared" si="21"/>
        <v>Heikantseweg 30b</v>
      </c>
      <c r="B1359" t="s">
        <v>439</v>
      </c>
      <c r="C1359" t="s">
        <v>302</v>
      </c>
      <c r="D1359">
        <v>2010</v>
      </c>
      <c r="E1359">
        <v>217</v>
      </c>
      <c r="F1359" t="s">
        <v>438</v>
      </c>
      <c r="G1359">
        <v>30</v>
      </c>
      <c r="H1359" t="s">
        <v>298</v>
      </c>
    </row>
    <row r="1360" spans="1:8">
      <c r="A1360" t="str">
        <f t="shared" si="21"/>
        <v>Heikantseweg 30</v>
      </c>
      <c r="B1360" t="s">
        <v>439</v>
      </c>
      <c r="C1360" t="s">
        <v>302</v>
      </c>
      <c r="D1360">
        <v>1952</v>
      </c>
      <c r="E1360">
        <v>318</v>
      </c>
      <c r="F1360" t="s">
        <v>438</v>
      </c>
      <c r="G1360">
        <v>30</v>
      </c>
    </row>
    <row r="1361" spans="1:8">
      <c r="A1361" t="str">
        <f t="shared" si="21"/>
        <v>Heikantseweg 31a</v>
      </c>
      <c r="B1361" t="s">
        <v>437</v>
      </c>
      <c r="C1361" t="s">
        <v>302</v>
      </c>
      <c r="D1361">
        <v>1994</v>
      </c>
      <c r="E1361">
        <v>213</v>
      </c>
      <c r="F1361" t="s">
        <v>438</v>
      </c>
      <c r="G1361">
        <v>31</v>
      </c>
      <c r="H1361" t="s">
        <v>304</v>
      </c>
    </row>
    <row r="1362" spans="1:8">
      <c r="A1362" t="str">
        <f t="shared" si="21"/>
        <v>Heikantseweg 31</v>
      </c>
      <c r="B1362" t="s">
        <v>437</v>
      </c>
      <c r="C1362" t="s">
        <v>302</v>
      </c>
      <c r="D1362">
        <v>1950</v>
      </c>
      <c r="E1362">
        <v>319</v>
      </c>
      <c r="F1362" t="s">
        <v>438</v>
      </c>
      <c r="G1362">
        <v>31</v>
      </c>
    </row>
    <row r="1363" spans="1:8">
      <c r="A1363" t="str">
        <f t="shared" si="21"/>
        <v>Heikantseweg 32</v>
      </c>
      <c r="B1363" t="s">
        <v>439</v>
      </c>
      <c r="C1363" t="s">
        <v>302</v>
      </c>
      <c r="D1363">
        <v>1950</v>
      </c>
      <c r="E1363">
        <v>278</v>
      </c>
      <c r="F1363" t="s">
        <v>438</v>
      </c>
      <c r="G1363">
        <v>32</v>
      </c>
    </row>
    <row r="1364" spans="1:8">
      <c r="A1364" t="str">
        <f t="shared" si="21"/>
        <v>Heikantseweg 33</v>
      </c>
      <c r="B1364" t="s">
        <v>437</v>
      </c>
      <c r="C1364" t="s">
        <v>302</v>
      </c>
      <c r="D1364">
        <v>1946</v>
      </c>
      <c r="E1364">
        <v>368</v>
      </c>
      <c r="F1364" t="s">
        <v>438</v>
      </c>
      <c r="G1364">
        <v>33</v>
      </c>
    </row>
    <row r="1365" spans="1:8">
      <c r="A1365" t="str">
        <f t="shared" si="21"/>
        <v>Heikantseweg 34</v>
      </c>
      <c r="B1365" t="s">
        <v>439</v>
      </c>
      <c r="C1365" t="s">
        <v>302</v>
      </c>
      <c r="D1365">
        <v>1955</v>
      </c>
      <c r="E1365">
        <v>91</v>
      </c>
      <c r="F1365" t="s">
        <v>438</v>
      </c>
      <c r="G1365">
        <v>34</v>
      </c>
    </row>
    <row r="1366" spans="1:8">
      <c r="A1366" t="str">
        <f t="shared" si="21"/>
        <v>Heikantseweg 38</v>
      </c>
      <c r="B1366" t="s">
        <v>439</v>
      </c>
      <c r="C1366" t="s">
        <v>302</v>
      </c>
      <c r="D1366">
        <v>1950</v>
      </c>
      <c r="E1366">
        <v>97</v>
      </c>
      <c r="F1366" t="s">
        <v>438</v>
      </c>
      <c r="G1366">
        <v>38</v>
      </c>
    </row>
    <row r="1367" spans="1:8">
      <c r="A1367" t="str">
        <f t="shared" si="21"/>
        <v>Heikantseweg 40</v>
      </c>
      <c r="B1367" t="s">
        <v>439</v>
      </c>
      <c r="C1367" t="s">
        <v>302</v>
      </c>
      <c r="D1367">
        <v>1950</v>
      </c>
      <c r="E1367">
        <v>84</v>
      </c>
      <c r="F1367" t="s">
        <v>438</v>
      </c>
      <c r="G1367">
        <v>40</v>
      </c>
    </row>
    <row r="1368" spans="1:8">
      <c r="A1368" t="str">
        <f t="shared" si="21"/>
        <v>Heikantseweg 42</v>
      </c>
      <c r="B1368" t="s">
        <v>439</v>
      </c>
      <c r="C1368" t="s">
        <v>302</v>
      </c>
      <c r="D1368">
        <v>1950</v>
      </c>
      <c r="E1368">
        <v>220</v>
      </c>
      <c r="F1368" t="s">
        <v>438</v>
      </c>
      <c r="G1368">
        <v>42</v>
      </c>
    </row>
    <row r="1369" spans="1:8">
      <c r="A1369" t="str">
        <f t="shared" si="21"/>
        <v>Heikantseweg 44</v>
      </c>
      <c r="B1369" t="s">
        <v>439</v>
      </c>
      <c r="C1369" t="s">
        <v>302</v>
      </c>
      <c r="D1369">
        <v>1977</v>
      </c>
      <c r="E1369">
        <v>183</v>
      </c>
      <c r="F1369" t="s">
        <v>438</v>
      </c>
      <c r="G1369">
        <v>44</v>
      </c>
    </row>
    <row r="1370" spans="1:8">
      <c r="A1370" t="str">
        <f t="shared" si="21"/>
        <v>Heikantseweg 46</v>
      </c>
      <c r="B1370" t="s">
        <v>439</v>
      </c>
      <c r="C1370" t="s">
        <v>302</v>
      </c>
      <c r="D1370">
        <v>1976</v>
      </c>
      <c r="E1370">
        <v>184</v>
      </c>
      <c r="F1370" t="s">
        <v>438</v>
      </c>
      <c r="G1370">
        <v>46</v>
      </c>
    </row>
    <row r="1371" spans="1:8">
      <c r="A1371" t="str">
        <f t="shared" si="21"/>
        <v>Heikantseweg 48</v>
      </c>
      <c r="B1371" t="s">
        <v>439</v>
      </c>
      <c r="C1371" t="s">
        <v>302</v>
      </c>
      <c r="D1371">
        <v>1998</v>
      </c>
      <c r="E1371">
        <v>186</v>
      </c>
      <c r="F1371" t="s">
        <v>438</v>
      </c>
      <c r="G1371">
        <v>48</v>
      </c>
    </row>
    <row r="1372" spans="1:8">
      <c r="A1372" t="str">
        <f t="shared" si="21"/>
        <v>Heikantseweg 50</v>
      </c>
      <c r="B1372" t="s">
        <v>439</v>
      </c>
      <c r="C1372" t="s">
        <v>302</v>
      </c>
      <c r="D1372">
        <v>1991</v>
      </c>
      <c r="E1372">
        <v>255</v>
      </c>
      <c r="F1372" t="s">
        <v>438</v>
      </c>
      <c r="G1372">
        <v>50</v>
      </c>
    </row>
    <row r="1373" spans="1:8">
      <c r="A1373" t="str">
        <f t="shared" si="21"/>
        <v>Heikantseweg 52</v>
      </c>
      <c r="B1373" t="s">
        <v>439</v>
      </c>
      <c r="C1373" t="s">
        <v>302</v>
      </c>
      <c r="D1373">
        <v>1992</v>
      </c>
      <c r="E1373">
        <v>215</v>
      </c>
      <c r="F1373" t="s">
        <v>438</v>
      </c>
      <c r="G1373">
        <v>52</v>
      </c>
    </row>
    <row r="1374" spans="1:8">
      <c r="A1374" t="str">
        <f t="shared" si="21"/>
        <v>Heikantseweg 54</v>
      </c>
      <c r="B1374" t="s">
        <v>439</v>
      </c>
      <c r="C1374" t="s">
        <v>302</v>
      </c>
      <c r="D1374">
        <v>1992</v>
      </c>
      <c r="E1374">
        <v>191</v>
      </c>
      <c r="F1374" t="s">
        <v>438</v>
      </c>
      <c r="G1374">
        <v>54</v>
      </c>
    </row>
    <row r="1375" spans="1:8">
      <c r="A1375" t="str">
        <f t="shared" si="21"/>
        <v>Heikantseweg 56</v>
      </c>
      <c r="B1375" t="s">
        <v>439</v>
      </c>
      <c r="C1375" t="s">
        <v>302</v>
      </c>
      <c r="D1375">
        <v>1993</v>
      </c>
      <c r="E1375">
        <v>285</v>
      </c>
      <c r="F1375" t="s">
        <v>438</v>
      </c>
      <c r="G1375">
        <v>56</v>
      </c>
    </row>
    <row r="1376" spans="1:8">
      <c r="A1376" t="str">
        <f t="shared" si="21"/>
        <v>Heikantseweg 58</v>
      </c>
      <c r="B1376" t="s">
        <v>439</v>
      </c>
      <c r="C1376" t="s">
        <v>302</v>
      </c>
      <c r="D1376">
        <v>1993</v>
      </c>
      <c r="E1376">
        <v>258</v>
      </c>
      <c r="F1376" t="s">
        <v>438</v>
      </c>
      <c r="G1376">
        <v>58</v>
      </c>
    </row>
    <row r="1377" spans="1:8">
      <c r="A1377" t="str">
        <f t="shared" si="21"/>
        <v>Heikantseweg 60</v>
      </c>
      <c r="B1377" t="s">
        <v>439</v>
      </c>
      <c r="C1377" t="s">
        <v>302</v>
      </c>
      <c r="D1377">
        <v>1994</v>
      </c>
      <c r="E1377">
        <v>232</v>
      </c>
      <c r="F1377" t="s">
        <v>438</v>
      </c>
      <c r="G1377">
        <v>60</v>
      </c>
    </row>
    <row r="1378" spans="1:8">
      <c r="A1378" t="str">
        <f t="shared" si="21"/>
        <v>Heikantseweg 62</v>
      </c>
      <c r="B1378" t="s">
        <v>439</v>
      </c>
      <c r="C1378" t="s">
        <v>302</v>
      </c>
      <c r="D1378">
        <v>1995</v>
      </c>
      <c r="E1378">
        <v>244</v>
      </c>
      <c r="F1378" t="s">
        <v>438</v>
      </c>
      <c r="G1378">
        <v>62</v>
      </c>
    </row>
    <row r="1379" spans="1:8">
      <c r="A1379" t="str">
        <f t="shared" si="21"/>
        <v>Heikantseweg 64</v>
      </c>
      <c r="B1379" t="s">
        <v>439</v>
      </c>
      <c r="C1379" t="s">
        <v>302</v>
      </c>
      <c r="D1379">
        <v>1997</v>
      </c>
      <c r="E1379">
        <v>176</v>
      </c>
      <c r="F1379" t="s">
        <v>438</v>
      </c>
      <c r="G1379">
        <v>64</v>
      </c>
    </row>
    <row r="1380" spans="1:8">
      <c r="A1380" t="str">
        <f t="shared" si="21"/>
        <v>Heikantseweg 66</v>
      </c>
      <c r="B1380" t="s">
        <v>439</v>
      </c>
      <c r="C1380" t="s">
        <v>302</v>
      </c>
      <c r="D1380">
        <v>1996</v>
      </c>
      <c r="E1380">
        <v>358</v>
      </c>
      <c r="F1380" t="s">
        <v>438</v>
      </c>
      <c r="G1380">
        <v>66</v>
      </c>
    </row>
    <row r="1381" spans="1:8">
      <c r="A1381" t="str">
        <f t="shared" si="21"/>
        <v>Heikantseweg 68</v>
      </c>
      <c r="B1381" t="s">
        <v>439</v>
      </c>
      <c r="C1381" t="s">
        <v>302</v>
      </c>
      <c r="D1381">
        <v>1999</v>
      </c>
      <c r="E1381">
        <v>205</v>
      </c>
      <c r="F1381" t="s">
        <v>438</v>
      </c>
      <c r="G1381">
        <v>68</v>
      </c>
    </row>
    <row r="1382" spans="1:8">
      <c r="A1382" t="str">
        <f t="shared" si="21"/>
        <v>Heikantseweg 70</v>
      </c>
      <c r="B1382" t="s">
        <v>439</v>
      </c>
      <c r="C1382" t="s">
        <v>302</v>
      </c>
      <c r="D1382">
        <v>1996</v>
      </c>
      <c r="E1382">
        <v>217</v>
      </c>
      <c r="F1382" t="s">
        <v>438</v>
      </c>
      <c r="G1382">
        <v>70</v>
      </c>
    </row>
    <row r="1383" spans="1:8">
      <c r="A1383" t="str">
        <f t="shared" si="21"/>
        <v>Hendrik van Nassaulaan 3</v>
      </c>
      <c r="B1383" t="s">
        <v>440</v>
      </c>
      <c r="C1383" t="s">
        <v>306</v>
      </c>
      <c r="D1383">
        <v>1950</v>
      </c>
      <c r="E1383">
        <v>178</v>
      </c>
      <c r="F1383" t="s">
        <v>441</v>
      </c>
      <c r="G1383">
        <v>3</v>
      </c>
    </row>
    <row r="1384" spans="1:8">
      <c r="A1384" t="str">
        <f t="shared" si="21"/>
        <v>Hendrik van Nassaulaan 5</v>
      </c>
      <c r="B1384" t="s">
        <v>440</v>
      </c>
      <c r="C1384" t="s">
        <v>306</v>
      </c>
      <c r="D1384">
        <v>1996</v>
      </c>
      <c r="E1384">
        <v>79</v>
      </c>
      <c r="F1384" t="s">
        <v>441</v>
      </c>
      <c r="G1384">
        <v>5</v>
      </c>
    </row>
    <row r="1385" spans="1:8">
      <c r="A1385" t="str">
        <f t="shared" si="21"/>
        <v>Hendrik van Nassaulaan 7</v>
      </c>
      <c r="B1385" t="s">
        <v>440</v>
      </c>
      <c r="C1385" t="s">
        <v>306</v>
      </c>
      <c r="D1385">
        <v>1996</v>
      </c>
      <c r="E1385">
        <v>81</v>
      </c>
      <c r="F1385" t="s">
        <v>441</v>
      </c>
      <c r="G1385">
        <v>7</v>
      </c>
    </row>
    <row r="1386" spans="1:8">
      <c r="A1386" t="str">
        <f t="shared" si="21"/>
        <v>Hendrik van Nassaulaan 9</v>
      </c>
      <c r="B1386" t="s">
        <v>440</v>
      </c>
      <c r="C1386" t="s">
        <v>306</v>
      </c>
      <c r="D1386">
        <v>1996</v>
      </c>
      <c r="E1386">
        <v>103</v>
      </c>
      <c r="F1386" t="s">
        <v>441</v>
      </c>
      <c r="G1386">
        <v>9</v>
      </c>
    </row>
    <row r="1387" spans="1:8">
      <c r="A1387" t="str">
        <f t="shared" si="21"/>
        <v>Hendrik van Nassaulaan 19</v>
      </c>
      <c r="B1387" t="s">
        <v>440</v>
      </c>
      <c r="C1387" t="s">
        <v>306</v>
      </c>
      <c r="D1387">
        <v>1968</v>
      </c>
      <c r="E1387">
        <v>219</v>
      </c>
      <c r="F1387" t="s">
        <v>441</v>
      </c>
      <c r="G1387">
        <v>19</v>
      </c>
    </row>
    <row r="1388" spans="1:8">
      <c r="A1388" t="str">
        <f t="shared" si="21"/>
        <v>Hendrik van Nassaulaan 21</v>
      </c>
      <c r="B1388" t="s">
        <v>440</v>
      </c>
      <c r="C1388" t="s">
        <v>306</v>
      </c>
      <c r="D1388">
        <v>1970</v>
      </c>
      <c r="E1388">
        <v>180</v>
      </c>
      <c r="F1388" t="s">
        <v>441</v>
      </c>
      <c r="G1388">
        <v>21</v>
      </c>
    </row>
    <row r="1389" spans="1:8">
      <c r="A1389" t="str">
        <f t="shared" si="21"/>
        <v>Hendrik van Nassaulaan 23a</v>
      </c>
      <c r="B1389" t="s">
        <v>440</v>
      </c>
      <c r="C1389" t="s">
        <v>306</v>
      </c>
      <c r="D1389">
        <v>1970</v>
      </c>
      <c r="E1389">
        <v>317</v>
      </c>
      <c r="F1389" t="s">
        <v>441</v>
      </c>
      <c r="G1389">
        <v>23</v>
      </c>
      <c r="H1389" t="s">
        <v>304</v>
      </c>
    </row>
    <row r="1390" spans="1:8">
      <c r="A1390" t="str">
        <f t="shared" si="21"/>
        <v>Hendrik van Nassaulaan 23</v>
      </c>
      <c r="B1390" t="s">
        <v>440</v>
      </c>
      <c r="C1390" t="s">
        <v>306</v>
      </c>
      <c r="D1390">
        <v>1965</v>
      </c>
      <c r="E1390">
        <v>204</v>
      </c>
      <c r="F1390" t="s">
        <v>441</v>
      </c>
      <c r="G1390">
        <v>23</v>
      </c>
    </row>
    <row r="1391" spans="1:8">
      <c r="A1391" t="str">
        <f t="shared" si="21"/>
        <v>Hendrik van Nassaulaan 25</v>
      </c>
      <c r="B1391" t="s">
        <v>440</v>
      </c>
      <c r="C1391" t="s">
        <v>306</v>
      </c>
      <c r="D1391">
        <v>1947</v>
      </c>
      <c r="E1391">
        <v>223</v>
      </c>
      <c r="F1391" t="s">
        <v>441</v>
      </c>
      <c r="G1391">
        <v>25</v>
      </c>
    </row>
    <row r="1392" spans="1:8">
      <c r="A1392" t="str">
        <f t="shared" si="21"/>
        <v>Hendrik van Nassaulaan 29</v>
      </c>
      <c r="B1392" t="s">
        <v>440</v>
      </c>
      <c r="C1392" t="s">
        <v>306</v>
      </c>
      <c r="D1392">
        <v>1968</v>
      </c>
      <c r="E1392">
        <v>138</v>
      </c>
      <c r="F1392" t="s">
        <v>441</v>
      </c>
      <c r="G1392">
        <v>29</v>
      </c>
    </row>
    <row r="1393" spans="1:7">
      <c r="A1393" t="str">
        <f t="shared" si="21"/>
        <v>Hendrik van Nassaulaan 31</v>
      </c>
      <c r="B1393" t="s">
        <v>440</v>
      </c>
      <c r="C1393" t="s">
        <v>306</v>
      </c>
      <c r="D1393">
        <v>1969</v>
      </c>
      <c r="E1393">
        <v>195</v>
      </c>
      <c r="F1393" t="s">
        <v>441</v>
      </c>
      <c r="G1393">
        <v>31</v>
      </c>
    </row>
    <row r="1394" spans="1:7">
      <c r="A1394" t="str">
        <f t="shared" si="21"/>
        <v>Hendrik van Nassaulaan 33</v>
      </c>
      <c r="B1394" t="s">
        <v>440</v>
      </c>
      <c r="C1394" t="s">
        <v>306</v>
      </c>
      <c r="D1394">
        <v>1970</v>
      </c>
      <c r="E1394">
        <v>174</v>
      </c>
      <c r="F1394" t="s">
        <v>441</v>
      </c>
      <c r="G1394">
        <v>33</v>
      </c>
    </row>
    <row r="1395" spans="1:7">
      <c r="A1395" t="str">
        <f t="shared" si="21"/>
        <v>Hendrik van Nassaulaan 35</v>
      </c>
      <c r="B1395" t="s">
        <v>440</v>
      </c>
      <c r="C1395" t="s">
        <v>306</v>
      </c>
      <c r="D1395">
        <v>1973</v>
      </c>
      <c r="E1395">
        <v>169</v>
      </c>
      <c r="F1395" t="s">
        <v>441</v>
      </c>
      <c r="G1395">
        <v>35</v>
      </c>
    </row>
    <row r="1396" spans="1:7">
      <c r="A1396" t="str">
        <f t="shared" si="21"/>
        <v>Hendrik van Nassaulaan 47</v>
      </c>
      <c r="B1396" t="s">
        <v>440</v>
      </c>
      <c r="C1396" t="s">
        <v>306</v>
      </c>
      <c r="D1396">
        <v>1960</v>
      </c>
      <c r="E1396">
        <v>212</v>
      </c>
      <c r="F1396" t="s">
        <v>441</v>
      </c>
      <c r="G1396">
        <v>47</v>
      </c>
    </row>
    <row r="1397" spans="1:7">
      <c r="A1397" t="str">
        <f t="shared" si="21"/>
        <v>Hertogstraat 1</v>
      </c>
      <c r="B1397" t="s">
        <v>442</v>
      </c>
      <c r="C1397" t="s">
        <v>296</v>
      </c>
      <c r="D1397">
        <v>1963</v>
      </c>
      <c r="E1397">
        <v>218</v>
      </c>
      <c r="F1397" t="s">
        <v>443</v>
      </c>
      <c r="G1397">
        <v>1</v>
      </c>
    </row>
    <row r="1398" spans="1:7">
      <c r="A1398" t="str">
        <f t="shared" si="21"/>
        <v>Hertogstraat 2</v>
      </c>
      <c r="B1398" t="s">
        <v>442</v>
      </c>
      <c r="C1398" t="s">
        <v>296</v>
      </c>
      <c r="D1398">
        <v>1963</v>
      </c>
      <c r="E1398">
        <v>157</v>
      </c>
      <c r="F1398" t="s">
        <v>443</v>
      </c>
      <c r="G1398">
        <v>2</v>
      </c>
    </row>
    <row r="1399" spans="1:7">
      <c r="A1399" t="str">
        <f t="shared" si="21"/>
        <v>Hertogstraat 3</v>
      </c>
      <c r="B1399" t="s">
        <v>442</v>
      </c>
      <c r="C1399" t="s">
        <v>296</v>
      </c>
      <c r="D1399">
        <v>1964</v>
      </c>
      <c r="E1399">
        <v>120</v>
      </c>
      <c r="F1399" t="s">
        <v>443</v>
      </c>
      <c r="G1399">
        <v>3</v>
      </c>
    </row>
    <row r="1400" spans="1:7">
      <c r="A1400" t="str">
        <f t="shared" si="21"/>
        <v>Hertogstraat 4</v>
      </c>
      <c r="B1400" t="s">
        <v>442</v>
      </c>
      <c r="C1400" t="s">
        <v>296</v>
      </c>
      <c r="D1400">
        <v>1963</v>
      </c>
      <c r="E1400">
        <v>174</v>
      </c>
      <c r="F1400" t="s">
        <v>443</v>
      </c>
      <c r="G1400">
        <v>4</v>
      </c>
    </row>
    <row r="1401" spans="1:7">
      <c r="A1401" t="str">
        <f t="shared" si="21"/>
        <v>Hertogstraat 5</v>
      </c>
      <c r="B1401" t="s">
        <v>442</v>
      </c>
      <c r="C1401" t="s">
        <v>296</v>
      </c>
      <c r="D1401">
        <v>1961</v>
      </c>
      <c r="E1401">
        <v>96</v>
      </c>
      <c r="F1401" t="s">
        <v>443</v>
      </c>
      <c r="G1401">
        <v>5</v>
      </c>
    </row>
    <row r="1402" spans="1:7">
      <c r="A1402" t="str">
        <f t="shared" si="21"/>
        <v>Hertogstraat 6</v>
      </c>
      <c r="B1402" t="s">
        <v>442</v>
      </c>
      <c r="C1402" t="s">
        <v>296</v>
      </c>
      <c r="D1402">
        <v>1965</v>
      </c>
      <c r="E1402">
        <v>181</v>
      </c>
      <c r="F1402" t="s">
        <v>443</v>
      </c>
      <c r="G1402">
        <v>6</v>
      </c>
    </row>
    <row r="1403" spans="1:7">
      <c r="A1403" t="str">
        <f t="shared" si="21"/>
        <v>Hertogstraat 7</v>
      </c>
      <c r="B1403" t="s">
        <v>442</v>
      </c>
      <c r="C1403" t="s">
        <v>296</v>
      </c>
      <c r="D1403">
        <v>1964</v>
      </c>
      <c r="E1403">
        <v>187</v>
      </c>
      <c r="F1403" t="s">
        <v>443</v>
      </c>
      <c r="G1403">
        <v>7</v>
      </c>
    </row>
    <row r="1404" spans="1:7">
      <c r="A1404" t="str">
        <f t="shared" si="21"/>
        <v>Hertogstraat 8</v>
      </c>
      <c r="B1404" t="s">
        <v>442</v>
      </c>
      <c r="C1404" t="s">
        <v>296</v>
      </c>
      <c r="D1404">
        <v>1965</v>
      </c>
      <c r="E1404">
        <v>180</v>
      </c>
      <c r="F1404" t="s">
        <v>443</v>
      </c>
      <c r="G1404">
        <v>8</v>
      </c>
    </row>
    <row r="1405" spans="1:7">
      <c r="A1405" t="str">
        <f t="shared" si="21"/>
        <v>Hertogstraat 9</v>
      </c>
      <c r="B1405" t="s">
        <v>442</v>
      </c>
      <c r="C1405" t="s">
        <v>296</v>
      </c>
      <c r="D1405">
        <v>1964</v>
      </c>
      <c r="E1405">
        <v>180</v>
      </c>
      <c r="F1405" t="s">
        <v>443</v>
      </c>
      <c r="G1405">
        <v>9</v>
      </c>
    </row>
    <row r="1406" spans="1:7">
      <c r="A1406" t="str">
        <f t="shared" si="21"/>
        <v>Hertogstraat 10</v>
      </c>
      <c r="B1406" t="s">
        <v>442</v>
      </c>
      <c r="C1406" t="s">
        <v>296</v>
      </c>
      <c r="D1406">
        <v>1964</v>
      </c>
      <c r="E1406">
        <v>210</v>
      </c>
      <c r="F1406" t="s">
        <v>443</v>
      </c>
      <c r="G1406">
        <v>10</v>
      </c>
    </row>
    <row r="1407" spans="1:7">
      <c r="A1407" t="str">
        <f t="shared" si="21"/>
        <v>Hertogstraat 11</v>
      </c>
      <c r="B1407" t="s">
        <v>442</v>
      </c>
      <c r="C1407" t="s">
        <v>296</v>
      </c>
      <c r="D1407">
        <v>1964</v>
      </c>
      <c r="E1407">
        <v>155</v>
      </c>
      <c r="F1407" t="s">
        <v>443</v>
      </c>
      <c r="G1407">
        <v>11</v>
      </c>
    </row>
    <row r="1408" spans="1:7">
      <c r="A1408" t="str">
        <f t="shared" si="21"/>
        <v>Hertogstraat 12</v>
      </c>
      <c r="B1408" t="s">
        <v>442</v>
      </c>
      <c r="C1408" t="s">
        <v>296</v>
      </c>
      <c r="D1408">
        <v>1965</v>
      </c>
      <c r="E1408">
        <v>129</v>
      </c>
      <c r="F1408" t="s">
        <v>443</v>
      </c>
      <c r="G1408">
        <v>12</v>
      </c>
    </row>
    <row r="1409" spans="1:8">
      <c r="A1409" t="str">
        <f t="shared" si="21"/>
        <v>Hertogstraat 14</v>
      </c>
      <c r="B1409" t="s">
        <v>442</v>
      </c>
      <c r="C1409" t="s">
        <v>296</v>
      </c>
      <c r="D1409">
        <v>1967</v>
      </c>
      <c r="E1409">
        <v>132</v>
      </c>
      <c r="F1409" t="s">
        <v>443</v>
      </c>
      <c r="G1409">
        <v>14</v>
      </c>
    </row>
    <row r="1410" spans="1:8">
      <c r="A1410" t="str">
        <f t="shared" ref="A1410:A1473" si="22">CONCATENATE(F1410," ",G1410,H1410)</f>
        <v>Hertogstraat 16</v>
      </c>
      <c r="B1410" t="s">
        <v>442</v>
      </c>
      <c r="C1410" t="s">
        <v>296</v>
      </c>
      <c r="D1410">
        <v>1967</v>
      </c>
      <c r="E1410">
        <v>150</v>
      </c>
      <c r="F1410" t="s">
        <v>443</v>
      </c>
      <c r="G1410">
        <v>16</v>
      </c>
    </row>
    <row r="1411" spans="1:8">
      <c r="A1411" t="str">
        <f t="shared" si="22"/>
        <v>Hertogstraat 18</v>
      </c>
      <c r="B1411" t="s">
        <v>442</v>
      </c>
      <c r="C1411" t="s">
        <v>296</v>
      </c>
      <c r="D1411">
        <v>1967</v>
      </c>
      <c r="E1411">
        <v>120</v>
      </c>
      <c r="F1411" t="s">
        <v>443</v>
      </c>
      <c r="G1411">
        <v>18</v>
      </c>
    </row>
    <row r="1412" spans="1:8">
      <c r="A1412" t="str">
        <f t="shared" si="22"/>
        <v>Hertogstraat 20</v>
      </c>
      <c r="B1412" t="s">
        <v>442</v>
      </c>
      <c r="C1412" t="s">
        <v>296</v>
      </c>
      <c r="D1412">
        <v>1967</v>
      </c>
      <c r="E1412">
        <v>144</v>
      </c>
      <c r="F1412" t="s">
        <v>443</v>
      </c>
      <c r="G1412">
        <v>20</v>
      </c>
    </row>
    <row r="1413" spans="1:8">
      <c r="A1413" t="str">
        <f t="shared" si="22"/>
        <v>Heumensebaan 1</v>
      </c>
      <c r="B1413" t="s">
        <v>444</v>
      </c>
      <c r="C1413" t="s">
        <v>296</v>
      </c>
      <c r="D1413">
        <v>1953</v>
      </c>
      <c r="E1413">
        <v>147</v>
      </c>
      <c r="F1413" t="s">
        <v>445</v>
      </c>
      <c r="G1413">
        <v>1</v>
      </c>
    </row>
    <row r="1414" spans="1:8">
      <c r="A1414" t="str">
        <f t="shared" si="22"/>
        <v>Heumensebaan 2a</v>
      </c>
      <c r="B1414" t="s">
        <v>444</v>
      </c>
      <c r="C1414" t="s">
        <v>296</v>
      </c>
      <c r="D1414">
        <v>1963</v>
      </c>
      <c r="E1414">
        <v>25</v>
      </c>
      <c r="F1414" t="s">
        <v>445</v>
      </c>
      <c r="G1414">
        <v>2</v>
      </c>
      <c r="H1414" t="s">
        <v>304</v>
      </c>
    </row>
    <row r="1415" spans="1:8">
      <c r="A1415" t="str">
        <f t="shared" si="22"/>
        <v>Heumensebaan 2b</v>
      </c>
      <c r="B1415" t="s">
        <v>444</v>
      </c>
      <c r="C1415" t="s">
        <v>296</v>
      </c>
      <c r="D1415">
        <v>1963</v>
      </c>
      <c r="E1415">
        <v>25</v>
      </c>
      <c r="F1415" t="s">
        <v>445</v>
      </c>
      <c r="G1415">
        <v>2</v>
      </c>
      <c r="H1415" t="s">
        <v>298</v>
      </c>
    </row>
    <row r="1416" spans="1:8">
      <c r="A1416" t="str">
        <f t="shared" si="22"/>
        <v>Heumensebaan 2c</v>
      </c>
      <c r="B1416" t="s">
        <v>444</v>
      </c>
      <c r="C1416" t="s">
        <v>296</v>
      </c>
      <c r="D1416">
        <v>1963</v>
      </c>
      <c r="E1416">
        <v>25</v>
      </c>
      <c r="F1416" t="s">
        <v>445</v>
      </c>
      <c r="G1416">
        <v>2</v>
      </c>
      <c r="H1416" t="s">
        <v>299</v>
      </c>
    </row>
    <row r="1417" spans="1:8">
      <c r="A1417" t="str">
        <f t="shared" si="22"/>
        <v>Heumensebaan 2x</v>
      </c>
      <c r="B1417" t="s">
        <v>444</v>
      </c>
      <c r="C1417" t="s">
        <v>296</v>
      </c>
      <c r="D1417">
        <v>1958</v>
      </c>
      <c r="E1417">
        <v>11</v>
      </c>
      <c r="F1417" t="s">
        <v>445</v>
      </c>
      <c r="G1417">
        <v>2</v>
      </c>
      <c r="H1417" t="s">
        <v>446</v>
      </c>
    </row>
    <row r="1418" spans="1:8">
      <c r="A1418" t="str">
        <f t="shared" si="22"/>
        <v>Heumensebaan 2</v>
      </c>
      <c r="B1418" t="s">
        <v>444</v>
      </c>
      <c r="C1418" t="s">
        <v>296</v>
      </c>
      <c r="D1418">
        <v>1905</v>
      </c>
      <c r="E1418">
        <v>3801</v>
      </c>
      <c r="F1418" t="s">
        <v>445</v>
      </c>
      <c r="G1418">
        <v>2</v>
      </c>
    </row>
    <row r="1419" spans="1:8">
      <c r="A1419" t="str">
        <f t="shared" si="22"/>
        <v>Heumensebaan 3</v>
      </c>
      <c r="B1419" t="s">
        <v>444</v>
      </c>
      <c r="C1419" t="s">
        <v>296</v>
      </c>
      <c r="D1419">
        <v>1900</v>
      </c>
      <c r="E1419">
        <v>112</v>
      </c>
      <c r="F1419" t="s">
        <v>445</v>
      </c>
      <c r="G1419">
        <v>3</v>
      </c>
    </row>
    <row r="1420" spans="1:8">
      <c r="A1420" t="str">
        <f t="shared" si="22"/>
        <v>Heumensebaan 4</v>
      </c>
      <c r="B1420" t="s">
        <v>444</v>
      </c>
      <c r="C1420" t="s">
        <v>296</v>
      </c>
      <c r="D1420">
        <v>1905</v>
      </c>
      <c r="E1420">
        <v>2874</v>
      </c>
      <c r="F1420" t="s">
        <v>445</v>
      </c>
      <c r="G1420">
        <v>4</v>
      </c>
    </row>
    <row r="1421" spans="1:8">
      <c r="A1421" t="str">
        <f t="shared" si="22"/>
        <v>Heumensebaan 5</v>
      </c>
      <c r="B1421" t="s">
        <v>444</v>
      </c>
      <c r="C1421" t="s">
        <v>296</v>
      </c>
      <c r="D1421">
        <v>1969</v>
      </c>
      <c r="E1421">
        <v>240</v>
      </c>
      <c r="F1421" t="s">
        <v>445</v>
      </c>
      <c r="G1421">
        <v>5</v>
      </c>
    </row>
    <row r="1422" spans="1:8">
      <c r="A1422" t="str">
        <f t="shared" si="22"/>
        <v>Heumensebaan 7</v>
      </c>
      <c r="B1422" t="s">
        <v>444</v>
      </c>
      <c r="C1422" t="s">
        <v>296</v>
      </c>
      <c r="D1422">
        <v>1977</v>
      </c>
      <c r="E1422">
        <v>164</v>
      </c>
      <c r="F1422" t="s">
        <v>445</v>
      </c>
      <c r="G1422">
        <v>7</v>
      </c>
    </row>
    <row r="1423" spans="1:8">
      <c r="A1423" t="str">
        <f t="shared" si="22"/>
        <v>Heumensebaan 9</v>
      </c>
      <c r="B1423" t="s">
        <v>444</v>
      </c>
      <c r="C1423" t="s">
        <v>296</v>
      </c>
      <c r="D1423">
        <v>1977</v>
      </c>
      <c r="E1423">
        <v>146</v>
      </c>
      <c r="F1423" t="s">
        <v>445</v>
      </c>
      <c r="G1423">
        <v>9</v>
      </c>
    </row>
    <row r="1424" spans="1:8">
      <c r="A1424" t="str">
        <f t="shared" si="22"/>
        <v>Heumensebaan 11</v>
      </c>
      <c r="B1424" t="s">
        <v>444</v>
      </c>
      <c r="C1424" t="s">
        <v>296</v>
      </c>
      <c r="D1424">
        <v>1977</v>
      </c>
      <c r="E1424">
        <v>141</v>
      </c>
      <c r="F1424" t="s">
        <v>445</v>
      </c>
      <c r="G1424">
        <v>11</v>
      </c>
    </row>
    <row r="1425" spans="1:8">
      <c r="A1425" t="str">
        <f t="shared" si="22"/>
        <v>Heumensebaan 13</v>
      </c>
      <c r="B1425" t="s">
        <v>444</v>
      </c>
      <c r="C1425" t="s">
        <v>296</v>
      </c>
      <c r="D1425">
        <v>1977</v>
      </c>
      <c r="E1425">
        <v>142</v>
      </c>
      <c r="F1425" t="s">
        <v>445</v>
      </c>
      <c r="G1425">
        <v>13</v>
      </c>
    </row>
    <row r="1426" spans="1:8">
      <c r="A1426" t="str">
        <f t="shared" si="22"/>
        <v>Heumensebaan 15</v>
      </c>
      <c r="B1426" t="s">
        <v>444</v>
      </c>
      <c r="C1426" t="s">
        <v>296</v>
      </c>
      <c r="D1426">
        <v>1977</v>
      </c>
      <c r="E1426">
        <v>143</v>
      </c>
      <c r="F1426" t="s">
        <v>445</v>
      </c>
      <c r="G1426">
        <v>15</v>
      </c>
    </row>
    <row r="1427" spans="1:8">
      <c r="A1427" t="str">
        <f t="shared" si="22"/>
        <v>Heumensebaan 17</v>
      </c>
      <c r="B1427" t="s">
        <v>444</v>
      </c>
      <c r="C1427" t="s">
        <v>296</v>
      </c>
      <c r="D1427">
        <v>1977</v>
      </c>
      <c r="E1427">
        <v>162</v>
      </c>
      <c r="F1427" t="s">
        <v>445</v>
      </c>
      <c r="G1427">
        <v>17</v>
      </c>
    </row>
    <row r="1428" spans="1:8">
      <c r="A1428" t="str">
        <f t="shared" si="22"/>
        <v>Heumensebaan 18</v>
      </c>
      <c r="B1428" t="s">
        <v>444</v>
      </c>
      <c r="C1428" t="s">
        <v>296</v>
      </c>
      <c r="D1428">
        <v>1952</v>
      </c>
      <c r="E1428">
        <v>565</v>
      </c>
      <c r="F1428" t="s">
        <v>445</v>
      </c>
      <c r="G1428">
        <v>18</v>
      </c>
    </row>
    <row r="1429" spans="1:8">
      <c r="A1429" t="str">
        <f t="shared" si="22"/>
        <v>Heumensebaan 19</v>
      </c>
      <c r="B1429" t="s">
        <v>444</v>
      </c>
      <c r="C1429" t="s">
        <v>296</v>
      </c>
      <c r="D1429">
        <v>1977</v>
      </c>
      <c r="E1429">
        <v>142</v>
      </c>
      <c r="F1429" t="s">
        <v>445</v>
      </c>
      <c r="G1429">
        <v>19</v>
      </c>
    </row>
    <row r="1430" spans="1:8">
      <c r="A1430" t="str">
        <f t="shared" si="22"/>
        <v>Heumensebaan 21</v>
      </c>
      <c r="B1430" t="s">
        <v>444</v>
      </c>
      <c r="C1430" t="s">
        <v>296</v>
      </c>
      <c r="D1430">
        <v>1977</v>
      </c>
      <c r="E1430">
        <v>147</v>
      </c>
      <c r="F1430" t="s">
        <v>445</v>
      </c>
      <c r="G1430">
        <v>21</v>
      </c>
    </row>
    <row r="1431" spans="1:8">
      <c r="A1431" t="str">
        <f t="shared" si="22"/>
        <v>Heumensebaan 23</v>
      </c>
      <c r="B1431" t="s">
        <v>444</v>
      </c>
      <c r="C1431" t="s">
        <v>296</v>
      </c>
      <c r="D1431">
        <v>1977</v>
      </c>
      <c r="E1431">
        <v>139</v>
      </c>
      <c r="F1431" t="s">
        <v>445</v>
      </c>
      <c r="G1431">
        <v>23</v>
      </c>
    </row>
    <row r="1432" spans="1:8">
      <c r="A1432" t="str">
        <f t="shared" si="22"/>
        <v>Heumensebaan 24</v>
      </c>
      <c r="B1432" t="s">
        <v>444</v>
      </c>
      <c r="C1432" t="s">
        <v>296</v>
      </c>
      <c r="D1432">
        <v>1955</v>
      </c>
      <c r="E1432">
        <v>95</v>
      </c>
      <c r="F1432" t="s">
        <v>445</v>
      </c>
      <c r="G1432">
        <v>24</v>
      </c>
    </row>
    <row r="1433" spans="1:8">
      <c r="A1433" t="str">
        <f t="shared" si="22"/>
        <v>Heumensebaan 25</v>
      </c>
      <c r="B1433" t="s">
        <v>444</v>
      </c>
      <c r="C1433" t="s">
        <v>296</v>
      </c>
      <c r="D1433">
        <v>1977</v>
      </c>
      <c r="E1433">
        <v>144</v>
      </c>
      <c r="F1433" t="s">
        <v>445</v>
      </c>
      <c r="G1433">
        <v>25</v>
      </c>
    </row>
    <row r="1434" spans="1:8">
      <c r="A1434" t="str">
        <f t="shared" si="22"/>
        <v>Heumensebaan 27</v>
      </c>
      <c r="B1434" t="s">
        <v>444</v>
      </c>
      <c r="C1434" t="s">
        <v>296</v>
      </c>
      <c r="D1434">
        <v>1977</v>
      </c>
      <c r="E1434">
        <v>142</v>
      </c>
      <c r="F1434" t="s">
        <v>445</v>
      </c>
      <c r="G1434">
        <v>27</v>
      </c>
    </row>
    <row r="1435" spans="1:8">
      <c r="A1435" t="str">
        <f t="shared" si="22"/>
        <v>Heumensebaan 29</v>
      </c>
      <c r="B1435" t="s">
        <v>444</v>
      </c>
      <c r="C1435" t="s">
        <v>296</v>
      </c>
      <c r="D1435">
        <v>1977</v>
      </c>
      <c r="E1435">
        <v>144</v>
      </c>
      <c r="F1435" t="s">
        <v>445</v>
      </c>
      <c r="G1435">
        <v>29</v>
      </c>
    </row>
    <row r="1436" spans="1:8">
      <c r="A1436" t="str">
        <f t="shared" si="22"/>
        <v>Heumensebaan 31</v>
      </c>
      <c r="B1436" t="s">
        <v>447</v>
      </c>
      <c r="C1436" t="s">
        <v>296</v>
      </c>
      <c r="D1436">
        <v>1980</v>
      </c>
      <c r="E1436">
        <v>71</v>
      </c>
      <c r="F1436" t="s">
        <v>445</v>
      </c>
      <c r="G1436">
        <v>31</v>
      </c>
    </row>
    <row r="1437" spans="1:8">
      <c r="A1437" t="str">
        <f t="shared" si="22"/>
        <v>Heumensebaan 33a</v>
      </c>
      <c r="B1437" t="s">
        <v>447</v>
      </c>
      <c r="C1437" t="s">
        <v>296</v>
      </c>
      <c r="D1437">
        <v>1972</v>
      </c>
      <c r="E1437">
        <v>23</v>
      </c>
      <c r="F1437" t="s">
        <v>445</v>
      </c>
      <c r="G1437">
        <v>33</v>
      </c>
      <c r="H1437" t="s">
        <v>304</v>
      </c>
    </row>
    <row r="1438" spans="1:8">
      <c r="A1438" t="str">
        <f t="shared" si="22"/>
        <v>Heumensebaan 33b</v>
      </c>
      <c r="B1438" t="s">
        <v>447</v>
      </c>
      <c r="C1438" t="s">
        <v>296</v>
      </c>
      <c r="D1438">
        <v>1972</v>
      </c>
      <c r="E1438">
        <v>17</v>
      </c>
      <c r="F1438" t="s">
        <v>445</v>
      </c>
      <c r="G1438">
        <v>33</v>
      </c>
      <c r="H1438" t="s">
        <v>298</v>
      </c>
    </row>
    <row r="1439" spans="1:8">
      <c r="A1439" t="str">
        <f t="shared" si="22"/>
        <v>Heumensebaan 33c</v>
      </c>
      <c r="B1439" t="s">
        <v>447</v>
      </c>
      <c r="C1439" t="s">
        <v>296</v>
      </c>
      <c r="D1439">
        <v>1972</v>
      </c>
      <c r="E1439">
        <v>18</v>
      </c>
      <c r="F1439" t="s">
        <v>445</v>
      </c>
      <c r="G1439">
        <v>33</v>
      </c>
      <c r="H1439" t="s">
        <v>299</v>
      </c>
    </row>
    <row r="1440" spans="1:8">
      <c r="A1440" t="str">
        <f t="shared" si="22"/>
        <v>Heumensebaan 33d</v>
      </c>
      <c r="B1440" t="s">
        <v>447</v>
      </c>
      <c r="C1440" t="s">
        <v>296</v>
      </c>
      <c r="D1440">
        <v>1972</v>
      </c>
      <c r="E1440">
        <v>17</v>
      </c>
      <c r="F1440" t="s">
        <v>445</v>
      </c>
      <c r="G1440">
        <v>33</v>
      </c>
      <c r="H1440" t="s">
        <v>300</v>
      </c>
    </row>
    <row r="1441" spans="1:8">
      <c r="A1441" t="str">
        <f t="shared" si="22"/>
        <v>Heumensebaan 33e</v>
      </c>
      <c r="B1441" t="s">
        <v>447</v>
      </c>
      <c r="C1441" t="s">
        <v>296</v>
      </c>
      <c r="D1441">
        <v>1972</v>
      </c>
      <c r="E1441">
        <v>18</v>
      </c>
      <c r="F1441" t="s">
        <v>445</v>
      </c>
      <c r="G1441">
        <v>33</v>
      </c>
      <c r="H1441" t="s">
        <v>319</v>
      </c>
    </row>
    <row r="1442" spans="1:8">
      <c r="A1442" t="str">
        <f t="shared" si="22"/>
        <v>Heumensebaan 33</v>
      </c>
      <c r="B1442" t="s">
        <v>447</v>
      </c>
      <c r="C1442" t="s">
        <v>296</v>
      </c>
      <c r="D1442">
        <v>1980</v>
      </c>
      <c r="E1442">
        <v>75</v>
      </c>
      <c r="F1442" t="s">
        <v>445</v>
      </c>
      <c r="G1442">
        <v>33</v>
      </c>
    </row>
    <row r="1443" spans="1:8">
      <c r="A1443" t="str">
        <f t="shared" si="22"/>
        <v>Heumensebaan 34</v>
      </c>
      <c r="B1443" t="s">
        <v>447</v>
      </c>
      <c r="C1443" t="s">
        <v>296</v>
      </c>
      <c r="D1443">
        <v>1975</v>
      </c>
      <c r="E1443">
        <v>395</v>
      </c>
      <c r="F1443" t="s">
        <v>445</v>
      </c>
      <c r="G1443">
        <v>34</v>
      </c>
    </row>
    <row r="1444" spans="1:8">
      <c r="A1444" t="str">
        <f t="shared" si="22"/>
        <v>Heumensebaan 35</v>
      </c>
      <c r="B1444" t="s">
        <v>447</v>
      </c>
      <c r="C1444" t="s">
        <v>296</v>
      </c>
      <c r="D1444">
        <v>1980</v>
      </c>
      <c r="E1444">
        <v>76</v>
      </c>
      <c r="F1444" t="s">
        <v>445</v>
      </c>
      <c r="G1444">
        <v>35</v>
      </c>
    </row>
    <row r="1445" spans="1:8">
      <c r="A1445" t="str">
        <f t="shared" si="22"/>
        <v>Heumensebaan 36a</v>
      </c>
      <c r="B1445" t="s">
        <v>447</v>
      </c>
      <c r="C1445" t="s">
        <v>296</v>
      </c>
      <c r="D1445">
        <v>1975</v>
      </c>
      <c r="E1445">
        <v>9</v>
      </c>
      <c r="F1445" t="s">
        <v>445</v>
      </c>
      <c r="G1445">
        <v>36</v>
      </c>
      <c r="H1445" t="s">
        <v>304</v>
      </c>
    </row>
    <row r="1446" spans="1:8">
      <c r="A1446" t="str">
        <f t="shared" si="22"/>
        <v>Heumensebaan 36</v>
      </c>
      <c r="B1446" t="s">
        <v>447</v>
      </c>
      <c r="C1446" t="s">
        <v>296</v>
      </c>
      <c r="D1446">
        <v>1976</v>
      </c>
      <c r="E1446">
        <v>266</v>
      </c>
      <c r="F1446" t="s">
        <v>445</v>
      </c>
      <c r="G1446">
        <v>36</v>
      </c>
    </row>
    <row r="1447" spans="1:8">
      <c r="A1447" t="str">
        <f t="shared" si="22"/>
        <v>Heumensebaan 37</v>
      </c>
      <c r="B1447" t="s">
        <v>447</v>
      </c>
      <c r="C1447" t="s">
        <v>296</v>
      </c>
      <c r="D1447">
        <v>1980</v>
      </c>
      <c r="E1447">
        <v>67</v>
      </c>
      <c r="F1447" t="s">
        <v>445</v>
      </c>
      <c r="G1447">
        <v>37</v>
      </c>
    </row>
    <row r="1448" spans="1:8">
      <c r="A1448" t="str">
        <f t="shared" si="22"/>
        <v>Heumensebaan 39</v>
      </c>
      <c r="B1448" t="s">
        <v>447</v>
      </c>
      <c r="C1448" t="s">
        <v>296</v>
      </c>
      <c r="D1448">
        <v>1980</v>
      </c>
      <c r="E1448">
        <v>63</v>
      </c>
      <c r="F1448" t="s">
        <v>445</v>
      </c>
      <c r="G1448">
        <v>39</v>
      </c>
    </row>
    <row r="1449" spans="1:8">
      <c r="A1449" t="str">
        <f t="shared" si="22"/>
        <v>Heumensebaan 41</v>
      </c>
      <c r="B1449" t="s">
        <v>447</v>
      </c>
      <c r="C1449" t="s">
        <v>296</v>
      </c>
      <c r="D1449">
        <v>1980</v>
      </c>
      <c r="E1449">
        <v>76</v>
      </c>
      <c r="F1449" t="s">
        <v>445</v>
      </c>
      <c r="G1449">
        <v>41</v>
      </c>
    </row>
    <row r="1450" spans="1:8">
      <c r="A1450" t="str">
        <f t="shared" si="22"/>
        <v>Heumensebaan 43</v>
      </c>
      <c r="B1450" t="s">
        <v>447</v>
      </c>
      <c r="C1450" t="s">
        <v>296</v>
      </c>
      <c r="D1450">
        <v>1980</v>
      </c>
      <c r="E1450">
        <v>76</v>
      </c>
      <c r="F1450" t="s">
        <v>445</v>
      </c>
      <c r="G1450">
        <v>43</v>
      </c>
    </row>
    <row r="1451" spans="1:8">
      <c r="A1451" t="str">
        <f t="shared" si="22"/>
        <v>Heumensebaan 45</v>
      </c>
      <c r="B1451" t="s">
        <v>447</v>
      </c>
      <c r="C1451" t="s">
        <v>296</v>
      </c>
      <c r="D1451">
        <v>1980</v>
      </c>
      <c r="E1451">
        <v>58</v>
      </c>
      <c r="F1451" t="s">
        <v>445</v>
      </c>
      <c r="G1451">
        <v>45</v>
      </c>
    </row>
    <row r="1452" spans="1:8">
      <c r="A1452" t="str">
        <f t="shared" si="22"/>
        <v>Heumensebaan 47</v>
      </c>
      <c r="B1452" t="s">
        <v>447</v>
      </c>
      <c r="C1452" t="s">
        <v>296</v>
      </c>
      <c r="D1452">
        <v>1980</v>
      </c>
      <c r="E1452">
        <v>58</v>
      </c>
      <c r="F1452" t="s">
        <v>445</v>
      </c>
      <c r="G1452">
        <v>47</v>
      </c>
    </row>
    <row r="1453" spans="1:8">
      <c r="A1453" t="str">
        <f t="shared" si="22"/>
        <v>Heumensebaan 49</v>
      </c>
      <c r="B1453" t="s">
        <v>447</v>
      </c>
      <c r="C1453" t="s">
        <v>296</v>
      </c>
      <c r="D1453">
        <v>1980</v>
      </c>
      <c r="E1453">
        <v>81</v>
      </c>
      <c r="F1453" t="s">
        <v>445</v>
      </c>
      <c r="G1453">
        <v>49</v>
      </c>
    </row>
    <row r="1454" spans="1:8">
      <c r="A1454" t="str">
        <f t="shared" si="22"/>
        <v>Heumensebaan 50</v>
      </c>
      <c r="B1454" t="s">
        <v>447</v>
      </c>
      <c r="C1454" t="s">
        <v>296</v>
      </c>
      <c r="D1454">
        <v>1970</v>
      </c>
      <c r="E1454">
        <v>200</v>
      </c>
      <c r="F1454" t="s">
        <v>445</v>
      </c>
      <c r="G1454">
        <v>50</v>
      </c>
    </row>
    <row r="1455" spans="1:8">
      <c r="A1455" t="str">
        <f t="shared" si="22"/>
        <v>Heumensebaan 51</v>
      </c>
      <c r="B1455" t="s">
        <v>447</v>
      </c>
      <c r="C1455" t="s">
        <v>296</v>
      </c>
      <c r="D1455">
        <v>1980</v>
      </c>
      <c r="E1455">
        <v>75</v>
      </c>
      <c r="F1455" t="s">
        <v>445</v>
      </c>
      <c r="G1455">
        <v>51</v>
      </c>
    </row>
    <row r="1456" spans="1:8">
      <c r="A1456" t="str">
        <f t="shared" si="22"/>
        <v>Heumensebaan 52</v>
      </c>
      <c r="B1456" t="s">
        <v>447</v>
      </c>
      <c r="C1456" t="s">
        <v>296</v>
      </c>
      <c r="D1456">
        <v>1970</v>
      </c>
      <c r="E1456">
        <v>199</v>
      </c>
      <c r="F1456" t="s">
        <v>445</v>
      </c>
      <c r="G1456">
        <v>52</v>
      </c>
    </row>
    <row r="1457" spans="1:8">
      <c r="A1457" t="str">
        <f t="shared" si="22"/>
        <v>Heumensebaan 53</v>
      </c>
      <c r="B1457" t="s">
        <v>447</v>
      </c>
      <c r="C1457" t="s">
        <v>296</v>
      </c>
      <c r="D1457">
        <v>1980</v>
      </c>
      <c r="E1457">
        <v>58</v>
      </c>
      <c r="F1457" t="s">
        <v>445</v>
      </c>
      <c r="G1457">
        <v>53</v>
      </c>
    </row>
    <row r="1458" spans="1:8">
      <c r="A1458" t="str">
        <f t="shared" si="22"/>
        <v>Heumensebaan 54</v>
      </c>
      <c r="B1458" t="s">
        <v>447</v>
      </c>
      <c r="C1458" t="s">
        <v>296</v>
      </c>
      <c r="D1458">
        <v>1970</v>
      </c>
      <c r="E1458">
        <v>108</v>
      </c>
      <c r="F1458" t="s">
        <v>445</v>
      </c>
      <c r="G1458">
        <v>54</v>
      </c>
    </row>
    <row r="1459" spans="1:8">
      <c r="A1459" t="str">
        <f t="shared" si="22"/>
        <v>Heumensebaan 55</v>
      </c>
      <c r="B1459" t="s">
        <v>447</v>
      </c>
      <c r="C1459" t="s">
        <v>296</v>
      </c>
      <c r="D1459">
        <v>1980</v>
      </c>
      <c r="E1459">
        <v>58</v>
      </c>
      <c r="F1459" t="s">
        <v>445</v>
      </c>
      <c r="G1459">
        <v>55</v>
      </c>
    </row>
    <row r="1460" spans="1:8">
      <c r="A1460" t="str">
        <f t="shared" si="22"/>
        <v>Heumensebaan 56</v>
      </c>
      <c r="B1460" t="s">
        <v>447</v>
      </c>
      <c r="C1460" t="s">
        <v>296</v>
      </c>
      <c r="D1460">
        <v>1970</v>
      </c>
      <c r="E1460">
        <v>98</v>
      </c>
      <c r="F1460" t="s">
        <v>445</v>
      </c>
      <c r="G1460">
        <v>56</v>
      </c>
    </row>
    <row r="1461" spans="1:8">
      <c r="A1461" t="str">
        <f t="shared" si="22"/>
        <v>Heumensebaan 57a</v>
      </c>
      <c r="B1461" t="s">
        <v>447</v>
      </c>
      <c r="C1461" t="s">
        <v>296</v>
      </c>
      <c r="D1461">
        <v>1972</v>
      </c>
      <c r="E1461">
        <v>22</v>
      </c>
      <c r="F1461" t="s">
        <v>445</v>
      </c>
      <c r="G1461">
        <v>57</v>
      </c>
      <c r="H1461" t="s">
        <v>304</v>
      </c>
    </row>
    <row r="1462" spans="1:8">
      <c r="A1462" t="str">
        <f t="shared" si="22"/>
        <v>Heumensebaan 57b</v>
      </c>
      <c r="B1462" t="s">
        <v>447</v>
      </c>
      <c r="C1462" t="s">
        <v>296</v>
      </c>
      <c r="D1462">
        <v>1972</v>
      </c>
      <c r="E1462">
        <v>17</v>
      </c>
      <c r="F1462" t="s">
        <v>445</v>
      </c>
      <c r="G1462">
        <v>57</v>
      </c>
      <c r="H1462" t="s">
        <v>298</v>
      </c>
    </row>
    <row r="1463" spans="1:8">
      <c r="A1463" t="str">
        <f t="shared" si="22"/>
        <v>Heumensebaan 57c</v>
      </c>
      <c r="B1463" t="s">
        <v>447</v>
      </c>
      <c r="C1463" t="s">
        <v>296</v>
      </c>
      <c r="D1463">
        <v>1972</v>
      </c>
      <c r="E1463">
        <v>17</v>
      </c>
      <c r="F1463" t="s">
        <v>445</v>
      </c>
      <c r="G1463">
        <v>57</v>
      </c>
      <c r="H1463" t="s">
        <v>299</v>
      </c>
    </row>
    <row r="1464" spans="1:8">
      <c r="A1464" t="str">
        <f t="shared" si="22"/>
        <v>Heumensebaan 57d</v>
      </c>
      <c r="B1464" t="s">
        <v>447</v>
      </c>
      <c r="C1464" t="s">
        <v>296</v>
      </c>
      <c r="D1464">
        <v>1972</v>
      </c>
      <c r="E1464">
        <v>16</v>
      </c>
      <c r="F1464" t="s">
        <v>445</v>
      </c>
      <c r="G1464">
        <v>57</v>
      </c>
      <c r="H1464" t="s">
        <v>300</v>
      </c>
    </row>
    <row r="1465" spans="1:8">
      <c r="A1465" t="str">
        <f t="shared" si="22"/>
        <v>Heumensebaan 57e</v>
      </c>
      <c r="B1465" t="s">
        <v>447</v>
      </c>
      <c r="C1465" t="s">
        <v>296</v>
      </c>
      <c r="D1465">
        <v>1972</v>
      </c>
      <c r="E1465">
        <v>19</v>
      </c>
      <c r="F1465" t="s">
        <v>445</v>
      </c>
      <c r="G1465">
        <v>57</v>
      </c>
      <c r="H1465" t="s">
        <v>319</v>
      </c>
    </row>
    <row r="1466" spans="1:8">
      <c r="A1466" t="str">
        <f t="shared" si="22"/>
        <v>Heumensebaan 57</v>
      </c>
      <c r="B1466" t="s">
        <v>447</v>
      </c>
      <c r="C1466" t="s">
        <v>296</v>
      </c>
      <c r="D1466">
        <v>1980</v>
      </c>
      <c r="E1466">
        <v>75</v>
      </c>
      <c r="F1466" t="s">
        <v>445</v>
      </c>
      <c r="G1466">
        <v>57</v>
      </c>
    </row>
    <row r="1467" spans="1:8">
      <c r="A1467" t="str">
        <f t="shared" si="22"/>
        <v>Heumensebaan 58</v>
      </c>
      <c r="B1467" t="s">
        <v>447</v>
      </c>
      <c r="C1467" t="s">
        <v>296</v>
      </c>
      <c r="D1467">
        <v>1970</v>
      </c>
      <c r="E1467">
        <v>97</v>
      </c>
      <c r="F1467" t="s">
        <v>445</v>
      </c>
      <c r="G1467">
        <v>58</v>
      </c>
    </row>
    <row r="1468" spans="1:8">
      <c r="A1468" t="str">
        <f t="shared" si="22"/>
        <v>Heumensebaan 59</v>
      </c>
      <c r="B1468" t="s">
        <v>447</v>
      </c>
      <c r="C1468" t="s">
        <v>296</v>
      </c>
      <c r="D1468">
        <v>1980</v>
      </c>
      <c r="E1468">
        <v>75</v>
      </c>
      <c r="F1468" t="s">
        <v>445</v>
      </c>
      <c r="G1468">
        <v>59</v>
      </c>
    </row>
    <row r="1469" spans="1:8">
      <c r="A1469" t="str">
        <f t="shared" si="22"/>
        <v>Heumensebaan 60</v>
      </c>
      <c r="B1469" t="s">
        <v>447</v>
      </c>
      <c r="C1469" t="s">
        <v>296</v>
      </c>
      <c r="D1469">
        <v>1970</v>
      </c>
      <c r="E1469">
        <v>97</v>
      </c>
      <c r="F1469" t="s">
        <v>445</v>
      </c>
      <c r="G1469">
        <v>60</v>
      </c>
    </row>
    <row r="1470" spans="1:8">
      <c r="A1470" t="str">
        <f t="shared" si="22"/>
        <v>Heumensebaan 61</v>
      </c>
      <c r="B1470" t="s">
        <v>447</v>
      </c>
      <c r="C1470" t="s">
        <v>296</v>
      </c>
      <c r="D1470">
        <v>1980</v>
      </c>
      <c r="E1470">
        <v>58</v>
      </c>
      <c r="F1470" t="s">
        <v>445</v>
      </c>
      <c r="G1470">
        <v>61</v>
      </c>
    </row>
    <row r="1471" spans="1:8">
      <c r="A1471" t="str">
        <f t="shared" si="22"/>
        <v>Heumensebaan 62</v>
      </c>
      <c r="B1471" t="s">
        <v>447</v>
      </c>
      <c r="C1471" t="s">
        <v>296</v>
      </c>
      <c r="D1471">
        <v>1970</v>
      </c>
      <c r="E1471">
        <v>99</v>
      </c>
      <c r="F1471" t="s">
        <v>445</v>
      </c>
      <c r="G1471">
        <v>62</v>
      </c>
    </row>
    <row r="1472" spans="1:8">
      <c r="A1472" t="str">
        <f t="shared" si="22"/>
        <v>Heumensebaan 63</v>
      </c>
      <c r="B1472" t="s">
        <v>447</v>
      </c>
      <c r="C1472" t="s">
        <v>296</v>
      </c>
      <c r="D1472">
        <v>1980</v>
      </c>
      <c r="E1472">
        <v>58</v>
      </c>
      <c r="F1472" t="s">
        <v>445</v>
      </c>
      <c r="G1472">
        <v>63</v>
      </c>
    </row>
    <row r="1473" spans="1:8">
      <c r="A1473" t="str">
        <f t="shared" si="22"/>
        <v>Heumensebaan 64</v>
      </c>
      <c r="B1473" t="s">
        <v>447</v>
      </c>
      <c r="C1473" t="s">
        <v>296</v>
      </c>
      <c r="D1473">
        <v>1970</v>
      </c>
      <c r="E1473">
        <v>97</v>
      </c>
      <c r="F1473" t="s">
        <v>445</v>
      </c>
      <c r="G1473">
        <v>64</v>
      </c>
    </row>
    <row r="1474" spans="1:8">
      <c r="A1474" t="str">
        <f t="shared" ref="A1474:A1537" si="23">CONCATENATE(F1474," ",G1474,H1474)</f>
        <v>Heumensebaan 65</v>
      </c>
      <c r="B1474" t="s">
        <v>447</v>
      </c>
      <c r="C1474" t="s">
        <v>296</v>
      </c>
      <c r="D1474">
        <v>1980</v>
      </c>
      <c r="E1474">
        <v>75</v>
      </c>
      <c r="F1474" t="s">
        <v>445</v>
      </c>
      <c r="G1474">
        <v>65</v>
      </c>
    </row>
    <row r="1475" spans="1:8">
      <c r="A1475" t="str">
        <f t="shared" si="23"/>
        <v>Heumensebaan 66a</v>
      </c>
      <c r="B1475" t="s">
        <v>447</v>
      </c>
      <c r="C1475" t="s">
        <v>296</v>
      </c>
      <c r="D1475">
        <v>1972</v>
      </c>
      <c r="E1475">
        <v>19</v>
      </c>
      <c r="F1475" t="s">
        <v>445</v>
      </c>
      <c r="G1475">
        <v>66</v>
      </c>
      <c r="H1475" t="s">
        <v>304</v>
      </c>
    </row>
    <row r="1476" spans="1:8">
      <c r="A1476" t="str">
        <f t="shared" si="23"/>
        <v>Heumensebaan 66b</v>
      </c>
      <c r="B1476" t="s">
        <v>447</v>
      </c>
      <c r="C1476" t="s">
        <v>296</v>
      </c>
      <c r="D1476">
        <v>1972</v>
      </c>
      <c r="E1476">
        <v>18</v>
      </c>
      <c r="F1476" t="s">
        <v>445</v>
      </c>
      <c r="G1476">
        <v>66</v>
      </c>
      <c r="H1476" t="s">
        <v>298</v>
      </c>
    </row>
    <row r="1477" spans="1:8">
      <c r="A1477" t="str">
        <f t="shared" si="23"/>
        <v>Heumensebaan 66c</v>
      </c>
      <c r="B1477" t="s">
        <v>447</v>
      </c>
      <c r="C1477" t="s">
        <v>296</v>
      </c>
      <c r="D1477">
        <v>1972</v>
      </c>
      <c r="E1477">
        <v>17</v>
      </c>
      <c r="F1477" t="s">
        <v>445</v>
      </c>
      <c r="G1477">
        <v>66</v>
      </c>
      <c r="H1477" t="s">
        <v>299</v>
      </c>
    </row>
    <row r="1478" spans="1:8">
      <c r="A1478" t="str">
        <f t="shared" si="23"/>
        <v>Heumensebaan 66d</v>
      </c>
      <c r="B1478" t="s">
        <v>447</v>
      </c>
      <c r="C1478" t="s">
        <v>296</v>
      </c>
      <c r="D1478">
        <v>1972</v>
      </c>
      <c r="E1478">
        <v>19</v>
      </c>
      <c r="F1478" t="s">
        <v>445</v>
      </c>
      <c r="G1478">
        <v>66</v>
      </c>
      <c r="H1478" t="s">
        <v>300</v>
      </c>
    </row>
    <row r="1479" spans="1:8">
      <c r="A1479" t="str">
        <f t="shared" si="23"/>
        <v>Heumensebaan 66</v>
      </c>
      <c r="B1479" t="s">
        <v>447</v>
      </c>
      <c r="C1479" t="s">
        <v>296</v>
      </c>
      <c r="D1479">
        <v>1970</v>
      </c>
      <c r="E1479">
        <v>97</v>
      </c>
      <c r="F1479" t="s">
        <v>445</v>
      </c>
      <c r="G1479">
        <v>66</v>
      </c>
    </row>
    <row r="1480" spans="1:8">
      <c r="A1480" t="str">
        <f t="shared" si="23"/>
        <v>Heumensebaan 67</v>
      </c>
      <c r="B1480" t="s">
        <v>447</v>
      </c>
      <c r="C1480" t="s">
        <v>296</v>
      </c>
      <c r="D1480">
        <v>1980</v>
      </c>
      <c r="E1480">
        <v>75</v>
      </c>
      <c r="F1480" t="s">
        <v>445</v>
      </c>
      <c r="G1480">
        <v>67</v>
      </c>
    </row>
    <row r="1481" spans="1:8">
      <c r="A1481" t="str">
        <f t="shared" si="23"/>
        <v>Heumensebaan 68</v>
      </c>
      <c r="B1481" t="s">
        <v>447</v>
      </c>
      <c r="C1481" t="s">
        <v>296</v>
      </c>
      <c r="D1481">
        <v>1969</v>
      </c>
      <c r="E1481">
        <v>132</v>
      </c>
      <c r="F1481" t="s">
        <v>445</v>
      </c>
      <c r="G1481">
        <v>68</v>
      </c>
    </row>
    <row r="1482" spans="1:8">
      <c r="A1482" t="str">
        <f t="shared" si="23"/>
        <v>Heumensebaan 69</v>
      </c>
      <c r="B1482" t="s">
        <v>447</v>
      </c>
      <c r="C1482" t="s">
        <v>296</v>
      </c>
      <c r="D1482">
        <v>1980</v>
      </c>
      <c r="E1482">
        <v>58</v>
      </c>
      <c r="F1482" t="s">
        <v>445</v>
      </c>
      <c r="G1482">
        <v>69</v>
      </c>
    </row>
    <row r="1483" spans="1:8">
      <c r="A1483" t="str">
        <f t="shared" si="23"/>
        <v>Heumensebaan 70</v>
      </c>
      <c r="B1483" t="s">
        <v>447</v>
      </c>
      <c r="C1483" t="s">
        <v>296</v>
      </c>
      <c r="D1483">
        <v>1969</v>
      </c>
      <c r="E1483">
        <v>133</v>
      </c>
      <c r="F1483" t="s">
        <v>445</v>
      </c>
      <c r="G1483">
        <v>70</v>
      </c>
    </row>
    <row r="1484" spans="1:8">
      <c r="A1484" t="str">
        <f t="shared" si="23"/>
        <v>Heumensebaan 71</v>
      </c>
      <c r="B1484" t="s">
        <v>447</v>
      </c>
      <c r="C1484" t="s">
        <v>296</v>
      </c>
      <c r="D1484">
        <v>1980</v>
      </c>
      <c r="E1484">
        <v>58</v>
      </c>
      <c r="F1484" t="s">
        <v>445</v>
      </c>
      <c r="G1484">
        <v>71</v>
      </c>
    </row>
    <row r="1485" spans="1:8">
      <c r="A1485" t="str">
        <f t="shared" si="23"/>
        <v>Heumensebaan 72</v>
      </c>
      <c r="B1485" t="s">
        <v>447</v>
      </c>
      <c r="C1485" t="s">
        <v>296</v>
      </c>
      <c r="D1485">
        <v>1969</v>
      </c>
      <c r="E1485">
        <v>133</v>
      </c>
      <c r="F1485" t="s">
        <v>445</v>
      </c>
      <c r="G1485">
        <v>72</v>
      </c>
    </row>
    <row r="1486" spans="1:8">
      <c r="A1486" t="str">
        <f t="shared" si="23"/>
        <v>Heumensebaan 73</v>
      </c>
      <c r="B1486" t="s">
        <v>447</v>
      </c>
      <c r="C1486" t="s">
        <v>296</v>
      </c>
      <c r="D1486">
        <v>1980</v>
      </c>
      <c r="E1486">
        <v>75</v>
      </c>
      <c r="F1486" t="s">
        <v>445</v>
      </c>
      <c r="G1486">
        <v>73</v>
      </c>
    </row>
    <row r="1487" spans="1:8">
      <c r="A1487" t="str">
        <f t="shared" si="23"/>
        <v>Heumensebaan 75</v>
      </c>
      <c r="B1487" t="s">
        <v>447</v>
      </c>
      <c r="C1487" t="s">
        <v>296</v>
      </c>
      <c r="D1487">
        <v>1980</v>
      </c>
      <c r="E1487">
        <v>76</v>
      </c>
      <c r="F1487" t="s">
        <v>445</v>
      </c>
      <c r="G1487">
        <v>75</v>
      </c>
    </row>
    <row r="1488" spans="1:8">
      <c r="A1488" t="str">
        <f t="shared" si="23"/>
        <v>Heumensebaan 77</v>
      </c>
      <c r="B1488" t="s">
        <v>447</v>
      </c>
      <c r="C1488" t="s">
        <v>296</v>
      </c>
      <c r="D1488">
        <v>1980</v>
      </c>
      <c r="E1488">
        <v>58</v>
      </c>
      <c r="F1488" t="s">
        <v>445</v>
      </c>
      <c r="G1488">
        <v>77</v>
      </c>
    </row>
    <row r="1489" spans="1:7">
      <c r="A1489" t="str">
        <f t="shared" si="23"/>
        <v>Heumensebaan 79</v>
      </c>
      <c r="B1489" t="s">
        <v>447</v>
      </c>
      <c r="C1489" t="s">
        <v>296</v>
      </c>
      <c r="D1489">
        <v>1980</v>
      </c>
      <c r="E1489">
        <v>58</v>
      </c>
      <c r="F1489" t="s">
        <v>445</v>
      </c>
      <c r="G1489">
        <v>79</v>
      </c>
    </row>
    <row r="1490" spans="1:7">
      <c r="A1490" t="str">
        <f t="shared" si="23"/>
        <v>Heumensebaan 81</v>
      </c>
      <c r="B1490" t="s">
        <v>447</v>
      </c>
      <c r="C1490" t="s">
        <v>296</v>
      </c>
      <c r="D1490">
        <v>1980</v>
      </c>
      <c r="E1490">
        <v>75</v>
      </c>
      <c r="F1490" t="s">
        <v>445</v>
      </c>
      <c r="G1490">
        <v>81</v>
      </c>
    </row>
    <row r="1491" spans="1:7">
      <c r="A1491" t="str">
        <f t="shared" si="23"/>
        <v>Heumensebaan 83</v>
      </c>
      <c r="B1491" t="s">
        <v>447</v>
      </c>
      <c r="C1491" t="s">
        <v>296</v>
      </c>
      <c r="D1491">
        <v>1980</v>
      </c>
      <c r="E1491">
        <v>75</v>
      </c>
      <c r="F1491" t="s">
        <v>445</v>
      </c>
      <c r="G1491">
        <v>83</v>
      </c>
    </row>
    <row r="1492" spans="1:7">
      <c r="A1492" t="str">
        <f t="shared" si="23"/>
        <v>Heumensebaan 85</v>
      </c>
      <c r="B1492" t="s">
        <v>447</v>
      </c>
      <c r="C1492" t="s">
        <v>296</v>
      </c>
      <c r="D1492">
        <v>1980</v>
      </c>
      <c r="E1492">
        <v>58</v>
      </c>
      <c r="F1492" t="s">
        <v>445</v>
      </c>
      <c r="G1492">
        <v>85</v>
      </c>
    </row>
    <row r="1493" spans="1:7">
      <c r="A1493" t="str">
        <f t="shared" si="23"/>
        <v>Heumensebaan 87</v>
      </c>
      <c r="B1493" t="s">
        <v>447</v>
      </c>
      <c r="C1493" t="s">
        <v>296</v>
      </c>
      <c r="D1493">
        <v>1980</v>
      </c>
      <c r="E1493">
        <v>73</v>
      </c>
      <c r="F1493" t="s">
        <v>445</v>
      </c>
      <c r="G1493">
        <v>87</v>
      </c>
    </row>
    <row r="1494" spans="1:7">
      <c r="A1494" t="str">
        <f t="shared" si="23"/>
        <v>Heumensebaan 89</v>
      </c>
      <c r="B1494" t="s">
        <v>447</v>
      </c>
      <c r="C1494" t="s">
        <v>296</v>
      </c>
      <c r="D1494">
        <v>1980</v>
      </c>
      <c r="E1494">
        <v>76</v>
      </c>
      <c r="F1494" t="s">
        <v>445</v>
      </c>
      <c r="G1494">
        <v>89</v>
      </c>
    </row>
    <row r="1495" spans="1:7">
      <c r="A1495" t="str">
        <f t="shared" si="23"/>
        <v>Heumensebaan 91</v>
      </c>
      <c r="B1495" t="s">
        <v>447</v>
      </c>
      <c r="C1495" t="s">
        <v>296</v>
      </c>
      <c r="D1495">
        <v>1980</v>
      </c>
      <c r="E1495">
        <v>76</v>
      </c>
      <c r="F1495" t="s">
        <v>445</v>
      </c>
      <c r="G1495">
        <v>91</v>
      </c>
    </row>
    <row r="1496" spans="1:7">
      <c r="A1496" t="str">
        <f t="shared" si="23"/>
        <v>Heumensebaan 93</v>
      </c>
      <c r="B1496" t="s">
        <v>447</v>
      </c>
      <c r="C1496" t="s">
        <v>296</v>
      </c>
      <c r="D1496">
        <v>1980</v>
      </c>
      <c r="E1496">
        <v>73</v>
      </c>
      <c r="F1496" t="s">
        <v>445</v>
      </c>
      <c r="G1496">
        <v>93</v>
      </c>
    </row>
    <row r="1497" spans="1:7">
      <c r="A1497" t="str">
        <f t="shared" si="23"/>
        <v>Hijlekamp 1</v>
      </c>
      <c r="B1497" t="s">
        <v>448</v>
      </c>
      <c r="C1497" t="s">
        <v>306</v>
      </c>
      <c r="D1497">
        <v>1965</v>
      </c>
      <c r="E1497">
        <v>191</v>
      </c>
      <c r="F1497" t="s">
        <v>449</v>
      </c>
      <c r="G1497">
        <v>1</v>
      </c>
    </row>
    <row r="1498" spans="1:7">
      <c r="A1498" t="str">
        <f t="shared" si="23"/>
        <v>Hijlekamp 2</v>
      </c>
      <c r="B1498" t="s">
        <v>448</v>
      </c>
      <c r="C1498" t="s">
        <v>306</v>
      </c>
      <c r="D1498">
        <v>1960</v>
      </c>
      <c r="E1498">
        <v>223</v>
      </c>
      <c r="F1498" t="s">
        <v>449</v>
      </c>
      <c r="G1498">
        <v>2</v>
      </c>
    </row>
    <row r="1499" spans="1:7">
      <c r="A1499" t="str">
        <f t="shared" si="23"/>
        <v>Hijlekamp 3</v>
      </c>
      <c r="B1499" t="s">
        <v>448</v>
      </c>
      <c r="C1499" t="s">
        <v>306</v>
      </c>
      <c r="D1499">
        <v>1966</v>
      </c>
      <c r="E1499">
        <v>215</v>
      </c>
      <c r="F1499" t="s">
        <v>449</v>
      </c>
      <c r="G1499">
        <v>3</v>
      </c>
    </row>
    <row r="1500" spans="1:7">
      <c r="A1500" t="str">
        <f t="shared" si="23"/>
        <v>Hijlekamp 4</v>
      </c>
      <c r="B1500" t="s">
        <v>448</v>
      </c>
      <c r="C1500" t="s">
        <v>306</v>
      </c>
      <c r="D1500">
        <v>1970</v>
      </c>
      <c r="E1500">
        <v>175</v>
      </c>
      <c r="F1500" t="s">
        <v>449</v>
      </c>
      <c r="G1500">
        <v>4</v>
      </c>
    </row>
    <row r="1501" spans="1:7">
      <c r="A1501" t="str">
        <f t="shared" si="23"/>
        <v>Hijlekamp 5</v>
      </c>
      <c r="B1501" t="s">
        <v>448</v>
      </c>
      <c r="C1501" t="s">
        <v>306</v>
      </c>
      <c r="D1501">
        <v>1985</v>
      </c>
      <c r="E1501">
        <v>226</v>
      </c>
      <c r="F1501" t="s">
        <v>449</v>
      </c>
      <c r="G1501">
        <v>5</v>
      </c>
    </row>
    <row r="1502" spans="1:7">
      <c r="A1502" t="str">
        <f t="shared" si="23"/>
        <v>Hijlekamp 6</v>
      </c>
      <c r="B1502" t="s">
        <v>448</v>
      </c>
      <c r="C1502" t="s">
        <v>306</v>
      </c>
      <c r="D1502">
        <v>1970</v>
      </c>
      <c r="E1502">
        <v>186</v>
      </c>
      <c r="F1502" t="s">
        <v>449</v>
      </c>
      <c r="G1502">
        <v>6</v>
      </c>
    </row>
    <row r="1503" spans="1:7">
      <c r="A1503" t="str">
        <f t="shared" si="23"/>
        <v>Hijlekamp 8</v>
      </c>
      <c r="B1503" t="s">
        <v>448</v>
      </c>
      <c r="C1503" t="s">
        <v>306</v>
      </c>
      <c r="D1503">
        <v>1985</v>
      </c>
      <c r="E1503">
        <v>135</v>
      </c>
      <c r="F1503" t="s">
        <v>449</v>
      </c>
      <c r="G1503">
        <v>8</v>
      </c>
    </row>
    <row r="1504" spans="1:7">
      <c r="A1504" t="str">
        <f t="shared" si="23"/>
        <v>Hijlekamp 9</v>
      </c>
      <c r="B1504" t="s">
        <v>448</v>
      </c>
      <c r="C1504" t="s">
        <v>306</v>
      </c>
      <c r="D1504">
        <v>1960</v>
      </c>
      <c r="E1504">
        <v>286</v>
      </c>
      <c r="F1504" t="s">
        <v>449</v>
      </c>
      <c r="G1504">
        <v>9</v>
      </c>
    </row>
    <row r="1505" spans="1:8">
      <c r="A1505" t="str">
        <f t="shared" si="23"/>
        <v>Hijlekamp 10</v>
      </c>
      <c r="B1505" t="s">
        <v>448</v>
      </c>
      <c r="C1505" t="s">
        <v>306</v>
      </c>
      <c r="D1505">
        <v>1960</v>
      </c>
      <c r="E1505">
        <v>206</v>
      </c>
      <c r="F1505" t="s">
        <v>449</v>
      </c>
      <c r="G1505">
        <v>10</v>
      </c>
    </row>
    <row r="1506" spans="1:8">
      <c r="A1506" t="str">
        <f t="shared" si="23"/>
        <v>Hijlekamp 11</v>
      </c>
      <c r="B1506" t="s">
        <v>448</v>
      </c>
      <c r="C1506" t="s">
        <v>306</v>
      </c>
      <c r="D1506">
        <v>1960</v>
      </c>
      <c r="E1506">
        <v>169</v>
      </c>
      <c r="F1506" t="s">
        <v>449</v>
      </c>
      <c r="G1506">
        <v>11</v>
      </c>
    </row>
    <row r="1507" spans="1:8">
      <c r="A1507" t="str">
        <f t="shared" si="23"/>
        <v>Hijlekamp 12</v>
      </c>
      <c r="B1507" t="s">
        <v>448</v>
      </c>
      <c r="C1507" t="s">
        <v>306</v>
      </c>
      <c r="D1507">
        <v>1960</v>
      </c>
      <c r="E1507">
        <v>201</v>
      </c>
      <c r="F1507" t="s">
        <v>449</v>
      </c>
      <c r="G1507">
        <v>12</v>
      </c>
    </row>
    <row r="1508" spans="1:8">
      <c r="A1508" t="str">
        <f t="shared" si="23"/>
        <v>Hoeveveld 2a</v>
      </c>
      <c r="B1508" t="s">
        <v>450</v>
      </c>
      <c r="C1508" t="s">
        <v>296</v>
      </c>
      <c r="D1508">
        <v>2009</v>
      </c>
      <c r="E1508">
        <v>370</v>
      </c>
      <c r="F1508" t="s">
        <v>451</v>
      </c>
      <c r="G1508">
        <v>2</v>
      </c>
      <c r="H1508" t="s">
        <v>304</v>
      </c>
    </row>
    <row r="1509" spans="1:8">
      <c r="A1509" t="str">
        <f t="shared" si="23"/>
        <v>Hoeveveld 2</v>
      </c>
      <c r="B1509" t="s">
        <v>450</v>
      </c>
      <c r="C1509" t="s">
        <v>296</v>
      </c>
      <c r="D1509">
        <v>2011</v>
      </c>
      <c r="E1509">
        <v>622</v>
      </c>
      <c r="F1509" t="s">
        <v>451</v>
      </c>
      <c r="G1509">
        <v>2</v>
      </c>
    </row>
    <row r="1510" spans="1:8">
      <c r="A1510" t="str">
        <f t="shared" si="23"/>
        <v>Hoeveveld 3a</v>
      </c>
      <c r="B1510" t="s">
        <v>452</v>
      </c>
      <c r="C1510" t="s">
        <v>296</v>
      </c>
      <c r="D1510">
        <v>1991</v>
      </c>
      <c r="E1510">
        <v>30</v>
      </c>
      <c r="F1510" t="s">
        <v>451</v>
      </c>
      <c r="G1510">
        <v>3</v>
      </c>
      <c r="H1510" t="s">
        <v>304</v>
      </c>
    </row>
    <row r="1511" spans="1:8">
      <c r="A1511" t="str">
        <f t="shared" si="23"/>
        <v>Hoeveveld 3</v>
      </c>
      <c r="B1511" t="s">
        <v>452</v>
      </c>
      <c r="C1511" t="s">
        <v>296</v>
      </c>
      <c r="D1511">
        <v>1998</v>
      </c>
      <c r="E1511">
        <v>416</v>
      </c>
      <c r="F1511" t="s">
        <v>451</v>
      </c>
      <c r="G1511">
        <v>3</v>
      </c>
    </row>
    <row r="1512" spans="1:8">
      <c r="A1512" t="str">
        <f t="shared" si="23"/>
        <v>Hoeveveld 4</v>
      </c>
      <c r="B1512" t="s">
        <v>450</v>
      </c>
      <c r="C1512" t="s">
        <v>296</v>
      </c>
      <c r="D1512">
        <v>1988</v>
      </c>
      <c r="E1512">
        <v>321</v>
      </c>
      <c r="F1512" t="s">
        <v>451</v>
      </c>
      <c r="G1512">
        <v>4</v>
      </c>
    </row>
    <row r="1513" spans="1:8">
      <c r="A1513" t="str">
        <f t="shared" si="23"/>
        <v>Hoeveveld 5</v>
      </c>
      <c r="B1513" t="s">
        <v>452</v>
      </c>
      <c r="C1513" t="s">
        <v>296</v>
      </c>
      <c r="D1513">
        <v>1991</v>
      </c>
      <c r="E1513">
        <v>336</v>
      </c>
      <c r="F1513" t="s">
        <v>451</v>
      </c>
      <c r="G1513">
        <v>5</v>
      </c>
    </row>
    <row r="1514" spans="1:8">
      <c r="A1514" t="str">
        <f t="shared" si="23"/>
        <v>Hoeveveld 7</v>
      </c>
      <c r="B1514" t="s">
        <v>452</v>
      </c>
      <c r="C1514" t="s">
        <v>296</v>
      </c>
      <c r="D1514">
        <v>1991</v>
      </c>
      <c r="E1514">
        <v>170</v>
      </c>
      <c r="F1514" t="s">
        <v>451</v>
      </c>
      <c r="G1514">
        <v>7</v>
      </c>
    </row>
    <row r="1515" spans="1:8">
      <c r="A1515" t="str">
        <f t="shared" si="23"/>
        <v>Hoeveveld 8</v>
      </c>
      <c r="B1515" t="s">
        <v>450</v>
      </c>
      <c r="C1515" t="s">
        <v>296</v>
      </c>
      <c r="D1515">
        <v>1990</v>
      </c>
      <c r="E1515">
        <v>307</v>
      </c>
      <c r="F1515" t="s">
        <v>451</v>
      </c>
      <c r="G1515">
        <v>8</v>
      </c>
    </row>
    <row r="1516" spans="1:8">
      <c r="A1516" t="str">
        <f t="shared" si="23"/>
        <v>Hoeveveld 9</v>
      </c>
      <c r="B1516" t="s">
        <v>452</v>
      </c>
      <c r="C1516" t="s">
        <v>296</v>
      </c>
      <c r="D1516">
        <v>1994</v>
      </c>
      <c r="E1516">
        <v>330</v>
      </c>
      <c r="F1516" t="s">
        <v>451</v>
      </c>
      <c r="G1516">
        <v>9</v>
      </c>
    </row>
    <row r="1517" spans="1:8">
      <c r="A1517" t="str">
        <f t="shared" si="23"/>
        <v>Hoeveveld 10</v>
      </c>
      <c r="B1517" t="s">
        <v>450</v>
      </c>
      <c r="C1517" t="s">
        <v>296</v>
      </c>
      <c r="D1517">
        <v>1990</v>
      </c>
      <c r="E1517">
        <v>139</v>
      </c>
      <c r="F1517" t="s">
        <v>451</v>
      </c>
      <c r="G1517">
        <v>10</v>
      </c>
    </row>
    <row r="1518" spans="1:8">
      <c r="A1518" t="str">
        <f t="shared" si="23"/>
        <v>Hoeveveld 11a</v>
      </c>
      <c r="B1518" t="s">
        <v>452</v>
      </c>
      <c r="C1518" t="s">
        <v>296</v>
      </c>
      <c r="D1518">
        <v>1992</v>
      </c>
      <c r="E1518">
        <v>68</v>
      </c>
      <c r="F1518" t="s">
        <v>451</v>
      </c>
      <c r="G1518">
        <v>11</v>
      </c>
      <c r="H1518" t="s">
        <v>304</v>
      </c>
    </row>
    <row r="1519" spans="1:8">
      <c r="A1519" t="str">
        <f t="shared" si="23"/>
        <v>Hoeveveld 11</v>
      </c>
      <c r="B1519" t="s">
        <v>452</v>
      </c>
      <c r="C1519" t="s">
        <v>296</v>
      </c>
      <c r="D1519">
        <v>1992</v>
      </c>
      <c r="E1519">
        <v>335</v>
      </c>
      <c r="F1519" t="s">
        <v>451</v>
      </c>
      <c r="G1519">
        <v>11</v>
      </c>
    </row>
    <row r="1520" spans="1:8">
      <c r="A1520" t="str">
        <f t="shared" si="23"/>
        <v>Hoeveveld 12</v>
      </c>
      <c r="B1520" t="s">
        <v>450</v>
      </c>
      <c r="C1520" t="s">
        <v>296</v>
      </c>
      <c r="D1520">
        <v>1990</v>
      </c>
      <c r="E1520">
        <v>205</v>
      </c>
      <c r="F1520" t="s">
        <v>451</v>
      </c>
      <c r="G1520">
        <v>12</v>
      </c>
    </row>
    <row r="1521" spans="1:8">
      <c r="A1521" t="str">
        <f t="shared" si="23"/>
        <v>Hoeveveld 15</v>
      </c>
      <c r="B1521" t="s">
        <v>452</v>
      </c>
      <c r="C1521" t="s">
        <v>296</v>
      </c>
      <c r="D1521">
        <v>2014</v>
      </c>
      <c r="E1521">
        <v>261</v>
      </c>
      <c r="F1521" t="s">
        <v>451</v>
      </c>
      <c r="G1521">
        <v>15</v>
      </c>
    </row>
    <row r="1522" spans="1:8">
      <c r="A1522" t="str">
        <f t="shared" si="23"/>
        <v>Hoeveveld 16</v>
      </c>
      <c r="B1522" t="s">
        <v>450</v>
      </c>
      <c r="C1522" t="s">
        <v>296</v>
      </c>
      <c r="D1522">
        <v>1990</v>
      </c>
      <c r="E1522">
        <v>499</v>
      </c>
      <c r="F1522" t="s">
        <v>451</v>
      </c>
      <c r="G1522">
        <v>16</v>
      </c>
    </row>
    <row r="1523" spans="1:8">
      <c r="A1523" t="str">
        <f t="shared" si="23"/>
        <v>Hoeveveld 17</v>
      </c>
      <c r="B1523" t="s">
        <v>452</v>
      </c>
      <c r="C1523" t="s">
        <v>296</v>
      </c>
      <c r="D1523">
        <v>2009</v>
      </c>
      <c r="E1523">
        <v>256</v>
      </c>
      <c r="F1523" t="s">
        <v>451</v>
      </c>
      <c r="G1523">
        <v>17</v>
      </c>
    </row>
    <row r="1524" spans="1:8">
      <c r="A1524" t="str">
        <f t="shared" si="23"/>
        <v>Hoeveveld 18a</v>
      </c>
      <c r="B1524" t="s">
        <v>450</v>
      </c>
      <c r="C1524" t="s">
        <v>296</v>
      </c>
      <c r="D1524">
        <v>1992</v>
      </c>
      <c r="E1524">
        <v>185</v>
      </c>
      <c r="F1524" t="s">
        <v>451</v>
      </c>
      <c r="G1524">
        <v>18</v>
      </c>
      <c r="H1524" t="s">
        <v>304</v>
      </c>
    </row>
    <row r="1525" spans="1:8">
      <c r="A1525" t="str">
        <f t="shared" si="23"/>
        <v>Hoeveveld 18</v>
      </c>
      <c r="B1525" t="s">
        <v>450</v>
      </c>
      <c r="C1525" t="s">
        <v>296</v>
      </c>
      <c r="D1525">
        <v>1992</v>
      </c>
      <c r="E1525">
        <v>187</v>
      </c>
      <c r="F1525" t="s">
        <v>451</v>
      </c>
      <c r="G1525">
        <v>18</v>
      </c>
    </row>
    <row r="1526" spans="1:8">
      <c r="A1526" t="str">
        <f t="shared" si="23"/>
        <v>Hoeveveld 19</v>
      </c>
      <c r="B1526" t="s">
        <v>452</v>
      </c>
      <c r="C1526" t="s">
        <v>296</v>
      </c>
      <c r="D1526">
        <v>1994</v>
      </c>
      <c r="E1526">
        <v>261</v>
      </c>
      <c r="F1526" t="s">
        <v>451</v>
      </c>
      <c r="G1526">
        <v>19</v>
      </c>
    </row>
    <row r="1527" spans="1:8">
      <c r="A1527" t="str">
        <f t="shared" si="23"/>
        <v>Hoeveveld 20</v>
      </c>
      <c r="B1527" t="s">
        <v>450</v>
      </c>
      <c r="C1527" t="s">
        <v>296</v>
      </c>
      <c r="D1527">
        <v>1992</v>
      </c>
      <c r="E1527">
        <v>362</v>
      </c>
      <c r="F1527" t="s">
        <v>451</v>
      </c>
      <c r="G1527">
        <v>20</v>
      </c>
    </row>
    <row r="1528" spans="1:8">
      <c r="A1528" t="str">
        <f t="shared" si="23"/>
        <v>Hoeveveld 21</v>
      </c>
      <c r="B1528" t="s">
        <v>452</v>
      </c>
      <c r="C1528" t="s">
        <v>296</v>
      </c>
      <c r="D1528">
        <v>1992</v>
      </c>
      <c r="E1528">
        <v>222</v>
      </c>
      <c r="F1528" t="s">
        <v>451</v>
      </c>
      <c r="G1528">
        <v>21</v>
      </c>
    </row>
    <row r="1529" spans="1:8">
      <c r="A1529" t="str">
        <f t="shared" si="23"/>
        <v>Hoeveveld 22</v>
      </c>
      <c r="B1529" t="s">
        <v>450</v>
      </c>
      <c r="C1529" t="s">
        <v>296</v>
      </c>
      <c r="D1529">
        <v>1992</v>
      </c>
      <c r="E1529">
        <v>323</v>
      </c>
      <c r="F1529" t="s">
        <v>451</v>
      </c>
      <c r="G1529">
        <v>22</v>
      </c>
    </row>
    <row r="1530" spans="1:8">
      <c r="A1530" t="str">
        <f t="shared" si="23"/>
        <v>Hoeveveld 23</v>
      </c>
      <c r="B1530" t="s">
        <v>452</v>
      </c>
      <c r="C1530" t="s">
        <v>296</v>
      </c>
      <c r="D1530">
        <v>1992</v>
      </c>
      <c r="E1530">
        <v>328</v>
      </c>
      <c r="F1530" t="s">
        <v>451</v>
      </c>
      <c r="G1530">
        <v>23</v>
      </c>
    </row>
    <row r="1531" spans="1:8">
      <c r="A1531" t="str">
        <f t="shared" si="23"/>
        <v>Hoeveveld 24a</v>
      </c>
      <c r="B1531" t="s">
        <v>450</v>
      </c>
      <c r="C1531" t="s">
        <v>296</v>
      </c>
      <c r="D1531">
        <v>2007</v>
      </c>
      <c r="E1531">
        <v>448</v>
      </c>
      <c r="F1531" t="s">
        <v>451</v>
      </c>
      <c r="G1531">
        <v>24</v>
      </c>
      <c r="H1531" t="s">
        <v>304</v>
      </c>
    </row>
    <row r="1532" spans="1:8">
      <c r="A1532" t="str">
        <f t="shared" si="23"/>
        <v>Hoeveveld 24b</v>
      </c>
      <c r="B1532" t="s">
        <v>450</v>
      </c>
      <c r="C1532" t="s">
        <v>296</v>
      </c>
      <c r="D1532">
        <v>2007</v>
      </c>
      <c r="E1532">
        <v>564</v>
      </c>
      <c r="F1532" t="s">
        <v>451</v>
      </c>
      <c r="G1532">
        <v>24</v>
      </c>
      <c r="H1532" t="s">
        <v>298</v>
      </c>
    </row>
    <row r="1533" spans="1:8">
      <c r="A1533" t="str">
        <f t="shared" si="23"/>
        <v>Hoeveveld 24</v>
      </c>
      <c r="B1533" t="s">
        <v>450</v>
      </c>
      <c r="C1533" t="s">
        <v>296</v>
      </c>
      <c r="D1533">
        <v>1992</v>
      </c>
      <c r="E1533">
        <v>394</v>
      </c>
      <c r="F1533" t="s">
        <v>451</v>
      </c>
      <c r="G1533">
        <v>24</v>
      </c>
    </row>
    <row r="1534" spans="1:8">
      <c r="A1534" t="str">
        <f t="shared" si="23"/>
        <v>Hoeveveld 25</v>
      </c>
      <c r="B1534" t="s">
        <v>452</v>
      </c>
      <c r="C1534" t="s">
        <v>296</v>
      </c>
      <c r="D1534">
        <v>1992</v>
      </c>
      <c r="E1534">
        <v>348</v>
      </c>
      <c r="F1534" t="s">
        <v>451</v>
      </c>
      <c r="G1534">
        <v>25</v>
      </c>
    </row>
    <row r="1535" spans="1:8">
      <c r="A1535" t="str">
        <f t="shared" si="23"/>
        <v>Hoeveveld 26</v>
      </c>
      <c r="B1535" t="s">
        <v>450</v>
      </c>
      <c r="C1535" t="s">
        <v>296</v>
      </c>
      <c r="D1535">
        <v>1993</v>
      </c>
      <c r="E1535">
        <v>362</v>
      </c>
      <c r="F1535" t="s">
        <v>451</v>
      </c>
      <c r="G1535">
        <v>26</v>
      </c>
    </row>
    <row r="1536" spans="1:8">
      <c r="A1536" t="str">
        <f t="shared" si="23"/>
        <v>Hoeveveld 27</v>
      </c>
      <c r="B1536" t="s">
        <v>452</v>
      </c>
      <c r="C1536" t="s">
        <v>296</v>
      </c>
      <c r="D1536">
        <v>1994</v>
      </c>
      <c r="E1536">
        <v>278</v>
      </c>
      <c r="F1536" t="s">
        <v>451</v>
      </c>
      <c r="G1536">
        <v>27</v>
      </c>
    </row>
    <row r="1537" spans="1:8">
      <c r="A1537" t="str">
        <f t="shared" si="23"/>
        <v>Hoeveveld 28a</v>
      </c>
      <c r="B1537" t="s">
        <v>450</v>
      </c>
      <c r="C1537" t="s">
        <v>296</v>
      </c>
      <c r="D1537">
        <v>1992</v>
      </c>
      <c r="E1537">
        <v>205</v>
      </c>
      <c r="F1537" t="s">
        <v>451</v>
      </c>
      <c r="G1537">
        <v>28</v>
      </c>
      <c r="H1537" t="s">
        <v>304</v>
      </c>
    </row>
    <row r="1538" spans="1:8">
      <c r="A1538" t="str">
        <f t="shared" ref="A1538:A1601" si="24">CONCATENATE(F1538," ",G1538,H1538)</f>
        <v>Hoeveveld 28</v>
      </c>
      <c r="B1538" t="s">
        <v>450</v>
      </c>
      <c r="C1538" t="s">
        <v>296</v>
      </c>
      <c r="D1538">
        <v>1992</v>
      </c>
      <c r="E1538">
        <v>283</v>
      </c>
      <c r="F1538" t="s">
        <v>451</v>
      </c>
      <c r="G1538">
        <v>28</v>
      </c>
    </row>
    <row r="1539" spans="1:8">
      <c r="A1539" t="str">
        <f t="shared" si="24"/>
        <v>Hoeveveld 29a</v>
      </c>
      <c r="B1539" t="s">
        <v>452</v>
      </c>
      <c r="C1539" t="s">
        <v>296</v>
      </c>
      <c r="D1539">
        <v>1998</v>
      </c>
      <c r="E1539">
        <v>378</v>
      </c>
      <c r="F1539" t="s">
        <v>451</v>
      </c>
      <c r="G1539">
        <v>29</v>
      </c>
      <c r="H1539" t="s">
        <v>304</v>
      </c>
    </row>
    <row r="1540" spans="1:8">
      <c r="A1540" t="str">
        <f t="shared" si="24"/>
        <v>Hoeveveld 29</v>
      </c>
      <c r="B1540" t="s">
        <v>452</v>
      </c>
      <c r="C1540" t="s">
        <v>296</v>
      </c>
      <c r="D1540">
        <v>1997</v>
      </c>
      <c r="E1540">
        <v>448</v>
      </c>
      <c r="F1540" t="s">
        <v>451</v>
      </c>
      <c r="G1540">
        <v>29</v>
      </c>
    </row>
    <row r="1541" spans="1:8">
      <c r="A1541" t="str">
        <f t="shared" si="24"/>
        <v>Hoeveveld 30</v>
      </c>
      <c r="B1541" t="s">
        <v>450</v>
      </c>
      <c r="C1541" t="s">
        <v>296</v>
      </c>
      <c r="D1541">
        <v>1993</v>
      </c>
      <c r="E1541">
        <v>376</v>
      </c>
      <c r="F1541" t="s">
        <v>451</v>
      </c>
      <c r="G1541">
        <v>30</v>
      </c>
    </row>
    <row r="1542" spans="1:8">
      <c r="A1542" t="str">
        <f t="shared" si="24"/>
        <v>Hoeveveld 31</v>
      </c>
      <c r="B1542" t="s">
        <v>452</v>
      </c>
      <c r="C1542" t="s">
        <v>296</v>
      </c>
      <c r="D1542">
        <v>1994</v>
      </c>
      <c r="E1542">
        <v>314</v>
      </c>
      <c r="F1542" t="s">
        <v>451</v>
      </c>
      <c r="G1542">
        <v>31</v>
      </c>
    </row>
    <row r="1543" spans="1:8">
      <c r="A1543" t="str">
        <f t="shared" si="24"/>
        <v>Hoeveveld 32</v>
      </c>
      <c r="B1543" t="s">
        <v>450</v>
      </c>
      <c r="C1543" t="s">
        <v>296</v>
      </c>
      <c r="D1543">
        <v>1995</v>
      </c>
      <c r="E1543">
        <v>361</v>
      </c>
      <c r="F1543" t="s">
        <v>451</v>
      </c>
      <c r="G1543">
        <v>32</v>
      </c>
    </row>
    <row r="1544" spans="1:8">
      <c r="A1544" t="str">
        <f t="shared" si="24"/>
        <v>Hoeveveld 33</v>
      </c>
      <c r="B1544" t="s">
        <v>452</v>
      </c>
      <c r="C1544" t="s">
        <v>296</v>
      </c>
      <c r="D1544">
        <v>1996</v>
      </c>
      <c r="E1544">
        <v>478</v>
      </c>
      <c r="F1544" t="s">
        <v>451</v>
      </c>
      <c r="G1544">
        <v>33</v>
      </c>
    </row>
    <row r="1545" spans="1:8">
      <c r="A1545" t="str">
        <f t="shared" si="24"/>
        <v>Hoeveveld 34</v>
      </c>
      <c r="B1545" t="s">
        <v>450</v>
      </c>
      <c r="C1545" t="s">
        <v>296</v>
      </c>
      <c r="D1545">
        <v>1993</v>
      </c>
      <c r="E1545">
        <v>160</v>
      </c>
      <c r="F1545" t="s">
        <v>451</v>
      </c>
      <c r="G1545">
        <v>34</v>
      </c>
    </row>
    <row r="1546" spans="1:8">
      <c r="A1546" t="str">
        <f t="shared" si="24"/>
        <v>Hoeveveld 35</v>
      </c>
      <c r="B1546" t="s">
        <v>452</v>
      </c>
      <c r="C1546" t="s">
        <v>296</v>
      </c>
      <c r="D1546">
        <v>1993</v>
      </c>
      <c r="E1546">
        <v>412</v>
      </c>
      <c r="F1546" t="s">
        <v>451</v>
      </c>
      <c r="G1546">
        <v>35</v>
      </c>
    </row>
    <row r="1547" spans="1:8">
      <c r="A1547" t="str">
        <f t="shared" si="24"/>
        <v>Hoeveveld 36</v>
      </c>
      <c r="B1547" t="s">
        <v>450</v>
      </c>
      <c r="C1547" t="s">
        <v>296</v>
      </c>
      <c r="D1547">
        <v>1996</v>
      </c>
      <c r="E1547">
        <v>246</v>
      </c>
      <c r="F1547" t="s">
        <v>451</v>
      </c>
      <c r="G1547">
        <v>36</v>
      </c>
    </row>
    <row r="1548" spans="1:8">
      <c r="A1548" t="str">
        <f t="shared" si="24"/>
        <v>Hoeveveld 37</v>
      </c>
      <c r="B1548" t="s">
        <v>452</v>
      </c>
      <c r="C1548" t="s">
        <v>296</v>
      </c>
      <c r="D1548">
        <v>1993</v>
      </c>
      <c r="E1548">
        <v>317</v>
      </c>
      <c r="F1548" t="s">
        <v>451</v>
      </c>
      <c r="G1548">
        <v>37</v>
      </c>
    </row>
    <row r="1549" spans="1:8">
      <c r="A1549" t="str">
        <f t="shared" si="24"/>
        <v>Hoeveveld 38</v>
      </c>
      <c r="B1549" t="s">
        <v>450</v>
      </c>
      <c r="C1549" t="s">
        <v>296</v>
      </c>
      <c r="D1549">
        <v>1993</v>
      </c>
      <c r="E1549">
        <v>290</v>
      </c>
      <c r="F1549" t="s">
        <v>451</v>
      </c>
      <c r="G1549">
        <v>38</v>
      </c>
    </row>
    <row r="1550" spans="1:8">
      <c r="A1550" t="str">
        <f t="shared" si="24"/>
        <v>Hoeveveld 39</v>
      </c>
      <c r="B1550" t="s">
        <v>452</v>
      </c>
      <c r="C1550" t="s">
        <v>296</v>
      </c>
      <c r="D1550">
        <v>1993</v>
      </c>
      <c r="E1550">
        <v>228</v>
      </c>
      <c r="F1550" t="s">
        <v>451</v>
      </c>
      <c r="G1550">
        <v>39</v>
      </c>
    </row>
    <row r="1551" spans="1:8">
      <c r="A1551" t="str">
        <f t="shared" si="24"/>
        <v>Hoeveveld 40</v>
      </c>
      <c r="B1551" t="s">
        <v>450</v>
      </c>
      <c r="C1551" t="s">
        <v>296</v>
      </c>
      <c r="D1551">
        <v>1993</v>
      </c>
      <c r="E1551">
        <v>288</v>
      </c>
      <c r="F1551" t="s">
        <v>451</v>
      </c>
      <c r="G1551">
        <v>40</v>
      </c>
    </row>
    <row r="1552" spans="1:8">
      <c r="A1552" t="str">
        <f t="shared" si="24"/>
        <v>Hoeveveld 41</v>
      </c>
      <c r="B1552" t="s">
        <v>452</v>
      </c>
      <c r="C1552" t="s">
        <v>296</v>
      </c>
      <c r="D1552">
        <v>2004</v>
      </c>
      <c r="E1552">
        <v>456</v>
      </c>
      <c r="F1552" t="s">
        <v>451</v>
      </c>
      <c r="G1552">
        <v>41</v>
      </c>
    </row>
    <row r="1553" spans="1:12">
      <c r="A1553" t="str">
        <f t="shared" si="24"/>
        <v>Hoeveveld 42</v>
      </c>
      <c r="B1553" t="s">
        <v>450</v>
      </c>
      <c r="C1553" t="s">
        <v>296</v>
      </c>
      <c r="D1553">
        <v>1994</v>
      </c>
      <c r="E1553">
        <v>635</v>
      </c>
      <c r="F1553" t="s">
        <v>451</v>
      </c>
      <c r="G1553">
        <v>42</v>
      </c>
    </row>
    <row r="1554" spans="1:12">
      <c r="A1554" t="str">
        <f t="shared" si="24"/>
        <v>Hoeveveld 43</v>
      </c>
      <c r="B1554" t="s">
        <v>452</v>
      </c>
      <c r="C1554" t="s">
        <v>296</v>
      </c>
      <c r="D1554">
        <v>1994</v>
      </c>
      <c r="E1554">
        <v>522</v>
      </c>
      <c r="F1554" t="s">
        <v>451</v>
      </c>
      <c r="G1554">
        <v>43</v>
      </c>
    </row>
    <row r="1555" spans="1:12">
      <c r="A1555" t="str">
        <f t="shared" si="24"/>
        <v>Hoeveveld 44</v>
      </c>
      <c r="B1555" t="s">
        <v>450</v>
      </c>
      <c r="C1555" t="s">
        <v>296</v>
      </c>
      <c r="D1555">
        <v>2009</v>
      </c>
      <c r="E1555">
        <v>246</v>
      </c>
      <c r="F1555" t="s">
        <v>451</v>
      </c>
      <c r="G1555">
        <v>44</v>
      </c>
    </row>
    <row r="1556" spans="1:12">
      <c r="A1556" t="str">
        <f t="shared" si="24"/>
        <v>Hoeveveld 46</v>
      </c>
      <c r="B1556" t="s">
        <v>450</v>
      </c>
      <c r="C1556" t="s">
        <v>296</v>
      </c>
      <c r="D1556">
        <v>2009</v>
      </c>
      <c r="E1556">
        <v>214</v>
      </c>
      <c r="F1556" t="s">
        <v>451</v>
      </c>
      <c r="G1556">
        <v>46</v>
      </c>
    </row>
    <row r="1557" spans="1:12">
      <c r="A1557" t="str">
        <f t="shared" si="24"/>
        <v>Huissestraat 3</v>
      </c>
      <c r="B1557" t="s">
        <v>453</v>
      </c>
      <c r="C1557" t="s">
        <v>302</v>
      </c>
      <c r="D1557">
        <v>1925</v>
      </c>
      <c r="E1557">
        <v>2062</v>
      </c>
      <c r="F1557" t="s">
        <v>454</v>
      </c>
      <c r="G1557">
        <v>3</v>
      </c>
      <c r="L1557" s="31"/>
    </row>
    <row r="1558" spans="1:12">
      <c r="A1558" t="str">
        <f t="shared" si="24"/>
        <v>Huissestraat 5</v>
      </c>
      <c r="B1558" t="s">
        <v>453</v>
      </c>
      <c r="C1558" t="s">
        <v>302</v>
      </c>
      <c r="D1558">
        <v>1953</v>
      </c>
      <c r="E1558">
        <v>177</v>
      </c>
      <c r="F1558" t="s">
        <v>454</v>
      </c>
      <c r="G1558">
        <v>5</v>
      </c>
      <c r="L1558" s="31"/>
    </row>
    <row r="1559" spans="1:12">
      <c r="A1559" t="str">
        <f t="shared" si="24"/>
        <v>Huissestraat 7</v>
      </c>
      <c r="B1559" t="s">
        <v>453</v>
      </c>
      <c r="C1559" t="s">
        <v>302</v>
      </c>
      <c r="D1559">
        <v>1984</v>
      </c>
      <c r="E1559">
        <v>303</v>
      </c>
      <c r="F1559" t="s">
        <v>454</v>
      </c>
      <c r="G1559">
        <v>7</v>
      </c>
    </row>
    <row r="1560" spans="1:12">
      <c r="A1560" t="str">
        <f t="shared" si="24"/>
        <v>Iepenhof 2</v>
      </c>
      <c r="B1560" t="s">
        <v>455</v>
      </c>
      <c r="C1560" t="s">
        <v>296</v>
      </c>
      <c r="D1560">
        <v>1969</v>
      </c>
      <c r="E1560">
        <v>132</v>
      </c>
      <c r="F1560" t="s">
        <v>456</v>
      </c>
      <c r="G1560">
        <v>2</v>
      </c>
    </row>
    <row r="1561" spans="1:12">
      <c r="A1561" t="str">
        <f t="shared" si="24"/>
        <v>Iepenhof 4</v>
      </c>
      <c r="B1561" t="s">
        <v>455</v>
      </c>
      <c r="C1561" t="s">
        <v>296</v>
      </c>
      <c r="D1561">
        <v>1969</v>
      </c>
      <c r="E1561">
        <v>131</v>
      </c>
      <c r="F1561" t="s">
        <v>456</v>
      </c>
      <c r="G1561">
        <v>4</v>
      </c>
    </row>
    <row r="1562" spans="1:12">
      <c r="A1562" t="str">
        <f t="shared" si="24"/>
        <v>Iepenhof 6a</v>
      </c>
      <c r="B1562" t="s">
        <v>455</v>
      </c>
      <c r="C1562" t="s">
        <v>296</v>
      </c>
      <c r="D1562">
        <v>1972</v>
      </c>
      <c r="E1562">
        <v>19</v>
      </c>
      <c r="F1562" t="s">
        <v>456</v>
      </c>
      <c r="G1562">
        <v>6</v>
      </c>
      <c r="H1562" t="s">
        <v>304</v>
      </c>
    </row>
    <row r="1563" spans="1:12">
      <c r="A1563" t="str">
        <f t="shared" si="24"/>
        <v>Iepenhof 6b</v>
      </c>
      <c r="B1563" t="s">
        <v>455</v>
      </c>
      <c r="C1563" t="s">
        <v>296</v>
      </c>
      <c r="D1563">
        <v>1972</v>
      </c>
      <c r="E1563">
        <v>18</v>
      </c>
      <c r="F1563" t="s">
        <v>456</v>
      </c>
      <c r="G1563">
        <v>6</v>
      </c>
      <c r="H1563" t="s">
        <v>298</v>
      </c>
    </row>
    <row r="1564" spans="1:12">
      <c r="A1564" t="str">
        <f t="shared" si="24"/>
        <v>Iepenhof 6c</v>
      </c>
      <c r="B1564" t="s">
        <v>455</v>
      </c>
      <c r="C1564" t="s">
        <v>296</v>
      </c>
      <c r="D1564">
        <v>1972</v>
      </c>
      <c r="E1564">
        <v>19</v>
      </c>
      <c r="F1564" t="s">
        <v>456</v>
      </c>
      <c r="G1564">
        <v>6</v>
      </c>
      <c r="H1564" t="s">
        <v>299</v>
      </c>
    </row>
    <row r="1565" spans="1:12">
      <c r="A1565" t="str">
        <f t="shared" si="24"/>
        <v>Iepenhof 6d</v>
      </c>
      <c r="B1565" t="s">
        <v>455</v>
      </c>
      <c r="C1565" t="s">
        <v>296</v>
      </c>
      <c r="D1565">
        <v>1972</v>
      </c>
      <c r="E1565">
        <v>19</v>
      </c>
      <c r="F1565" t="s">
        <v>456</v>
      </c>
      <c r="G1565">
        <v>6</v>
      </c>
      <c r="H1565" t="s">
        <v>300</v>
      </c>
    </row>
    <row r="1566" spans="1:12">
      <c r="A1566" t="str">
        <f t="shared" si="24"/>
        <v>Iepenhof 6</v>
      </c>
      <c r="B1566" t="s">
        <v>455</v>
      </c>
      <c r="C1566" t="s">
        <v>296</v>
      </c>
      <c r="D1566">
        <v>1969</v>
      </c>
      <c r="E1566">
        <v>131</v>
      </c>
      <c r="F1566" t="s">
        <v>456</v>
      </c>
      <c r="G1566">
        <v>6</v>
      </c>
    </row>
    <row r="1567" spans="1:12">
      <c r="A1567" t="str">
        <f t="shared" si="24"/>
        <v>Iepenhof 8</v>
      </c>
      <c r="B1567" t="s">
        <v>455</v>
      </c>
      <c r="C1567" t="s">
        <v>296</v>
      </c>
      <c r="D1567">
        <v>1970</v>
      </c>
      <c r="E1567">
        <v>100</v>
      </c>
      <c r="F1567" t="s">
        <v>456</v>
      </c>
      <c r="G1567">
        <v>8</v>
      </c>
    </row>
    <row r="1568" spans="1:12">
      <c r="A1568" t="str">
        <f t="shared" si="24"/>
        <v>Iepenhof 10</v>
      </c>
      <c r="B1568" t="s">
        <v>455</v>
      </c>
      <c r="C1568" t="s">
        <v>296</v>
      </c>
      <c r="D1568">
        <v>1970</v>
      </c>
      <c r="E1568">
        <v>97</v>
      </c>
      <c r="F1568" t="s">
        <v>456</v>
      </c>
      <c r="G1568">
        <v>10</v>
      </c>
    </row>
    <row r="1569" spans="1:7">
      <c r="A1569" t="str">
        <f t="shared" si="24"/>
        <v>Iepenhof 12</v>
      </c>
      <c r="B1569" t="s">
        <v>455</v>
      </c>
      <c r="C1569" t="s">
        <v>296</v>
      </c>
      <c r="D1569">
        <v>1970</v>
      </c>
      <c r="E1569">
        <v>98</v>
      </c>
      <c r="F1569" t="s">
        <v>456</v>
      </c>
      <c r="G1569">
        <v>12</v>
      </c>
    </row>
    <row r="1570" spans="1:7">
      <c r="A1570" t="str">
        <f t="shared" si="24"/>
        <v>Iepenhof 14</v>
      </c>
      <c r="B1570" t="s">
        <v>455</v>
      </c>
      <c r="C1570" t="s">
        <v>296</v>
      </c>
      <c r="D1570">
        <v>1970</v>
      </c>
      <c r="E1570">
        <v>97</v>
      </c>
      <c r="F1570" t="s">
        <v>456</v>
      </c>
      <c r="G1570">
        <v>14</v>
      </c>
    </row>
    <row r="1571" spans="1:7">
      <c r="A1571" t="str">
        <f t="shared" si="24"/>
        <v>Iepenhof 16</v>
      </c>
      <c r="B1571" t="s">
        <v>455</v>
      </c>
      <c r="C1571" t="s">
        <v>296</v>
      </c>
      <c r="D1571">
        <v>1970</v>
      </c>
      <c r="E1571">
        <v>98</v>
      </c>
      <c r="F1571" t="s">
        <v>456</v>
      </c>
      <c r="G1571">
        <v>16</v>
      </c>
    </row>
    <row r="1572" spans="1:7">
      <c r="A1572" t="str">
        <f t="shared" si="24"/>
        <v>Iepenhof 18</v>
      </c>
      <c r="B1572" t="s">
        <v>455</v>
      </c>
      <c r="C1572" t="s">
        <v>296</v>
      </c>
      <c r="D1572">
        <v>1970</v>
      </c>
      <c r="E1572">
        <v>97</v>
      </c>
      <c r="F1572" t="s">
        <v>456</v>
      </c>
      <c r="G1572">
        <v>18</v>
      </c>
    </row>
    <row r="1573" spans="1:7">
      <c r="A1573" t="str">
        <f t="shared" si="24"/>
        <v>Iepenhof 20</v>
      </c>
      <c r="B1573" t="s">
        <v>455</v>
      </c>
      <c r="C1573" t="s">
        <v>296</v>
      </c>
      <c r="D1573">
        <v>1970</v>
      </c>
      <c r="E1573">
        <v>98</v>
      </c>
      <c r="F1573" t="s">
        <v>456</v>
      </c>
      <c r="G1573">
        <v>20</v>
      </c>
    </row>
    <row r="1574" spans="1:7">
      <c r="A1574" t="str">
        <f t="shared" si="24"/>
        <v>Jacques van Mourikpad 1</v>
      </c>
      <c r="B1574" t="s">
        <v>457</v>
      </c>
      <c r="C1574" t="s">
        <v>343</v>
      </c>
      <c r="D1574">
        <v>1974</v>
      </c>
      <c r="E1574">
        <v>360</v>
      </c>
      <c r="F1574" t="s">
        <v>458</v>
      </c>
      <c r="G1574">
        <v>1</v>
      </c>
    </row>
    <row r="1575" spans="1:7">
      <c r="A1575" t="str">
        <f t="shared" si="24"/>
        <v>Jacques van Mourikpad 3</v>
      </c>
      <c r="B1575" t="s">
        <v>457</v>
      </c>
      <c r="C1575" t="s">
        <v>343</v>
      </c>
      <c r="D1575">
        <v>1977</v>
      </c>
      <c r="E1575">
        <v>271</v>
      </c>
      <c r="F1575" t="s">
        <v>458</v>
      </c>
      <c r="G1575">
        <v>3</v>
      </c>
    </row>
    <row r="1576" spans="1:7">
      <c r="A1576" t="str">
        <f t="shared" si="24"/>
        <v>Jacques van Mourikpad 4</v>
      </c>
      <c r="B1576" t="s">
        <v>457</v>
      </c>
      <c r="C1576" t="s">
        <v>343</v>
      </c>
      <c r="D1576">
        <v>1975</v>
      </c>
      <c r="E1576">
        <v>311</v>
      </c>
      <c r="F1576" t="s">
        <v>458</v>
      </c>
      <c r="G1576">
        <v>4</v>
      </c>
    </row>
    <row r="1577" spans="1:7">
      <c r="A1577" t="str">
        <f t="shared" si="24"/>
        <v>Jacques van Mourikpad 5</v>
      </c>
      <c r="B1577" t="s">
        <v>457</v>
      </c>
      <c r="C1577" t="s">
        <v>343</v>
      </c>
      <c r="D1577">
        <v>1974</v>
      </c>
      <c r="E1577">
        <v>230</v>
      </c>
      <c r="F1577" t="s">
        <v>458</v>
      </c>
      <c r="G1577">
        <v>5</v>
      </c>
    </row>
    <row r="1578" spans="1:7">
      <c r="A1578" t="str">
        <f t="shared" si="24"/>
        <v>Jacques van Mourikpad 6</v>
      </c>
      <c r="B1578" t="s">
        <v>457</v>
      </c>
      <c r="C1578" t="s">
        <v>343</v>
      </c>
      <c r="D1578">
        <v>1972</v>
      </c>
      <c r="E1578">
        <v>288</v>
      </c>
      <c r="F1578" t="s">
        <v>458</v>
      </c>
      <c r="G1578">
        <v>6</v>
      </c>
    </row>
    <row r="1579" spans="1:7">
      <c r="A1579" t="str">
        <f t="shared" si="24"/>
        <v>Jacques van Mourikpad 8</v>
      </c>
      <c r="B1579" t="s">
        <v>457</v>
      </c>
      <c r="C1579" t="s">
        <v>343</v>
      </c>
      <c r="D1579">
        <v>1974</v>
      </c>
      <c r="E1579">
        <v>415</v>
      </c>
      <c r="F1579" t="s">
        <v>458</v>
      </c>
      <c r="G1579">
        <v>8</v>
      </c>
    </row>
    <row r="1580" spans="1:7">
      <c r="A1580" t="str">
        <f t="shared" si="24"/>
        <v>Jacques van Mourikpad 10</v>
      </c>
      <c r="B1580" t="s">
        <v>457</v>
      </c>
      <c r="C1580" t="s">
        <v>343</v>
      </c>
      <c r="D1580">
        <v>1976</v>
      </c>
      <c r="E1580">
        <v>308</v>
      </c>
      <c r="F1580" t="s">
        <v>458</v>
      </c>
      <c r="G1580">
        <v>10</v>
      </c>
    </row>
    <row r="1581" spans="1:7">
      <c r="A1581" t="str">
        <f t="shared" si="24"/>
        <v>Johan van Kleefstraat 1</v>
      </c>
      <c r="B1581" t="s">
        <v>459</v>
      </c>
      <c r="C1581" t="s">
        <v>296</v>
      </c>
      <c r="D1581">
        <v>1964</v>
      </c>
      <c r="E1581">
        <v>167</v>
      </c>
      <c r="F1581" t="s">
        <v>460</v>
      </c>
      <c r="G1581">
        <v>1</v>
      </c>
    </row>
    <row r="1582" spans="1:7">
      <c r="A1582" t="str">
        <f t="shared" si="24"/>
        <v>Johan van Kleefstraat 2</v>
      </c>
      <c r="B1582" t="s">
        <v>459</v>
      </c>
      <c r="C1582" t="s">
        <v>296</v>
      </c>
      <c r="D1582">
        <v>1965</v>
      </c>
      <c r="E1582">
        <v>146</v>
      </c>
      <c r="F1582" t="s">
        <v>460</v>
      </c>
      <c r="G1582">
        <v>2</v>
      </c>
    </row>
    <row r="1583" spans="1:7">
      <c r="A1583" t="str">
        <f t="shared" si="24"/>
        <v>Johan van Kleefstraat 3</v>
      </c>
      <c r="B1583" t="s">
        <v>459</v>
      </c>
      <c r="C1583" t="s">
        <v>296</v>
      </c>
      <c r="D1583">
        <v>1964</v>
      </c>
      <c r="E1583">
        <v>92</v>
      </c>
      <c r="F1583" t="s">
        <v>460</v>
      </c>
      <c r="G1583">
        <v>3</v>
      </c>
    </row>
    <row r="1584" spans="1:7">
      <c r="A1584" t="str">
        <f t="shared" si="24"/>
        <v>Johan van Kleefstraat 4</v>
      </c>
      <c r="B1584" t="s">
        <v>459</v>
      </c>
      <c r="C1584" t="s">
        <v>296</v>
      </c>
      <c r="D1584">
        <v>1965</v>
      </c>
      <c r="E1584">
        <v>145</v>
      </c>
      <c r="F1584" t="s">
        <v>460</v>
      </c>
      <c r="G1584">
        <v>4</v>
      </c>
    </row>
    <row r="1585" spans="1:7">
      <c r="A1585" t="str">
        <f t="shared" si="24"/>
        <v>Johan van Kleefstraat 5</v>
      </c>
      <c r="B1585" t="s">
        <v>459</v>
      </c>
      <c r="C1585" t="s">
        <v>296</v>
      </c>
      <c r="D1585">
        <v>1964</v>
      </c>
      <c r="E1585">
        <v>100</v>
      </c>
      <c r="F1585" t="s">
        <v>460</v>
      </c>
      <c r="G1585">
        <v>5</v>
      </c>
    </row>
    <row r="1586" spans="1:7">
      <c r="A1586" t="str">
        <f t="shared" si="24"/>
        <v>Johan van Kleefstraat 6</v>
      </c>
      <c r="B1586" t="s">
        <v>459</v>
      </c>
      <c r="C1586" t="s">
        <v>296</v>
      </c>
      <c r="D1586">
        <v>1966</v>
      </c>
      <c r="E1586">
        <v>156</v>
      </c>
      <c r="F1586" t="s">
        <v>460</v>
      </c>
      <c r="G1586">
        <v>6</v>
      </c>
    </row>
    <row r="1587" spans="1:7">
      <c r="A1587" t="str">
        <f t="shared" si="24"/>
        <v>Johan van Kleefstraat 7</v>
      </c>
      <c r="B1587" t="s">
        <v>459</v>
      </c>
      <c r="C1587" t="s">
        <v>296</v>
      </c>
      <c r="D1587">
        <v>1964</v>
      </c>
      <c r="E1587">
        <v>137</v>
      </c>
      <c r="F1587" t="s">
        <v>460</v>
      </c>
      <c r="G1587">
        <v>7</v>
      </c>
    </row>
    <row r="1588" spans="1:7">
      <c r="A1588" t="str">
        <f t="shared" si="24"/>
        <v>Johan van Kleefstraat 8</v>
      </c>
      <c r="B1588" t="s">
        <v>459</v>
      </c>
      <c r="C1588" t="s">
        <v>296</v>
      </c>
      <c r="D1588">
        <v>1966</v>
      </c>
      <c r="E1588">
        <v>132</v>
      </c>
      <c r="F1588" t="s">
        <v>460</v>
      </c>
      <c r="G1588">
        <v>8</v>
      </c>
    </row>
    <row r="1589" spans="1:7">
      <c r="A1589" t="str">
        <f t="shared" si="24"/>
        <v>Johan van Kleefstraat 9</v>
      </c>
      <c r="B1589" t="s">
        <v>459</v>
      </c>
      <c r="C1589" t="s">
        <v>296</v>
      </c>
      <c r="D1589">
        <v>1964</v>
      </c>
      <c r="E1589">
        <v>135</v>
      </c>
      <c r="F1589" t="s">
        <v>460</v>
      </c>
      <c r="G1589">
        <v>9</v>
      </c>
    </row>
    <row r="1590" spans="1:7">
      <c r="A1590" t="str">
        <f t="shared" si="24"/>
        <v>Johan van Kleefstraat 10</v>
      </c>
      <c r="B1590" t="s">
        <v>459</v>
      </c>
      <c r="C1590" t="s">
        <v>296</v>
      </c>
      <c r="D1590">
        <v>1966</v>
      </c>
      <c r="E1590">
        <v>156</v>
      </c>
      <c r="F1590" t="s">
        <v>460</v>
      </c>
      <c r="G1590">
        <v>10</v>
      </c>
    </row>
    <row r="1591" spans="1:7">
      <c r="A1591" t="str">
        <f t="shared" si="24"/>
        <v>Johan van Kleefstraat 11</v>
      </c>
      <c r="B1591" t="s">
        <v>459</v>
      </c>
      <c r="C1591" t="s">
        <v>296</v>
      </c>
      <c r="D1591">
        <v>1964</v>
      </c>
      <c r="E1591">
        <v>155</v>
      </c>
      <c r="F1591" t="s">
        <v>460</v>
      </c>
      <c r="G1591">
        <v>11</v>
      </c>
    </row>
    <row r="1592" spans="1:7">
      <c r="A1592" t="str">
        <f t="shared" si="24"/>
        <v>Johan van Kleefstraat 12</v>
      </c>
      <c r="B1592" t="s">
        <v>459</v>
      </c>
      <c r="C1592" t="s">
        <v>296</v>
      </c>
      <c r="D1592">
        <v>1966</v>
      </c>
      <c r="E1592">
        <v>157</v>
      </c>
      <c r="F1592" t="s">
        <v>460</v>
      </c>
      <c r="G1592">
        <v>12</v>
      </c>
    </row>
    <row r="1593" spans="1:7">
      <c r="A1593" t="str">
        <f t="shared" si="24"/>
        <v>Johan van Kleefstraat 13</v>
      </c>
      <c r="B1593" t="s">
        <v>459</v>
      </c>
      <c r="C1593" t="s">
        <v>296</v>
      </c>
      <c r="D1593">
        <v>1964</v>
      </c>
      <c r="E1593">
        <v>199</v>
      </c>
      <c r="F1593" t="s">
        <v>460</v>
      </c>
      <c r="G1593">
        <v>13</v>
      </c>
    </row>
    <row r="1594" spans="1:7">
      <c r="A1594" t="str">
        <f t="shared" si="24"/>
        <v>Johan van Kleefstraat 14</v>
      </c>
      <c r="B1594" t="s">
        <v>459</v>
      </c>
      <c r="C1594" t="s">
        <v>296</v>
      </c>
      <c r="D1594">
        <v>1964</v>
      </c>
      <c r="E1594">
        <v>118</v>
      </c>
      <c r="F1594" t="s">
        <v>460</v>
      </c>
      <c r="G1594">
        <v>14</v>
      </c>
    </row>
    <row r="1595" spans="1:7">
      <c r="A1595" t="str">
        <f t="shared" si="24"/>
        <v>Johan van Kleefstraat 15</v>
      </c>
      <c r="B1595" t="s">
        <v>459</v>
      </c>
      <c r="C1595" t="s">
        <v>296</v>
      </c>
      <c r="D1595">
        <v>1964</v>
      </c>
      <c r="E1595">
        <v>117</v>
      </c>
      <c r="F1595" t="s">
        <v>460</v>
      </c>
      <c r="G1595">
        <v>15</v>
      </c>
    </row>
    <row r="1596" spans="1:7">
      <c r="A1596" t="str">
        <f t="shared" si="24"/>
        <v>Johan van Kleefstraat 16</v>
      </c>
      <c r="B1596" t="s">
        <v>459</v>
      </c>
      <c r="C1596" t="s">
        <v>296</v>
      </c>
      <c r="D1596">
        <v>1964</v>
      </c>
      <c r="E1596">
        <v>149</v>
      </c>
      <c r="F1596" t="s">
        <v>460</v>
      </c>
      <c r="G1596">
        <v>16</v>
      </c>
    </row>
    <row r="1597" spans="1:7">
      <c r="A1597" t="str">
        <f t="shared" si="24"/>
        <v>Johan van Kleefstraat 17</v>
      </c>
      <c r="B1597" t="s">
        <v>459</v>
      </c>
      <c r="C1597" t="s">
        <v>296</v>
      </c>
      <c r="D1597">
        <v>1964</v>
      </c>
      <c r="E1597">
        <v>98</v>
      </c>
      <c r="F1597" t="s">
        <v>460</v>
      </c>
      <c r="G1597">
        <v>17</v>
      </c>
    </row>
    <row r="1598" spans="1:7">
      <c r="A1598" t="str">
        <f t="shared" si="24"/>
        <v>Johan van Kleefstraat 19</v>
      </c>
      <c r="B1598" t="s">
        <v>459</v>
      </c>
      <c r="C1598" t="s">
        <v>296</v>
      </c>
      <c r="D1598">
        <v>1964</v>
      </c>
      <c r="E1598">
        <v>125</v>
      </c>
      <c r="F1598" t="s">
        <v>460</v>
      </c>
      <c r="G1598">
        <v>19</v>
      </c>
    </row>
    <row r="1599" spans="1:7">
      <c r="A1599" t="str">
        <f t="shared" si="24"/>
        <v>Jonkerlaan 1</v>
      </c>
      <c r="B1599" t="s">
        <v>461</v>
      </c>
      <c r="C1599" t="s">
        <v>296</v>
      </c>
      <c r="D1599">
        <v>1968</v>
      </c>
      <c r="E1599">
        <v>145</v>
      </c>
      <c r="F1599" t="s">
        <v>462</v>
      </c>
      <c r="G1599">
        <v>1</v>
      </c>
    </row>
    <row r="1600" spans="1:7">
      <c r="A1600" t="str">
        <f t="shared" si="24"/>
        <v>Jonkerlaan 2</v>
      </c>
      <c r="B1600" t="s">
        <v>461</v>
      </c>
      <c r="C1600" t="s">
        <v>296</v>
      </c>
      <c r="D1600">
        <v>1970</v>
      </c>
      <c r="E1600">
        <v>116</v>
      </c>
      <c r="F1600" t="s">
        <v>462</v>
      </c>
      <c r="G1600">
        <v>2</v>
      </c>
    </row>
    <row r="1601" spans="1:8">
      <c r="A1601" t="str">
        <f t="shared" si="24"/>
        <v>Jonkerlaan 3</v>
      </c>
      <c r="B1601" t="s">
        <v>461</v>
      </c>
      <c r="C1601" t="s">
        <v>296</v>
      </c>
      <c r="D1601">
        <v>1968</v>
      </c>
      <c r="E1601">
        <v>178</v>
      </c>
      <c r="F1601" t="s">
        <v>462</v>
      </c>
      <c r="G1601">
        <v>3</v>
      </c>
    </row>
    <row r="1602" spans="1:8">
      <c r="A1602" t="str">
        <f t="shared" ref="A1602:A1665" si="25">CONCATENATE(F1602," ",G1602,H1602)</f>
        <v>Jonkerlaan 4</v>
      </c>
      <c r="B1602" t="s">
        <v>461</v>
      </c>
      <c r="C1602" t="s">
        <v>296</v>
      </c>
      <c r="D1602">
        <v>1970</v>
      </c>
      <c r="E1602">
        <v>117</v>
      </c>
      <c r="F1602" t="s">
        <v>462</v>
      </c>
      <c r="G1602">
        <v>4</v>
      </c>
    </row>
    <row r="1603" spans="1:8">
      <c r="A1603" t="str">
        <f t="shared" si="25"/>
        <v>Jonkerlaan 5</v>
      </c>
      <c r="B1603" t="s">
        <v>461</v>
      </c>
      <c r="C1603" t="s">
        <v>296</v>
      </c>
      <c r="D1603">
        <v>1968</v>
      </c>
      <c r="E1603">
        <v>179</v>
      </c>
      <c r="F1603" t="s">
        <v>462</v>
      </c>
      <c r="G1603">
        <v>5</v>
      </c>
    </row>
    <row r="1604" spans="1:8">
      <c r="A1604" t="str">
        <f t="shared" si="25"/>
        <v>Jonkerlaan 6</v>
      </c>
      <c r="B1604" t="s">
        <v>461</v>
      </c>
      <c r="C1604" t="s">
        <v>296</v>
      </c>
      <c r="D1604">
        <v>1970</v>
      </c>
      <c r="E1604">
        <v>117</v>
      </c>
      <c r="F1604" t="s">
        <v>462</v>
      </c>
      <c r="G1604">
        <v>6</v>
      </c>
    </row>
    <row r="1605" spans="1:8">
      <c r="A1605" t="str">
        <f t="shared" si="25"/>
        <v>Jonkerlaan 7</v>
      </c>
      <c r="B1605" t="s">
        <v>461</v>
      </c>
      <c r="C1605" t="s">
        <v>296</v>
      </c>
      <c r="D1605">
        <v>1968</v>
      </c>
      <c r="E1605">
        <v>192</v>
      </c>
      <c r="F1605" t="s">
        <v>462</v>
      </c>
      <c r="G1605">
        <v>7</v>
      </c>
    </row>
    <row r="1606" spans="1:8">
      <c r="A1606" t="str">
        <f t="shared" si="25"/>
        <v>Jonkerlaan 8</v>
      </c>
      <c r="B1606" t="s">
        <v>461</v>
      </c>
      <c r="C1606" t="s">
        <v>296</v>
      </c>
      <c r="D1606">
        <v>1970</v>
      </c>
      <c r="E1606">
        <v>116</v>
      </c>
      <c r="F1606" t="s">
        <v>462</v>
      </c>
      <c r="G1606">
        <v>8</v>
      </c>
    </row>
    <row r="1607" spans="1:8">
      <c r="A1607" t="str">
        <f t="shared" si="25"/>
        <v>Kampweg 1</v>
      </c>
      <c r="B1607" t="s">
        <v>463</v>
      </c>
      <c r="C1607" t="s">
        <v>302</v>
      </c>
      <c r="D1607">
        <v>2021</v>
      </c>
      <c r="E1607">
        <v>192</v>
      </c>
      <c r="F1607" t="s">
        <v>464</v>
      </c>
      <c r="G1607">
        <v>1</v>
      </c>
    </row>
    <row r="1608" spans="1:8">
      <c r="A1608" t="str">
        <f t="shared" si="25"/>
        <v>Kampweg 2</v>
      </c>
      <c r="B1608" t="s">
        <v>463</v>
      </c>
      <c r="C1608" t="s">
        <v>302</v>
      </c>
      <c r="D1608">
        <v>1968</v>
      </c>
      <c r="E1608">
        <v>149</v>
      </c>
      <c r="F1608" t="s">
        <v>464</v>
      </c>
      <c r="G1608">
        <v>2</v>
      </c>
    </row>
    <row r="1609" spans="1:8">
      <c r="A1609" t="str">
        <f t="shared" si="25"/>
        <v>Kampweg 3</v>
      </c>
      <c r="B1609" t="s">
        <v>463</v>
      </c>
      <c r="C1609" t="s">
        <v>302</v>
      </c>
      <c r="D1609">
        <v>1974</v>
      </c>
      <c r="E1609">
        <v>174</v>
      </c>
      <c r="F1609" t="s">
        <v>464</v>
      </c>
      <c r="G1609">
        <v>3</v>
      </c>
    </row>
    <row r="1610" spans="1:8">
      <c r="A1610" t="str">
        <f t="shared" si="25"/>
        <v>Kampweg 4</v>
      </c>
      <c r="B1610" t="s">
        <v>463</v>
      </c>
      <c r="C1610" t="s">
        <v>302</v>
      </c>
      <c r="D1610">
        <v>1965</v>
      </c>
      <c r="E1610">
        <v>165</v>
      </c>
      <c r="F1610" t="s">
        <v>464</v>
      </c>
      <c r="G1610">
        <v>4</v>
      </c>
    </row>
    <row r="1611" spans="1:8">
      <c r="A1611" t="str">
        <f t="shared" si="25"/>
        <v>Kampweg 6</v>
      </c>
      <c r="B1611" t="s">
        <v>463</v>
      </c>
      <c r="C1611" t="s">
        <v>302</v>
      </c>
      <c r="D1611">
        <v>1967</v>
      </c>
      <c r="E1611">
        <v>206</v>
      </c>
      <c r="F1611" t="s">
        <v>464</v>
      </c>
      <c r="G1611">
        <v>6</v>
      </c>
    </row>
    <row r="1612" spans="1:8">
      <c r="A1612" t="str">
        <f t="shared" si="25"/>
        <v>Kampweg 8</v>
      </c>
      <c r="B1612" t="s">
        <v>463</v>
      </c>
      <c r="C1612" t="s">
        <v>302</v>
      </c>
      <c r="D1612">
        <v>1966</v>
      </c>
      <c r="E1612">
        <v>117</v>
      </c>
      <c r="F1612" t="s">
        <v>464</v>
      </c>
      <c r="G1612">
        <v>8</v>
      </c>
    </row>
    <row r="1613" spans="1:8">
      <c r="A1613" t="str">
        <f t="shared" si="25"/>
        <v>Kampweg 10</v>
      </c>
      <c r="B1613" t="s">
        <v>463</v>
      </c>
      <c r="C1613" t="s">
        <v>302</v>
      </c>
      <c r="D1613">
        <v>1953</v>
      </c>
      <c r="E1613">
        <v>270</v>
      </c>
      <c r="F1613" t="s">
        <v>464</v>
      </c>
      <c r="G1613">
        <v>10</v>
      </c>
    </row>
    <row r="1614" spans="1:8">
      <c r="A1614" t="str">
        <f t="shared" si="25"/>
        <v>Kanaalweg 2a</v>
      </c>
      <c r="B1614" t="s">
        <v>465</v>
      </c>
      <c r="C1614" t="s">
        <v>306</v>
      </c>
      <c r="D1614">
        <v>2001</v>
      </c>
      <c r="E1614">
        <v>87</v>
      </c>
      <c r="F1614" t="s">
        <v>466</v>
      </c>
      <c r="G1614">
        <v>2</v>
      </c>
      <c r="H1614" t="s">
        <v>304</v>
      </c>
    </row>
    <row r="1615" spans="1:8">
      <c r="A1615" t="str">
        <f t="shared" si="25"/>
        <v>Kanaalweg 2b</v>
      </c>
      <c r="B1615" t="s">
        <v>465</v>
      </c>
      <c r="C1615" t="s">
        <v>306</v>
      </c>
      <c r="D1615">
        <v>2001</v>
      </c>
      <c r="E1615">
        <v>77</v>
      </c>
      <c r="F1615" t="s">
        <v>466</v>
      </c>
      <c r="G1615">
        <v>2</v>
      </c>
      <c r="H1615" t="s">
        <v>298</v>
      </c>
    </row>
    <row r="1616" spans="1:8">
      <c r="A1616" t="str">
        <f t="shared" si="25"/>
        <v>Kanaalweg 2c</v>
      </c>
      <c r="B1616" t="s">
        <v>465</v>
      </c>
      <c r="C1616" t="s">
        <v>306</v>
      </c>
      <c r="D1616">
        <v>2001</v>
      </c>
      <c r="E1616">
        <v>80</v>
      </c>
      <c r="F1616" t="s">
        <v>466</v>
      </c>
      <c r="G1616">
        <v>2</v>
      </c>
      <c r="H1616" t="s">
        <v>299</v>
      </c>
    </row>
    <row r="1617" spans="1:8">
      <c r="A1617" t="str">
        <f t="shared" si="25"/>
        <v>Kanaalweg 2</v>
      </c>
      <c r="B1617" t="s">
        <v>465</v>
      </c>
      <c r="C1617" t="s">
        <v>306</v>
      </c>
      <c r="D1617">
        <v>2001</v>
      </c>
      <c r="E1617">
        <v>87</v>
      </c>
      <c r="F1617" t="s">
        <v>466</v>
      </c>
      <c r="G1617">
        <v>2</v>
      </c>
    </row>
    <row r="1618" spans="1:8">
      <c r="A1618" t="str">
        <f t="shared" si="25"/>
        <v>Kanaalweg 4a</v>
      </c>
      <c r="B1618" t="s">
        <v>465</v>
      </c>
      <c r="C1618" t="s">
        <v>306</v>
      </c>
      <c r="D1618">
        <v>2001</v>
      </c>
      <c r="E1618">
        <v>93</v>
      </c>
      <c r="F1618" t="s">
        <v>466</v>
      </c>
      <c r="G1618">
        <v>4</v>
      </c>
      <c r="H1618" t="s">
        <v>304</v>
      </c>
    </row>
    <row r="1619" spans="1:8">
      <c r="A1619" t="str">
        <f t="shared" si="25"/>
        <v>Kanaalweg 4b</v>
      </c>
      <c r="B1619" t="s">
        <v>465</v>
      </c>
      <c r="C1619" t="s">
        <v>306</v>
      </c>
      <c r="D1619">
        <v>2001</v>
      </c>
      <c r="E1619">
        <v>77</v>
      </c>
      <c r="F1619" t="s">
        <v>466</v>
      </c>
      <c r="G1619">
        <v>4</v>
      </c>
      <c r="H1619" t="s">
        <v>298</v>
      </c>
    </row>
    <row r="1620" spans="1:8">
      <c r="A1620" t="str">
        <f t="shared" si="25"/>
        <v>Kanaalweg 4c</v>
      </c>
      <c r="B1620" t="s">
        <v>465</v>
      </c>
      <c r="C1620" t="s">
        <v>306</v>
      </c>
      <c r="D1620">
        <v>2001</v>
      </c>
      <c r="E1620">
        <v>79</v>
      </c>
      <c r="F1620" t="s">
        <v>466</v>
      </c>
      <c r="G1620">
        <v>4</v>
      </c>
      <c r="H1620" t="s">
        <v>299</v>
      </c>
    </row>
    <row r="1621" spans="1:8">
      <c r="A1621" t="str">
        <f t="shared" si="25"/>
        <v>Kanaalweg 4</v>
      </c>
      <c r="B1621" t="s">
        <v>465</v>
      </c>
      <c r="C1621" t="s">
        <v>306</v>
      </c>
      <c r="D1621">
        <v>2001</v>
      </c>
      <c r="E1621">
        <v>91</v>
      </c>
      <c r="F1621" t="s">
        <v>466</v>
      </c>
      <c r="G1621">
        <v>4</v>
      </c>
    </row>
    <row r="1622" spans="1:8">
      <c r="A1622" t="str">
        <f t="shared" si="25"/>
        <v>Kanaalweg 6</v>
      </c>
      <c r="B1622" t="s">
        <v>465</v>
      </c>
      <c r="C1622" t="s">
        <v>306</v>
      </c>
      <c r="D1622">
        <v>1999</v>
      </c>
      <c r="E1622">
        <v>161</v>
      </c>
      <c r="F1622" t="s">
        <v>466</v>
      </c>
      <c r="G1622">
        <v>6</v>
      </c>
    </row>
    <row r="1623" spans="1:8">
      <c r="A1623" t="str">
        <f t="shared" si="25"/>
        <v>Kanaalweg 8a</v>
      </c>
      <c r="B1623" t="s">
        <v>465</v>
      </c>
      <c r="C1623" t="s">
        <v>306</v>
      </c>
      <c r="D1623">
        <v>2018</v>
      </c>
      <c r="E1623">
        <v>142</v>
      </c>
      <c r="F1623" t="s">
        <v>466</v>
      </c>
      <c r="G1623">
        <v>8</v>
      </c>
      <c r="H1623" t="s">
        <v>304</v>
      </c>
    </row>
    <row r="1624" spans="1:8">
      <c r="A1624" t="str">
        <f t="shared" si="25"/>
        <v>Kanaalweg 8b</v>
      </c>
      <c r="B1624" t="s">
        <v>465</v>
      </c>
      <c r="C1624" t="s">
        <v>306</v>
      </c>
      <c r="D1624">
        <v>2016</v>
      </c>
      <c r="E1624">
        <v>187</v>
      </c>
      <c r="F1624" t="s">
        <v>466</v>
      </c>
      <c r="G1624">
        <v>8</v>
      </c>
      <c r="H1624" t="s">
        <v>298</v>
      </c>
    </row>
    <row r="1625" spans="1:8">
      <c r="A1625" t="str">
        <f t="shared" si="25"/>
        <v>Kanaalweg 8</v>
      </c>
      <c r="B1625" t="s">
        <v>465</v>
      </c>
      <c r="C1625" t="s">
        <v>306</v>
      </c>
      <c r="D1625">
        <v>2020</v>
      </c>
      <c r="E1625">
        <v>135</v>
      </c>
      <c r="F1625" t="s">
        <v>466</v>
      </c>
      <c r="G1625">
        <v>8</v>
      </c>
    </row>
    <row r="1626" spans="1:8">
      <c r="A1626" t="str">
        <f t="shared" si="25"/>
        <v>Kanaalweg 10a</v>
      </c>
      <c r="B1626" t="s">
        <v>465</v>
      </c>
      <c r="C1626" t="s">
        <v>306</v>
      </c>
      <c r="D1626">
        <v>1992</v>
      </c>
      <c r="E1626">
        <v>311</v>
      </c>
      <c r="F1626" t="s">
        <v>466</v>
      </c>
      <c r="G1626">
        <v>10</v>
      </c>
      <c r="H1626" t="s">
        <v>304</v>
      </c>
    </row>
    <row r="1627" spans="1:8">
      <c r="A1627" t="str">
        <f t="shared" si="25"/>
        <v>Kanaalweg 10</v>
      </c>
      <c r="B1627" t="s">
        <v>465</v>
      </c>
      <c r="C1627" t="s">
        <v>306</v>
      </c>
      <c r="D1627">
        <v>1938</v>
      </c>
      <c r="E1627">
        <v>143</v>
      </c>
      <c r="F1627" t="s">
        <v>466</v>
      </c>
      <c r="G1627">
        <v>10</v>
      </c>
    </row>
    <row r="1628" spans="1:8">
      <c r="A1628" t="str">
        <f t="shared" si="25"/>
        <v>Kanaalweg 12</v>
      </c>
      <c r="B1628" t="s">
        <v>465</v>
      </c>
      <c r="C1628" t="s">
        <v>306</v>
      </c>
      <c r="D1628">
        <v>1972</v>
      </c>
      <c r="E1628">
        <v>139</v>
      </c>
      <c r="F1628" t="s">
        <v>466</v>
      </c>
      <c r="G1628">
        <v>12</v>
      </c>
    </row>
    <row r="1629" spans="1:8">
      <c r="A1629" t="str">
        <f t="shared" si="25"/>
        <v>Kanaalweg 14a</v>
      </c>
      <c r="B1629" t="s">
        <v>465</v>
      </c>
      <c r="C1629" t="s">
        <v>306</v>
      </c>
      <c r="D1629">
        <v>2002</v>
      </c>
      <c r="E1629">
        <v>275</v>
      </c>
      <c r="F1629" t="s">
        <v>466</v>
      </c>
      <c r="G1629">
        <v>14</v>
      </c>
      <c r="H1629" t="s">
        <v>304</v>
      </c>
    </row>
    <row r="1630" spans="1:8">
      <c r="A1630" t="str">
        <f t="shared" si="25"/>
        <v>Kanaalweg 14</v>
      </c>
      <c r="B1630" t="s">
        <v>465</v>
      </c>
      <c r="C1630" t="s">
        <v>306</v>
      </c>
      <c r="D1630">
        <v>1970</v>
      </c>
      <c r="E1630">
        <v>264</v>
      </c>
      <c r="F1630" t="s">
        <v>466</v>
      </c>
      <c r="G1630">
        <v>14</v>
      </c>
    </row>
    <row r="1631" spans="1:8">
      <c r="A1631" t="str">
        <f t="shared" si="25"/>
        <v>Kapittelweg 1</v>
      </c>
      <c r="B1631" t="s">
        <v>467</v>
      </c>
      <c r="C1631" t="s">
        <v>296</v>
      </c>
      <c r="D1631">
        <v>2020</v>
      </c>
      <c r="E1631">
        <v>218</v>
      </c>
      <c r="F1631" t="s">
        <v>468</v>
      </c>
      <c r="G1631">
        <v>1</v>
      </c>
    </row>
    <row r="1632" spans="1:8">
      <c r="A1632" t="str">
        <f t="shared" si="25"/>
        <v>Kapittelweg 2</v>
      </c>
      <c r="B1632" t="s">
        <v>469</v>
      </c>
      <c r="C1632" t="s">
        <v>296</v>
      </c>
      <c r="D1632">
        <v>2012</v>
      </c>
      <c r="E1632">
        <v>74</v>
      </c>
      <c r="F1632" t="s">
        <v>468</v>
      </c>
      <c r="G1632">
        <v>2</v>
      </c>
    </row>
    <row r="1633" spans="1:7">
      <c r="A1633" t="str">
        <f t="shared" si="25"/>
        <v>Kapittelweg 3</v>
      </c>
      <c r="B1633" t="s">
        <v>467</v>
      </c>
      <c r="C1633" t="s">
        <v>296</v>
      </c>
      <c r="D1633">
        <v>2016</v>
      </c>
      <c r="E1633">
        <v>231</v>
      </c>
      <c r="F1633" t="s">
        <v>468</v>
      </c>
      <c r="G1633">
        <v>3</v>
      </c>
    </row>
    <row r="1634" spans="1:7">
      <c r="A1634" t="str">
        <f t="shared" si="25"/>
        <v>Kapittelweg 4</v>
      </c>
      <c r="B1634" t="s">
        <v>469</v>
      </c>
      <c r="C1634" t="s">
        <v>296</v>
      </c>
      <c r="D1634">
        <v>2012</v>
      </c>
      <c r="E1634">
        <v>74</v>
      </c>
      <c r="F1634" t="s">
        <v>468</v>
      </c>
      <c r="G1634">
        <v>4</v>
      </c>
    </row>
    <row r="1635" spans="1:7">
      <c r="A1635" t="str">
        <f t="shared" si="25"/>
        <v>Kapittelweg 5</v>
      </c>
      <c r="B1635" t="s">
        <v>467</v>
      </c>
      <c r="C1635" t="s">
        <v>296</v>
      </c>
      <c r="D1635">
        <v>2020</v>
      </c>
      <c r="E1635">
        <v>183</v>
      </c>
      <c r="F1635" t="s">
        <v>468</v>
      </c>
      <c r="G1635">
        <v>5</v>
      </c>
    </row>
    <row r="1636" spans="1:7">
      <c r="A1636" t="str">
        <f t="shared" si="25"/>
        <v>Kapittelweg 6</v>
      </c>
      <c r="B1636" t="s">
        <v>469</v>
      </c>
      <c r="C1636" t="s">
        <v>296</v>
      </c>
      <c r="D1636">
        <v>2012</v>
      </c>
      <c r="E1636">
        <v>86</v>
      </c>
      <c r="F1636" t="s">
        <v>468</v>
      </c>
      <c r="G1636">
        <v>6</v>
      </c>
    </row>
    <row r="1637" spans="1:7">
      <c r="A1637" t="str">
        <f t="shared" si="25"/>
        <v>Kapittelweg 7</v>
      </c>
      <c r="B1637" t="s">
        <v>467</v>
      </c>
      <c r="C1637" t="s">
        <v>296</v>
      </c>
      <c r="D1637">
        <v>2020</v>
      </c>
      <c r="E1637">
        <v>142</v>
      </c>
      <c r="F1637" t="s">
        <v>468</v>
      </c>
      <c r="G1637">
        <v>7</v>
      </c>
    </row>
    <row r="1638" spans="1:7">
      <c r="A1638" t="str">
        <f t="shared" si="25"/>
        <v>Kapittelweg 8</v>
      </c>
      <c r="B1638" t="s">
        <v>469</v>
      </c>
      <c r="C1638" t="s">
        <v>296</v>
      </c>
      <c r="D1638">
        <v>2012</v>
      </c>
      <c r="E1638">
        <v>86</v>
      </c>
      <c r="F1638" t="s">
        <v>468</v>
      </c>
      <c r="G1638">
        <v>8</v>
      </c>
    </row>
    <row r="1639" spans="1:7">
      <c r="A1639" t="str">
        <f t="shared" si="25"/>
        <v>Kapittelweg 10</v>
      </c>
      <c r="B1639" t="s">
        <v>469</v>
      </c>
      <c r="C1639" t="s">
        <v>296</v>
      </c>
      <c r="D1639">
        <v>2012</v>
      </c>
      <c r="E1639">
        <v>74</v>
      </c>
      <c r="F1639" t="s">
        <v>468</v>
      </c>
      <c r="G1639">
        <v>10</v>
      </c>
    </row>
    <row r="1640" spans="1:7">
      <c r="A1640" t="str">
        <f t="shared" si="25"/>
        <v>Kapittelweg 12</v>
      </c>
      <c r="B1640" t="s">
        <v>469</v>
      </c>
      <c r="C1640" t="s">
        <v>296</v>
      </c>
      <c r="D1640">
        <v>2012</v>
      </c>
      <c r="E1640">
        <v>74</v>
      </c>
      <c r="F1640" t="s">
        <v>468</v>
      </c>
      <c r="G1640">
        <v>12</v>
      </c>
    </row>
    <row r="1641" spans="1:7">
      <c r="A1641" t="str">
        <f t="shared" si="25"/>
        <v>Kapittelweg 14</v>
      </c>
      <c r="B1641" t="s">
        <v>469</v>
      </c>
      <c r="C1641" t="s">
        <v>296</v>
      </c>
      <c r="D1641">
        <v>2012</v>
      </c>
      <c r="E1641">
        <v>86</v>
      </c>
      <c r="F1641" t="s">
        <v>468</v>
      </c>
      <c r="G1641">
        <v>14</v>
      </c>
    </row>
    <row r="1642" spans="1:7">
      <c r="A1642" t="str">
        <f t="shared" si="25"/>
        <v>Kapittelweg 16</v>
      </c>
      <c r="B1642" t="s">
        <v>469</v>
      </c>
      <c r="C1642" t="s">
        <v>296</v>
      </c>
      <c r="D1642">
        <v>2012</v>
      </c>
      <c r="E1642">
        <v>86</v>
      </c>
      <c r="F1642" t="s">
        <v>468</v>
      </c>
      <c r="G1642">
        <v>16</v>
      </c>
    </row>
    <row r="1643" spans="1:7">
      <c r="A1643" t="str">
        <f t="shared" si="25"/>
        <v>Kapittelweg 18</v>
      </c>
      <c r="B1643" t="s">
        <v>469</v>
      </c>
      <c r="C1643" t="s">
        <v>296</v>
      </c>
      <c r="D1643">
        <v>2012</v>
      </c>
      <c r="E1643">
        <v>74</v>
      </c>
      <c r="F1643" t="s">
        <v>468</v>
      </c>
      <c r="G1643">
        <v>18</v>
      </c>
    </row>
    <row r="1644" spans="1:7">
      <c r="A1644" t="str">
        <f t="shared" si="25"/>
        <v>Kapittelweg 20</v>
      </c>
      <c r="B1644" t="s">
        <v>469</v>
      </c>
      <c r="C1644" t="s">
        <v>296</v>
      </c>
      <c r="D1644">
        <v>2012</v>
      </c>
      <c r="E1644">
        <v>74</v>
      </c>
      <c r="F1644" t="s">
        <v>468</v>
      </c>
      <c r="G1644">
        <v>20</v>
      </c>
    </row>
    <row r="1645" spans="1:7">
      <c r="A1645" t="str">
        <f t="shared" si="25"/>
        <v>Kapittelweg 22</v>
      </c>
      <c r="B1645" t="s">
        <v>469</v>
      </c>
      <c r="C1645" t="s">
        <v>296</v>
      </c>
      <c r="D1645">
        <v>2012</v>
      </c>
      <c r="E1645">
        <v>86</v>
      </c>
      <c r="F1645" t="s">
        <v>468</v>
      </c>
      <c r="G1645">
        <v>22</v>
      </c>
    </row>
    <row r="1646" spans="1:7">
      <c r="A1646" t="str">
        <f t="shared" si="25"/>
        <v>Kapittelweg 24</v>
      </c>
      <c r="B1646" t="s">
        <v>469</v>
      </c>
      <c r="C1646" t="s">
        <v>296</v>
      </c>
      <c r="D1646">
        <v>2012</v>
      </c>
      <c r="E1646">
        <v>86</v>
      </c>
      <c r="F1646" t="s">
        <v>468</v>
      </c>
      <c r="G1646">
        <v>24</v>
      </c>
    </row>
    <row r="1647" spans="1:7">
      <c r="A1647" t="str">
        <f t="shared" si="25"/>
        <v>Karolingenstraat 1</v>
      </c>
      <c r="B1647" t="s">
        <v>470</v>
      </c>
      <c r="C1647" t="s">
        <v>306</v>
      </c>
      <c r="D1647">
        <v>1996</v>
      </c>
      <c r="E1647">
        <v>141</v>
      </c>
      <c r="F1647" t="s">
        <v>471</v>
      </c>
      <c r="G1647">
        <v>1</v>
      </c>
    </row>
    <row r="1648" spans="1:7">
      <c r="A1648" t="str">
        <f t="shared" si="25"/>
        <v>Karolingenstraat 2</v>
      </c>
      <c r="B1648" t="s">
        <v>472</v>
      </c>
      <c r="C1648" t="s">
        <v>306</v>
      </c>
      <c r="D1648">
        <v>1997</v>
      </c>
      <c r="E1648">
        <v>135</v>
      </c>
      <c r="F1648" t="s">
        <v>471</v>
      </c>
      <c r="G1648">
        <v>2</v>
      </c>
    </row>
    <row r="1649" spans="1:7">
      <c r="A1649" t="str">
        <f t="shared" si="25"/>
        <v>Karolingenstraat 3</v>
      </c>
      <c r="B1649" t="s">
        <v>470</v>
      </c>
      <c r="C1649" t="s">
        <v>306</v>
      </c>
      <c r="D1649">
        <v>1996</v>
      </c>
      <c r="E1649">
        <v>148</v>
      </c>
      <c r="F1649" t="s">
        <v>471</v>
      </c>
      <c r="G1649">
        <v>3</v>
      </c>
    </row>
    <row r="1650" spans="1:7">
      <c r="A1650" t="str">
        <f t="shared" si="25"/>
        <v>Karolingenstraat 4</v>
      </c>
      <c r="B1650" t="s">
        <v>472</v>
      </c>
      <c r="C1650" t="s">
        <v>306</v>
      </c>
      <c r="D1650">
        <v>1997</v>
      </c>
      <c r="E1650">
        <v>100</v>
      </c>
      <c r="F1650" t="s">
        <v>471</v>
      </c>
      <c r="G1650">
        <v>4</v>
      </c>
    </row>
    <row r="1651" spans="1:7">
      <c r="A1651" t="str">
        <f t="shared" si="25"/>
        <v>Karolingenstraat 5</v>
      </c>
      <c r="B1651" t="s">
        <v>470</v>
      </c>
      <c r="C1651" t="s">
        <v>306</v>
      </c>
      <c r="D1651">
        <v>1996</v>
      </c>
      <c r="E1651">
        <v>85</v>
      </c>
      <c r="F1651" t="s">
        <v>471</v>
      </c>
      <c r="G1651">
        <v>5</v>
      </c>
    </row>
    <row r="1652" spans="1:7">
      <c r="A1652" t="str">
        <f t="shared" si="25"/>
        <v>Karolingenstraat 6</v>
      </c>
      <c r="B1652" t="s">
        <v>472</v>
      </c>
      <c r="C1652" t="s">
        <v>306</v>
      </c>
      <c r="D1652">
        <v>1997</v>
      </c>
      <c r="E1652">
        <v>105</v>
      </c>
      <c r="F1652" t="s">
        <v>471</v>
      </c>
      <c r="G1652">
        <v>6</v>
      </c>
    </row>
    <row r="1653" spans="1:7">
      <c r="A1653" t="str">
        <f t="shared" si="25"/>
        <v>Karolingenstraat 7</v>
      </c>
      <c r="B1653" t="s">
        <v>470</v>
      </c>
      <c r="C1653" t="s">
        <v>306</v>
      </c>
      <c r="D1653">
        <v>1996</v>
      </c>
      <c r="E1653">
        <v>85</v>
      </c>
      <c r="F1653" t="s">
        <v>471</v>
      </c>
      <c r="G1653">
        <v>7</v>
      </c>
    </row>
    <row r="1654" spans="1:7">
      <c r="A1654" t="str">
        <f t="shared" si="25"/>
        <v>Karolingenstraat 8</v>
      </c>
      <c r="B1654" t="s">
        <v>472</v>
      </c>
      <c r="C1654" t="s">
        <v>306</v>
      </c>
      <c r="D1654">
        <v>1997</v>
      </c>
      <c r="E1654">
        <v>107</v>
      </c>
      <c r="F1654" t="s">
        <v>471</v>
      </c>
      <c r="G1654">
        <v>8</v>
      </c>
    </row>
    <row r="1655" spans="1:7">
      <c r="A1655" t="str">
        <f t="shared" si="25"/>
        <v>Karolingenstraat 9</v>
      </c>
      <c r="B1655" t="s">
        <v>470</v>
      </c>
      <c r="C1655" t="s">
        <v>306</v>
      </c>
      <c r="D1655">
        <v>1996</v>
      </c>
      <c r="E1655">
        <v>85</v>
      </c>
      <c r="F1655" t="s">
        <v>471</v>
      </c>
      <c r="G1655">
        <v>9</v>
      </c>
    </row>
    <row r="1656" spans="1:7">
      <c r="A1656" t="str">
        <f t="shared" si="25"/>
        <v>Karolingenstraat 10</v>
      </c>
      <c r="B1656" t="s">
        <v>472</v>
      </c>
      <c r="C1656" t="s">
        <v>306</v>
      </c>
      <c r="D1656">
        <v>1997</v>
      </c>
      <c r="E1656">
        <v>103</v>
      </c>
      <c r="F1656" t="s">
        <v>471</v>
      </c>
      <c r="G1656">
        <v>10</v>
      </c>
    </row>
    <row r="1657" spans="1:7">
      <c r="A1657" t="str">
        <f t="shared" si="25"/>
        <v>Karolingenstraat 11</v>
      </c>
      <c r="B1657" t="s">
        <v>470</v>
      </c>
      <c r="C1657" t="s">
        <v>306</v>
      </c>
      <c r="D1657">
        <v>1996</v>
      </c>
      <c r="E1657">
        <v>85</v>
      </c>
      <c r="F1657" t="s">
        <v>471</v>
      </c>
      <c r="G1657">
        <v>11</v>
      </c>
    </row>
    <row r="1658" spans="1:7">
      <c r="A1658" t="str">
        <f t="shared" si="25"/>
        <v>Karolingenstraat 12</v>
      </c>
      <c r="B1658" t="s">
        <v>472</v>
      </c>
      <c r="C1658" t="s">
        <v>306</v>
      </c>
      <c r="D1658">
        <v>1997</v>
      </c>
      <c r="E1658">
        <v>143</v>
      </c>
      <c r="F1658" t="s">
        <v>471</v>
      </c>
      <c r="G1658">
        <v>12</v>
      </c>
    </row>
    <row r="1659" spans="1:7">
      <c r="A1659" t="str">
        <f t="shared" si="25"/>
        <v>Karolingenstraat 13</v>
      </c>
      <c r="B1659" t="s">
        <v>470</v>
      </c>
      <c r="C1659" t="s">
        <v>306</v>
      </c>
      <c r="D1659">
        <v>1996</v>
      </c>
      <c r="E1659">
        <v>85</v>
      </c>
      <c r="F1659" t="s">
        <v>471</v>
      </c>
      <c r="G1659">
        <v>13</v>
      </c>
    </row>
    <row r="1660" spans="1:7">
      <c r="A1660" t="str">
        <f t="shared" si="25"/>
        <v>Karolingenstraat 14</v>
      </c>
      <c r="B1660" t="s">
        <v>472</v>
      </c>
      <c r="C1660" t="s">
        <v>306</v>
      </c>
      <c r="D1660">
        <v>2000</v>
      </c>
      <c r="E1660">
        <v>140</v>
      </c>
      <c r="F1660" t="s">
        <v>471</v>
      </c>
      <c r="G1660">
        <v>14</v>
      </c>
    </row>
    <row r="1661" spans="1:7">
      <c r="A1661" t="str">
        <f t="shared" si="25"/>
        <v>Karolingenstraat 15</v>
      </c>
      <c r="B1661" t="s">
        <v>470</v>
      </c>
      <c r="C1661" t="s">
        <v>306</v>
      </c>
      <c r="D1661">
        <v>1996</v>
      </c>
      <c r="E1661">
        <v>85</v>
      </c>
      <c r="F1661" t="s">
        <v>471</v>
      </c>
      <c r="G1661">
        <v>15</v>
      </c>
    </row>
    <row r="1662" spans="1:7">
      <c r="A1662" t="str">
        <f t="shared" si="25"/>
        <v>Karolingenstraat 16</v>
      </c>
      <c r="B1662" t="s">
        <v>472</v>
      </c>
      <c r="C1662" t="s">
        <v>306</v>
      </c>
      <c r="D1662">
        <v>2000</v>
      </c>
      <c r="E1662">
        <v>138</v>
      </c>
      <c r="F1662" t="s">
        <v>471</v>
      </c>
      <c r="G1662">
        <v>16</v>
      </c>
    </row>
    <row r="1663" spans="1:7">
      <c r="A1663" t="str">
        <f t="shared" si="25"/>
        <v>Karolingenstraat 17</v>
      </c>
      <c r="B1663" t="s">
        <v>470</v>
      </c>
      <c r="C1663" t="s">
        <v>306</v>
      </c>
      <c r="D1663">
        <v>1996</v>
      </c>
      <c r="E1663">
        <v>85</v>
      </c>
      <c r="F1663" t="s">
        <v>471</v>
      </c>
      <c r="G1663">
        <v>17</v>
      </c>
    </row>
    <row r="1664" spans="1:7">
      <c r="A1664" t="str">
        <f t="shared" si="25"/>
        <v>Karolingenstraat 18</v>
      </c>
      <c r="B1664" t="s">
        <v>472</v>
      </c>
      <c r="C1664" t="s">
        <v>306</v>
      </c>
      <c r="D1664">
        <v>2000</v>
      </c>
      <c r="E1664">
        <v>138</v>
      </c>
      <c r="F1664" t="s">
        <v>471</v>
      </c>
      <c r="G1664">
        <v>18</v>
      </c>
    </row>
    <row r="1665" spans="1:7">
      <c r="A1665" t="str">
        <f t="shared" si="25"/>
        <v>Karolingenstraat 19</v>
      </c>
      <c r="B1665" t="s">
        <v>470</v>
      </c>
      <c r="C1665" t="s">
        <v>306</v>
      </c>
      <c r="D1665">
        <v>1996</v>
      </c>
      <c r="E1665">
        <v>85</v>
      </c>
      <c r="F1665" t="s">
        <v>471</v>
      </c>
      <c r="G1665">
        <v>19</v>
      </c>
    </row>
    <row r="1666" spans="1:7">
      <c r="A1666" t="str">
        <f t="shared" ref="A1666:A1729" si="26">CONCATENATE(F1666," ",G1666,H1666)</f>
        <v>Karolingenstraat 20</v>
      </c>
      <c r="B1666" t="s">
        <v>472</v>
      </c>
      <c r="C1666" t="s">
        <v>306</v>
      </c>
      <c r="D1666">
        <v>2000</v>
      </c>
      <c r="E1666">
        <v>136</v>
      </c>
      <c r="F1666" t="s">
        <v>471</v>
      </c>
      <c r="G1666">
        <v>20</v>
      </c>
    </row>
    <row r="1667" spans="1:7">
      <c r="A1667" t="str">
        <f t="shared" si="26"/>
        <v>Karolingenstraat 21</v>
      </c>
      <c r="B1667" t="s">
        <v>470</v>
      </c>
      <c r="C1667" t="s">
        <v>306</v>
      </c>
      <c r="D1667">
        <v>1996</v>
      </c>
      <c r="E1667">
        <v>85</v>
      </c>
      <c r="F1667" t="s">
        <v>471</v>
      </c>
      <c r="G1667">
        <v>21</v>
      </c>
    </row>
    <row r="1668" spans="1:7">
      <c r="A1668" t="str">
        <f t="shared" si="26"/>
        <v>Karolingenstraat 22</v>
      </c>
      <c r="B1668" t="s">
        <v>472</v>
      </c>
      <c r="C1668" t="s">
        <v>306</v>
      </c>
      <c r="D1668">
        <v>2000</v>
      </c>
      <c r="E1668">
        <v>135</v>
      </c>
      <c r="F1668" t="s">
        <v>471</v>
      </c>
      <c r="G1668">
        <v>22</v>
      </c>
    </row>
    <row r="1669" spans="1:7">
      <c r="A1669" t="str">
        <f t="shared" si="26"/>
        <v>Karolingenstraat 23</v>
      </c>
      <c r="B1669" t="s">
        <v>470</v>
      </c>
      <c r="C1669" t="s">
        <v>306</v>
      </c>
      <c r="D1669">
        <v>1996</v>
      </c>
      <c r="E1669">
        <v>85</v>
      </c>
      <c r="F1669" t="s">
        <v>471</v>
      </c>
      <c r="G1669">
        <v>23</v>
      </c>
    </row>
    <row r="1670" spans="1:7">
      <c r="A1670" t="str">
        <f t="shared" si="26"/>
        <v>Karolingenstraat 24</v>
      </c>
      <c r="B1670" t="s">
        <v>472</v>
      </c>
      <c r="C1670" t="s">
        <v>306</v>
      </c>
      <c r="D1670">
        <v>2000</v>
      </c>
      <c r="E1670">
        <v>176</v>
      </c>
      <c r="F1670" t="s">
        <v>471</v>
      </c>
      <c r="G1670">
        <v>24</v>
      </c>
    </row>
    <row r="1671" spans="1:7">
      <c r="A1671" t="str">
        <f t="shared" si="26"/>
        <v>Karolingenstraat 25</v>
      </c>
      <c r="B1671" t="s">
        <v>470</v>
      </c>
      <c r="C1671" t="s">
        <v>306</v>
      </c>
      <c r="D1671">
        <v>2000</v>
      </c>
      <c r="E1671">
        <v>120</v>
      </c>
      <c r="F1671" t="s">
        <v>471</v>
      </c>
      <c r="G1671">
        <v>25</v>
      </c>
    </row>
    <row r="1672" spans="1:7">
      <c r="A1672" t="str">
        <f t="shared" si="26"/>
        <v>Karolingenstraat 26</v>
      </c>
      <c r="B1672" t="s">
        <v>472</v>
      </c>
      <c r="C1672" t="s">
        <v>306</v>
      </c>
      <c r="D1672">
        <v>1999</v>
      </c>
      <c r="E1672">
        <v>214</v>
      </c>
      <c r="F1672" t="s">
        <v>471</v>
      </c>
      <c r="G1672">
        <v>26</v>
      </c>
    </row>
    <row r="1673" spans="1:7">
      <c r="A1673" t="str">
        <f t="shared" si="26"/>
        <v>Karolingenstraat 27</v>
      </c>
      <c r="B1673" t="s">
        <v>470</v>
      </c>
      <c r="C1673" t="s">
        <v>306</v>
      </c>
      <c r="D1673">
        <v>2000</v>
      </c>
      <c r="E1673">
        <v>85</v>
      </c>
      <c r="F1673" t="s">
        <v>471</v>
      </c>
      <c r="G1673">
        <v>27</v>
      </c>
    </row>
    <row r="1674" spans="1:7">
      <c r="A1674" t="str">
        <f t="shared" si="26"/>
        <v>Karolingenstraat 28</v>
      </c>
      <c r="B1674" t="s">
        <v>472</v>
      </c>
      <c r="C1674" t="s">
        <v>306</v>
      </c>
      <c r="D1674">
        <v>1999</v>
      </c>
      <c r="E1674">
        <v>134</v>
      </c>
      <c r="F1674" t="s">
        <v>471</v>
      </c>
      <c r="G1674">
        <v>28</v>
      </c>
    </row>
    <row r="1675" spans="1:7">
      <c r="A1675" t="str">
        <f t="shared" si="26"/>
        <v>Karolingenstraat 29</v>
      </c>
      <c r="B1675" t="s">
        <v>470</v>
      </c>
      <c r="C1675" t="s">
        <v>306</v>
      </c>
      <c r="D1675">
        <v>2000</v>
      </c>
      <c r="E1675">
        <v>85</v>
      </c>
      <c r="F1675" t="s">
        <v>471</v>
      </c>
      <c r="G1675">
        <v>29</v>
      </c>
    </row>
    <row r="1676" spans="1:7">
      <c r="A1676" t="str">
        <f t="shared" si="26"/>
        <v>Karolingenstraat 30</v>
      </c>
      <c r="B1676" t="s">
        <v>472</v>
      </c>
      <c r="C1676" t="s">
        <v>306</v>
      </c>
      <c r="D1676">
        <v>1999</v>
      </c>
      <c r="E1676">
        <v>198</v>
      </c>
      <c r="F1676" t="s">
        <v>471</v>
      </c>
      <c r="G1676">
        <v>30</v>
      </c>
    </row>
    <row r="1677" spans="1:7">
      <c r="A1677" t="str">
        <f t="shared" si="26"/>
        <v>Karolingenstraat 31</v>
      </c>
      <c r="B1677" t="s">
        <v>470</v>
      </c>
      <c r="C1677" t="s">
        <v>306</v>
      </c>
      <c r="D1677">
        <v>2000</v>
      </c>
      <c r="E1677">
        <v>111</v>
      </c>
      <c r="F1677" t="s">
        <v>471</v>
      </c>
      <c r="G1677">
        <v>31</v>
      </c>
    </row>
    <row r="1678" spans="1:7">
      <c r="A1678" t="str">
        <f t="shared" si="26"/>
        <v>Karolingenstraat 32</v>
      </c>
      <c r="B1678" t="s">
        <v>472</v>
      </c>
      <c r="C1678" t="s">
        <v>306</v>
      </c>
      <c r="D1678">
        <v>1999</v>
      </c>
      <c r="E1678">
        <v>164</v>
      </c>
      <c r="F1678" t="s">
        <v>471</v>
      </c>
      <c r="G1678">
        <v>32</v>
      </c>
    </row>
    <row r="1679" spans="1:7">
      <c r="A1679" t="str">
        <f t="shared" si="26"/>
        <v>Karolingenstraat 33</v>
      </c>
      <c r="B1679" t="s">
        <v>470</v>
      </c>
      <c r="C1679" t="s">
        <v>306</v>
      </c>
      <c r="D1679">
        <v>1996</v>
      </c>
      <c r="E1679">
        <v>85</v>
      </c>
      <c r="F1679" t="s">
        <v>471</v>
      </c>
      <c r="G1679">
        <v>33</v>
      </c>
    </row>
    <row r="1680" spans="1:7">
      <c r="A1680" t="str">
        <f t="shared" si="26"/>
        <v>Karolingenstraat 34</v>
      </c>
      <c r="B1680" t="s">
        <v>472</v>
      </c>
      <c r="C1680" t="s">
        <v>306</v>
      </c>
      <c r="D1680">
        <v>1999</v>
      </c>
      <c r="E1680">
        <v>182</v>
      </c>
      <c r="F1680" t="s">
        <v>471</v>
      </c>
      <c r="G1680">
        <v>34</v>
      </c>
    </row>
    <row r="1681" spans="1:8">
      <c r="A1681" t="str">
        <f t="shared" si="26"/>
        <v>Karolingenstraat 35</v>
      </c>
      <c r="B1681" t="s">
        <v>470</v>
      </c>
      <c r="C1681" t="s">
        <v>306</v>
      </c>
      <c r="D1681">
        <v>1996</v>
      </c>
      <c r="E1681">
        <v>85</v>
      </c>
      <c r="F1681" t="s">
        <v>471</v>
      </c>
      <c r="G1681">
        <v>35</v>
      </c>
    </row>
    <row r="1682" spans="1:8">
      <c r="A1682" t="str">
        <f t="shared" si="26"/>
        <v>Karolingenstraat 36</v>
      </c>
      <c r="B1682" t="s">
        <v>472</v>
      </c>
      <c r="C1682" t="s">
        <v>306</v>
      </c>
      <c r="D1682">
        <v>1998</v>
      </c>
      <c r="E1682">
        <v>170</v>
      </c>
      <c r="F1682" t="s">
        <v>471</v>
      </c>
      <c r="G1682">
        <v>36</v>
      </c>
    </row>
    <row r="1683" spans="1:8">
      <c r="A1683" t="str">
        <f t="shared" si="26"/>
        <v>Karolingenstraat 37</v>
      </c>
      <c r="B1683" t="s">
        <v>470</v>
      </c>
      <c r="C1683" t="s">
        <v>306</v>
      </c>
      <c r="D1683">
        <v>1996</v>
      </c>
      <c r="E1683">
        <v>85</v>
      </c>
      <c r="F1683" t="s">
        <v>471</v>
      </c>
      <c r="G1683">
        <v>37</v>
      </c>
    </row>
    <row r="1684" spans="1:8">
      <c r="A1684" t="str">
        <f t="shared" si="26"/>
        <v>Karolingenstraat 38a</v>
      </c>
      <c r="B1684" t="s">
        <v>472</v>
      </c>
      <c r="C1684" t="s">
        <v>306</v>
      </c>
      <c r="D1684">
        <v>1998</v>
      </c>
      <c r="E1684">
        <v>174</v>
      </c>
      <c r="F1684" t="s">
        <v>471</v>
      </c>
      <c r="G1684">
        <v>38</v>
      </c>
      <c r="H1684" t="s">
        <v>304</v>
      </c>
    </row>
    <row r="1685" spans="1:8">
      <c r="A1685" t="str">
        <f t="shared" si="26"/>
        <v>Karolingenstraat 38</v>
      </c>
      <c r="B1685" t="s">
        <v>472</v>
      </c>
      <c r="C1685" t="s">
        <v>306</v>
      </c>
      <c r="D1685">
        <v>1998</v>
      </c>
      <c r="E1685">
        <v>124</v>
      </c>
      <c r="F1685" t="s">
        <v>471</v>
      </c>
      <c r="G1685">
        <v>38</v>
      </c>
    </row>
    <row r="1686" spans="1:8">
      <c r="A1686" t="str">
        <f t="shared" si="26"/>
        <v>Karolingenstraat 39</v>
      </c>
      <c r="B1686" t="s">
        <v>470</v>
      </c>
      <c r="C1686" t="s">
        <v>306</v>
      </c>
      <c r="D1686">
        <v>2001</v>
      </c>
      <c r="E1686">
        <v>167</v>
      </c>
      <c r="F1686" t="s">
        <v>471</v>
      </c>
      <c r="G1686">
        <v>39</v>
      </c>
    </row>
    <row r="1687" spans="1:8">
      <c r="A1687" t="str">
        <f t="shared" si="26"/>
        <v>Karolingenstraat 40a</v>
      </c>
      <c r="B1687" t="s">
        <v>472</v>
      </c>
      <c r="C1687" t="s">
        <v>306</v>
      </c>
      <c r="D1687">
        <v>1998</v>
      </c>
      <c r="E1687">
        <v>127</v>
      </c>
      <c r="F1687" t="s">
        <v>471</v>
      </c>
      <c r="G1687">
        <v>40</v>
      </c>
      <c r="H1687" t="s">
        <v>304</v>
      </c>
    </row>
    <row r="1688" spans="1:8">
      <c r="A1688" t="str">
        <f t="shared" si="26"/>
        <v>Karolingenstraat 40</v>
      </c>
      <c r="B1688" t="s">
        <v>472</v>
      </c>
      <c r="C1688" t="s">
        <v>306</v>
      </c>
      <c r="D1688">
        <v>1998</v>
      </c>
      <c r="E1688">
        <v>150</v>
      </c>
      <c r="F1688" t="s">
        <v>471</v>
      </c>
      <c r="G1688">
        <v>40</v>
      </c>
    </row>
    <row r="1689" spans="1:8">
      <c r="A1689" t="str">
        <f t="shared" si="26"/>
        <v>Karolingenstraat 41</v>
      </c>
      <c r="B1689" t="s">
        <v>470</v>
      </c>
      <c r="C1689" t="s">
        <v>306</v>
      </c>
      <c r="D1689">
        <v>2001</v>
      </c>
      <c r="E1689">
        <v>164</v>
      </c>
      <c r="F1689" t="s">
        <v>471</v>
      </c>
      <c r="G1689">
        <v>41</v>
      </c>
    </row>
    <row r="1690" spans="1:8">
      <c r="A1690" t="str">
        <f t="shared" si="26"/>
        <v>Karolingenstraat 42</v>
      </c>
      <c r="B1690" t="s">
        <v>472</v>
      </c>
      <c r="C1690" t="s">
        <v>306</v>
      </c>
      <c r="D1690">
        <v>1998</v>
      </c>
      <c r="E1690">
        <v>156</v>
      </c>
      <c r="F1690" t="s">
        <v>471</v>
      </c>
      <c r="G1690">
        <v>42</v>
      </c>
    </row>
    <row r="1691" spans="1:8">
      <c r="A1691" t="str">
        <f t="shared" si="26"/>
        <v>Karolingenstraat 43</v>
      </c>
      <c r="B1691" t="s">
        <v>470</v>
      </c>
      <c r="C1691" t="s">
        <v>306</v>
      </c>
      <c r="D1691">
        <v>2001</v>
      </c>
      <c r="E1691">
        <v>140</v>
      </c>
      <c r="F1691" t="s">
        <v>471</v>
      </c>
      <c r="G1691">
        <v>43</v>
      </c>
    </row>
    <row r="1692" spans="1:8">
      <c r="A1692" t="str">
        <f t="shared" si="26"/>
        <v>Karolingenstraat 44</v>
      </c>
      <c r="B1692" t="s">
        <v>472</v>
      </c>
      <c r="C1692" t="s">
        <v>306</v>
      </c>
      <c r="D1692">
        <v>1998</v>
      </c>
      <c r="E1692">
        <v>175</v>
      </c>
      <c r="F1692" t="s">
        <v>471</v>
      </c>
      <c r="G1692">
        <v>44</v>
      </c>
    </row>
    <row r="1693" spans="1:8">
      <c r="A1693" t="str">
        <f t="shared" si="26"/>
        <v>Karolingenstraat 45</v>
      </c>
      <c r="B1693" t="s">
        <v>470</v>
      </c>
      <c r="C1693" t="s">
        <v>306</v>
      </c>
      <c r="D1693">
        <v>2001</v>
      </c>
      <c r="E1693">
        <v>142</v>
      </c>
      <c r="F1693" t="s">
        <v>471</v>
      </c>
      <c r="G1693">
        <v>45</v>
      </c>
    </row>
    <row r="1694" spans="1:8">
      <c r="A1694" t="str">
        <f t="shared" si="26"/>
        <v>Karolingenstraat 46</v>
      </c>
      <c r="B1694" t="s">
        <v>472</v>
      </c>
      <c r="C1694" t="s">
        <v>306</v>
      </c>
      <c r="D1694">
        <v>1998</v>
      </c>
      <c r="E1694">
        <v>174</v>
      </c>
      <c r="F1694" t="s">
        <v>471</v>
      </c>
      <c r="G1694">
        <v>46</v>
      </c>
    </row>
    <row r="1695" spans="1:8">
      <c r="A1695" t="str">
        <f t="shared" si="26"/>
        <v>Karolingenstraat 47</v>
      </c>
      <c r="B1695" t="s">
        <v>470</v>
      </c>
      <c r="C1695" t="s">
        <v>306</v>
      </c>
      <c r="D1695">
        <v>2000</v>
      </c>
      <c r="E1695">
        <v>154</v>
      </c>
      <c r="F1695" t="s">
        <v>471</v>
      </c>
      <c r="G1695">
        <v>47</v>
      </c>
    </row>
    <row r="1696" spans="1:8">
      <c r="A1696" t="str">
        <f t="shared" si="26"/>
        <v>Karolingenstraat 48</v>
      </c>
      <c r="B1696" t="s">
        <v>472</v>
      </c>
      <c r="C1696" t="s">
        <v>306</v>
      </c>
      <c r="D1696">
        <v>1998</v>
      </c>
      <c r="E1696">
        <v>186</v>
      </c>
      <c r="F1696" t="s">
        <v>471</v>
      </c>
      <c r="G1696">
        <v>48</v>
      </c>
    </row>
    <row r="1697" spans="1:7">
      <c r="A1697" t="str">
        <f t="shared" si="26"/>
        <v>Karolingenstraat 49</v>
      </c>
      <c r="B1697" t="s">
        <v>470</v>
      </c>
      <c r="C1697" t="s">
        <v>306</v>
      </c>
      <c r="D1697">
        <v>2001</v>
      </c>
      <c r="E1697">
        <v>162</v>
      </c>
      <c r="F1697" t="s">
        <v>471</v>
      </c>
      <c r="G1697">
        <v>49</v>
      </c>
    </row>
    <row r="1698" spans="1:7">
      <c r="A1698" t="str">
        <f t="shared" si="26"/>
        <v>Karolingenstraat 50</v>
      </c>
      <c r="B1698" t="s">
        <v>472</v>
      </c>
      <c r="C1698" t="s">
        <v>306</v>
      </c>
      <c r="D1698">
        <v>1998</v>
      </c>
      <c r="E1698">
        <v>210</v>
      </c>
      <c r="F1698" t="s">
        <v>471</v>
      </c>
      <c r="G1698">
        <v>50</v>
      </c>
    </row>
    <row r="1699" spans="1:7">
      <c r="A1699" t="str">
        <f t="shared" si="26"/>
        <v>Karolingenstraat 51</v>
      </c>
      <c r="B1699" t="s">
        <v>470</v>
      </c>
      <c r="C1699" t="s">
        <v>306</v>
      </c>
      <c r="D1699">
        <v>1998</v>
      </c>
      <c r="E1699">
        <v>153</v>
      </c>
      <c r="F1699" t="s">
        <v>471</v>
      </c>
      <c r="G1699">
        <v>51</v>
      </c>
    </row>
    <row r="1700" spans="1:7">
      <c r="A1700" t="str">
        <f t="shared" si="26"/>
        <v>Karolingenstraat 52</v>
      </c>
      <c r="B1700" t="s">
        <v>472</v>
      </c>
      <c r="C1700" t="s">
        <v>306</v>
      </c>
      <c r="D1700">
        <v>1998</v>
      </c>
      <c r="E1700">
        <v>129</v>
      </c>
      <c r="F1700" t="s">
        <v>471</v>
      </c>
      <c r="G1700">
        <v>52</v>
      </c>
    </row>
    <row r="1701" spans="1:7">
      <c r="A1701" t="str">
        <f t="shared" si="26"/>
        <v>Karolingenstraat 53</v>
      </c>
      <c r="B1701" t="s">
        <v>470</v>
      </c>
      <c r="C1701" t="s">
        <v>306</v>
      </c>
      <c r="D1701">
        <v>1998</v>
      </c>
      <c r="E1701">
        <v>143</v>
      </c>
      <c r="F1701" t="s">
        <v>471</v>
      </c>
      <c r="G1701">
        <v>53</v>
      </c>
    </row>
    <row r="1702" spans="1:7">
      <c r="A1702" t="str">
        <f t="shared" si="26"/>
        <v>Karolingenstraat 54</v>
      </c>
      <c r="B1702" t="s">
        <v>472</v>
      </c>
      <c r="C1702" t="s">
        <v>306</v>
      </c>
      <c r="D1702">
        <v>1998</v>
      </c>
      <c r="E1702">
        <v>127</v>
      </c>
      <c r="F1702" t="s">
        <v>471</v>
      </c>
      <c r="G1702">
        <v>54</v>
      </c>
    </row>
    <row r="1703" spans="1:7">
      <c r="A1703" t="str">
        <f t="shared" si="26"/>
        <v>Karolingenstraat 55</v>
      </c>
      <c r="B1703" t="s">
        <v>470</v>
      </c>
      <c r="C1703" t="s">
        <v>306</v>
      </c>
      <c r="D1703">
        <v>1998</v>
      </c>
      <c r="E1703">
        <v>134</v>
      </c>
      <c r="F1703" t="s">
        <v>471</v>
      </c>
      <c r="G1703">
        <v>55</v>
      </c>
    </row>
    <row r="1704" spans="1:7">
      <c r="A1704" t="str">
        <f t="shared" si="26"/>
        <v>Karolingenstraat 56</v>
      </c>
      <c r="B1704" t="s">
        <v>472</v>
      </c>
      <c r="C1704" t="s">
        <v>306</v>
      </c>
      <c r="D1704">
        <v>1998</v>
      </c>
      <c r="E1704">
        <v>135</v>
      </c>
      <c r="F1704" t="s">
        <v>471</v>
      </c>
      <c r="G1704">
        <v>56</v>
      </c>
    </row>
    <row r="1705" spans="1:7">
      <c r="A1705" t="str">
        <f t="shared" si="26"/>
        <v>Karolingenstraat 57</v>
      </c>
      <c r="B1705" t="s">
        <v>470</v>
      </c>
      <c r="C1705" t="s">
        <v>306</v>
      </c>
      <c r="D1705">
        <v>1998</v>
      </c>
      <c r="E1705">
        <v>152</v>
      </c>
      <c r="F1705" t="s">
        <v>471</v>
      </c>
      <c r="G1705">
        <v>57</v>
      </c>
    </row>
    <row r="1706" spans="1:7">
      <c r="A1706" t="str">
        <f t="shared" si="26"/>
        <v>Karolingenstraat 58</v>
      </c>
      <c r="B1706" t="s">
        <v>472</v>
      </c>
      <c r="C1706" t="s">
        <v>306</v>
      </c>
      <c r="D1706">
        <v>1998</v>
      </c>
      <c r="E1706">
        <v>144</v>
      </c>
      <c r="F1706" t="s">
        <v>471</v>
      </c>
      <c r="G1706">
        <v>58</v>
      </c>
    </row>
    <row r="1707" spans="1:7">
      <c r="A1707" t="str">
        <f t="shared" si="26"/>
        <v>Karolingenstraat 59</v>
      </c>
      <c r="B1707" t="s">
        <v>470</v>
      </c>
      <c r="C1707" t="s">
        <v>306</v>
      </c>
      <c r="D1707">
        <v>1999</v>
      </c>
      <c r="E1707">
        <v>89</v>
      </c>
      <c r="F1707" t="s">
        <v>471</v>
      </c>
      <c r="G1707">
        <v>59</v>
      </c>
    </row>
    <row r="1708" spans="1:7">
      <c r="A1708" t="str">
        <f t="shared" si="26"/>
        <v>Karolingenstraat 60</v>
      </c>
      <c r="B1708" t="s">
        <v>472</v>
      </c>
      <c r="C1708" t="s">
        <v>306</v>
      </c>
      <c r="D1708">
        <v>1998</v>
      </c>
      <c r="E1708">
        <v>173</v>
      </c>
      <c r="F1708" t="s">
        <v>471</v>
      </c>
      <c r="G1708">
        <v>60</v>
      </c>
    </row>
    <row r="1709" spans="1:7">
      <c r="A1709" t="str">
        <f t="shared" si="26"/>
        <v>Karolingenstraat 61</v>
      </c>
      <c r="B1709" t="s">
        <v>470</v>
      </c>
      <c r="C1709" t="s">
        <v>306</v>
      </c>
      <c r="D1709">
        <v>1999</v>
      </c>
      <c r="E1709">
        <v>89</v>
      </c>
      <c r="F1709" t="s">
        <v>471</v>
      </c>
      <c r="G1709">
        <v>61</v>
      </c>
    </row>
    <row r="1710" spans="1:7">
      <c r="A1710" t="str">
        <f t="shared" si="26"/>
        <v>Karolingenstraat 62</v>
      </c>
      <c r="B1710" t="s">
        <v>472</v>
      </c>
      <c r="C1710" t="s">
        <v>306</v>
      </c>
      <c r="D1710">
        <v>1999</v>
      </c>
      <c r="E1710">
        <v>186</v>
      </c>
      <c r="F1710" t="s">
        <v>471</v>
      </c>
      <c r="G1710">
        <v>62</v>
      </c>
    </row>
    <row r="1711" spans="1:7">
      <c r="A1711" t="str">
        <f t="shared" si="26"/>
        <v>Karolingenstraat 63</v>
      </c>
      <c r="B1711" t="s">
        <v>470</v>
      </c>
      <c r="C1711" t="s">
        <v>306</v>
      </c>
      <c r="D1711">
        <v>1999</v>
      </c>
      <c r="E1711">
        <v>89</v>
      </c>
      <c r="F1711" t="s">
        <v>471</v>
      </c>
      <c r="G1711">
        <v>63</v>
      </c>
    </row>
    <row r="1712" spans="1:7">
      <c r="A1712" t="str">
        <f t="shared" si="26"/>
        <v>Karolingenstraat 64</v>
      </c>
      <c r="B1712" t="s">
        <v>472</v>
      </c>
      <c r="C1712" t="s">
        <v>306</v>
      </c>
      <c r="D1712">
        <v>1998</v>
      </c>
      <c r="E1712">
        <v>244</v>
      </c>
      <c r="F1712" t="s">
        <v>471</v>
      </c>
      <c r="G1712">
        <v>64</v>
      </c>
    </row>
    <row r="1713" spans="1:8">
      <c r="A1713" t="str">
        <f t="shared" si="26"/>
        <v>Karolingenstraat 65</v>
      </c>
      <c r="B1713" t="s">
        <v>470</v>
      </c>
      <c r="C1713" t="s">
        <v>306</v>
      </c>
      <c r="D1713">
        <v>1999</v>
      </c>
      <c r="E1713">
        <v>89</v>
      </c>
      <c r="F1713" t="s">
        <v>471</v>
      </c>
      <c r="G1713">
        <v>65</v>
      </c>
    </row>
    <row r="1714" spans="1:8">
      <c r="A1714" t="str">
        <f t="shared" si="26"/>
        <v>Karolingenstraat 66a</v>
      </c>
      <c r="B1714" t="s">
        <v>472</v>
      </c>
      <c r="C1714" t="s">
        <v>306</v>
      </c>
      <c r="D1714">
        <v>2002</v>
      </c>
      <c r="E1714">
        <v>26</v>
      </c>
      <c r="F1714" t="s">
        <v>471</v>
      </c>
      <c r="G1714">
        <v>66</v>
      </c>
      <c r="H1714" t="s">
        <v>304</v>
      </c>
    </row>
    <row r="1715" spans="1:8">
      <c r="A1715" t="str">
        <f t="shared" si="26"/>
        <v>Karolingenstraat 66b</v>
      </c>
      <c r="B1715" t="s">
        <v>472</v>
      </c>
      <c r="C1715" t="s">
        <v>306</v>
      </c>
      <c r="D1715">
        <v>2002</v>
      </c>
      <c r="E1715">
        <v>35</v>
      </c>
      <c r="F1715" t="s">
        <v>471</v>
      </c>
      <c r="G1715">
        <v>66</v>
      </c>
      <c r="H1715" t="s">
        <v>298</v>
      </c>
    </row>
    <row r="1716" spans="1:8">
      <c r="A1716" t="str">
        <f t="shared" si="26"/>
        <v>Karolingenstraat 66c</v>
      </c>
      <c r="B1716" t="s">
        <v>472</v>
      </c>
      <c r="C1716" t="s">
        <v>306</v>
      </c>
      <c r="D1716">
        <v>2002</v>
      </c>
      <c r="E1716">
        <v>17</v>
      </c>
      <c r="F1716" t="s">
        <v>471</v>
      </c>
      <c r="G1716">
        <v>66</v>
      </c>
      <c r="H1716" t="s">
        <v>299</v>
      </c>
    </row>
    <row r="1717" spans="1:8">
      <c r="A1717" t="str">
        <f t="shared" si="26"/>
        <v>Karolingenstraat 66d</v>
      </c>
      <c r="B1717" t="s">
        <v>472</v>
      </c>
      <c r="C1717" t="s">
        <v>306</v>
      </c>
      <c r="D1717">
        <v>2002</v>
      </c>
      <c r="E1717">
        <v>19</v>
      </c>
      <c r="F1717" t="s">
        <v>471</v>
      </c>
      <c r="G1717">
        <v>66</v>
      </c>
      <c r="H1717" t="s">
        <v>300</v>
      </c>
    </row>
    <row r="1718" spans="1:8">
      <c r="A1718" t="str">
        <f t="shared" si="26"/>
        <v>Karolingenstraat 66e</v>
      </c>
      <c r="B1718" t="s">
        <v>472</v>
      </c>
      <c r="C1718" t="s">
        <v>306</v>
      </c>
      <c r="D1718">
        <v>2002</v>
      </c>
      <c r="E1718">
        <v>22</v>
      </c>
      <c r="F1718" t="s">
        <v>471</v>
      </c>
      <c r="G1718">
        <v>66</v>
      </c>
      <c r="H1718" t="s">
        <v>319</v>
      </c>
    </row>
    <row r="1719" spans="1:8">
      <c r="A1719" t="str">
        <f t="shared" si="26"/>
        <v>Karolingenstraat 66f</v>
      </c>
      <c r="B1719" t="s">
        <v>472</v>
      </c>
      <c r="C1719" t="s">
        <v>306</v>
      </c>
      <c r="D1719">
        <v>2002</v>
      </c>
      <c r="E1719">
        <v>21</v>
      </c>
      <c r="F1719" t="s">
        <v>471</v>
      </c>
      <c r="G1719">
        <v>66</v>
      </c>
      <c r="H1719" t="s">
        <v>329</v>
      </c>
    </row>
    <row r="1720" spans="1:8">
      <c r="A1720" t="str">
        <f t="shared" si="26"/>
        <v>Karolingenstraat 66g</v>
      </c>
      <c r="B1720" t="s">
        <v>472</v>
      </c>
      <c r="C1720" t="s">
        <v>306</v>
      </c>
      <c r="D1720">
        <v>2002</v>
      </c>
      <c r="E1720">
        <v>19</v>
      </c>
      <c r="F1720" t="s">
        <v>471</v>
      </c>
      <c r="G1720">
        <v>66</v>
      </c>
      <c r="H1720" t="s">
        <v>330</v>
      </c>
    </row>
    <row r="1721" spans="1:8">
      <c r="A1721" t="str">
        <f t="shared" si="26"/>
        <v>Karolingenstraat 66h</v>
      </c>
      <c r="B1721" t="s">
        <v>472</v>
      </c>
      <c r="C1721" t="s">
        <v>306</v>
      </c>
      <c r="D1721">
        <v>2002</v>
      </c>
      <c r="E1721">
        <v>23</v>
      </c>
      <c r="F1721" t="s">
        <v>471</v>
      </c>
      <c r="G1721">
        <v>66</v>
      </c>
      <c r="H1721" t="s">
        <v>397</v>
      </c>
    </row>
    <row r="1722" spans="1:8">
      <c r="A1722" t="str">
        <f t="shared" si="26"/>
        <v>Karolingenstraat 66</v>
      </c>
      <c r="B1722" t="s">
        <v>472</v>
      </c>
      <c r="C1722" t="s">
        <v>306</v>
      </c>
      <c r="D1722">
        <v>2002</v>
      </c>
      <c r="E1722">
        <v>25</v>
      </c>
      <c r="F1722" t="s">
        <v>471</v>
      </c>
      <c r="G1722">
        <v>66</v>
      </c>
    </row>
    <row r="1723" spans="1:8">
      <c r="A1723" t="str">
        <f t="shared" si="26"/>
        <v>Karolingenstraat 67</v>
      </c>
      <c r="B1723" t="s">
        <v>470</v>
      </c>
      <c r="C1723" t="s">
        <v>306</v>
      </c>
      <c r="D1723">
        <v>1999</v>
      </c>
      <c r="E1723">
        <v>79</v>
      </c>
      <c r="F1723" t="s">
        <v>471</v>
      </c>
      <c r="G1723">
        <v>67</v>
      </c>
    </row>
    <row r="1724" spans="1:8">
      <c r="A1724" t="str">
        <f t="shared" si="26"/>
        <v>Karolingenstraat 69</v>
      </c>
      <c r="B1724" t="s">
        <v>470</v>
      </c>
      <c r="C1724" t="s">
        <v>306</v>
      </c>
      <c r="D1724">
        <v>1999</v>
      </c>
      <c r="E1724">
        <v>158</v>
      </c>
      <c r="F1724" t="s">
        <v>471</v>
      </c>
      <c r="G1724">
        <v>69</v>
      </c>
    </row>
    <row r="1725" spans="1:8">
      <c r="A1725" t="str">
        <f t="shared" si="26"/>
        <v>Karolingenstraat 71</v>
      </c>
      <c r="B1725" t="s">
        <v>470</v>
      </c>
      <c r="C1725" t="s">
        <v>306</v>
      </c>
      <c r="D1725">
        <v>1999</v>
      </c>
      <c r="E1725">
        <v>89</v>
      </c>
      <c r="F1725" t="s">
        <v>471</v>
      </c>
      <c r="G1725">
        <v>71</v>
      </c>
    </row>
    <row r="1726" spans="1:8">
      <c r="A1726" t="str">
        <f t="shared" si="26"/>
        <v>Karolingenstraat 73</v>
      </c>
      <c r="B1726" t="s">
        <v>470</v>
      </c>
      <c r="C1726" t="s">
        <v>306</v>
      </c>
      <c r="D1726">
        <v>1999</v>
      </c>
      <c r="E1726">
        <v>89</v>
      </c>
      <c r="F1726" t="s">
        <v>471</v>
      </c>
      <c r="G1726">
        <v>73</v>
      </c>
    </row>
    <row r="1727" spans="1:8">
      <c r="A1727" t="str">
        <f t="shared" si="26"/>
        <v>Karolingenstraat 75</v>
      </c>
      <c r="B1727" t="s">
        <v>470</v>
      </c>
      <c r="C1727" t="s">
        <v>306</v>
      </c>
      <c r="D1727">
        <v>1999</v>
      </c>
      <c r="E1727">
        <v>89</v>
      </c>
      <c r="F1727" t="s">
        <v>471</v>
      </c>
      <c r="G1727">
        <v>75</v>
      </c>
    </row>
    <row r="1728" spans="1:8">
      <c r="A1728" t="str">
        <f t="shared" si="26"/>
        <v>Karolingenstraat 77</v>
      </c>
      <c r="B1728" t="s">
        <v>470</v>
      </c>
      <c r="C1728" t="s">
        <v>306</v>
      </c>
      <c r="D1728">
        <v>1999</v>
      </c>
      <c r="E1728">
        <v>89</v>
      </c>
      <c r="F1728" t="s">
        <v>471</v>
      </c>
      <c r="G1728">
        <v>77</v>
      </c>
    </row>
    <row r="1729" spans="1:7">
      <c r="A1729" t="str">
        <f t="shared" si="26"/>
        <v>Karolingenstraat 79</v>
      </c>
      <c r="B1729" t="s">
        <v>470</v>
      </c>
      <c r="C1729" t="s">
        <v>306</v>
      </c>
      <c r="D1729">
        <v>1999</v>
      </c>
      <c r="E1729">
        <v>89</v>
      </c>
      <c r="F1729" t="s">
        <v>471</v>
      </c>
      <c r="G1729">
        <v>79</v>
      </c>
    </row>
    <row r="1730" spans="1:7">
      <c r="A1730" t="str">
        <f t="shared" ref="A1730:A1793" si="27">CONCATENATE(F1730," ",G1730,H1730)</f>
        <v>Karolingenstraat 81</v>
      </c>
      <c r="B1730" t="s">
        <v>470</v>
      </c>
      <c r="C1730" t="s">
        <v>306</v>
      </c>
      <c r="D1730">
        <v>1999</v>
      </c>
      <c r="E1730">
        <v>158</v>
      </c>
      <c r="F1730" t="s">
        <v>471</v>
      </c>
      <c r="G1730">
        <v>81</v>
      </c>
    </row>
    <row r="1731" spans="1:7">
      <c r="A1731" t="str">
        <f t="shared" si="27"/>
        <v>Karolingenstraat 83</v>
      </c>
      <c r="B1731" t="s">
        <v>470</v>
      </c>
      <c r="C1731" t="s">
        <v>306</v>
      </c>
      <c r="D1731">
        <v>1998</v>
      </c>
      <c r="E1731">
        <v>170</v>
      </c>
      <c r="F1731" t="s">
        <v>471</v>
      </c>
      <c r="G1731">
        <v>83</v>
      </c>
    </row>
    <row r="1732" spans="1:7">
      <c r="A1732" t="str">
        <f t="shared" si="27"/>
        <v>Karolingenstraat 85</v>
      </c>
      <c r="B1732" t="s">
        <v>470</v>
      </c>
      <c r="C1732" t="s">
        <v>306</v>
      </c>
      <c r="D1732">
        <v>1998</v>
      </c>
      <c r="E1732">
        <v>165</v>
      </c>
      <c r="F1732" t="s">
        <v>471</v>
      </c>
      <c r="G1732">
        <v>85</v>
      </c>
    </row>
    <row r="1733" spans="1:7">
      <c r="A1733" t="str">
        <f t="shared" si="27"/>
        <v>Karolingenstraat 87</v>
      </c>
      <c r="B1733" t="s">
        <v>470</v>
      </c>
      <c r="C1733" t="s">
        <v>306</v>
      </c>
      <c r="D1733">
        <v>1998</v>
      </c>
      <c r="E1733">
        <v>150</v>
      </c>
      <c r="F1733" t="s">
        <v>471</v>
      </c>
      <c r="G1733">
        <v>87</v>
      </c>
    </row>
    <row r="1734" spans="1:7">
      <c r="A1734" t="str">
        <f t="shared" si="27"/>
        <v>Karolingenstraat 89</v>
      </c>
      <c r="B1734" t="s">
        <v>470</v>
      </c>
      <c r="C1734" t="s">
        <v>306</v>
      </c>
      <c r="D1734">
        <v>1998</v>
      </c>
      <c r="E1734">
        <v>157</v>
      </c>
      <c r="F1734" t="s">
        <v>471</v>
      </c>
      <c r="G1734">
        <v>89</v>
      </c>
    </row>
    <row r="1735" spans="1:7">
      <c r="A1735" t="str">
        <f t="shared" si="27"/>
        <v>Karolingenstraat 91</v>
      </c>
      <c r="B1735" t="s">
        <v>470</v>
      </c>
      <c r="C1735" t="s">
        <v>306</v>
      </c>
      <c r="D1735">
        <v>1997</v>
      </c>
      <c r="E1735">
        <v>122</v>
      </c>
      <c r="F1735" t="s">
        <v>471</v>
      </c>
      <c r="G1735">
        <v>91</v>
      </c>
    </row>
    <row r="1736" spans="1:7">
      <c r="A1736" t="str">
        <f t="shared" si="27"/>
        <v>Karolingenstraat 93</v>
      </c>
      <c r="B1736" t="s">
        <v>470</v>
      </c>
      <c r="C1736" t="s">
        <v>306</v>
      </c>
      <c r="D1736">
        <v>1997</v>
      </c>
      <c r="E1736">
        <v>94</v>
      </c>
      <c r="F1736" t="s">
        <v>471</v>
      </c>
      <c r="G1736">
        <v>93</v>
      </c>
    </row>
    <row r="1737" spans="1:7">
      <c r="A1737" t="str">
        <f t="shared" si="27"/>
        <v>Kastanjelaan 1</v>
      </c>
      <c r="B1737" t="s">
        <v>473</v>
      </c>
      <c r="C1737" t="s">
        <v>296</v>
      </c>
      <c r="D1737">
        <v>1971</v>
      </c>
      <c r="E1737">
        <v>201</v>
      </c>
      <c r="F1737" t="s">
        <v>474</v>
      </c>
      <c r="G1737">
        <v>1</v>
      </c>
    </row>
    <row r="1738" spans="1:7">
      <c r="A1738" t="str">
        <f t="shared" si="27"/>
        <v>Kastanjelaan 2</v>
      </c>
      <c r="B1738" t="s">
        <v>475</v>
      </c>
      <c r="C1738" t="s">
        <v>296</v>
      </c>
      <c r="D1738">
        <v>1976</v>
      </c>
      <c r="E1738">
        <v>242</v>
      </c>
      <c r="F1738" t="s">
        <v>474</v>
      </c>
      <c r="G1738">
        <v>2</v>
      </c>
    </row>
    <row r="1739" spans="1:7">
      <c r="A1739" t="str">
        <f t="shared" si="27"/>
        <v>Kastanjelaan 3</v>
      </c>
      <c r="B1739" t="s">
        <v>473</v>
      </c>
      <c r="C1739" t="s">
        <v>296</v>
      </c>
      <c r="D1739">
        <v>1976</v>
      </c>
      <c r="E1739">
        <v>177</v>
      </c>
      <c r="F1739" t="s">
        <v>474</v>
      </c>
      <c r="G1739">
        <v>3</v>
      </c>
    </row>
    <row r="1740" spans="1:7">
      <c r="A1740" t="str">
        <f t="shared" si="27"/>
        <v>Kastanjelaan 4</v>
      </c>
      <c r="B1740" t="s">
        <v>475</v>
      </c>
      <c r="C1740" t="s">
        <v>296</v>
      </c>
      <c r="D1740">
        <v>1975</v>
      </c>
      <c r="E1740">
        <v>215</v>
      </c>
      <c r="F1740" t="s">
        <v>474</v>
      </c>
      <c r="G1740">
        <v>4</v>
      </c>
    </row>
    <row r="1741" spans="1:7">
      <c r="A1741" t="str">
        <f t="shared" si="27"/>
        <v>Kastanjelaan 5</v>
      </c>
      <c r="B1741" t="s">
        <v>473</v>
      </c>
      <c r="C1741" t="s">
        <v>296</v>
      </c>
      <c r="D1741">
        <v>1977</v>
      </c>
      <c r="E1741">
        <v>271</v>
      </c>
      <c r="F1741" t="s">
        <v>474</v>
      </c>
      <c r="G1741">
        <v>5</v>
      </c>
    </row>
    <row r="1742" spans="1:7">
      <c r="A1742" t="str">
        <f t="shared" si="27"/>
        <v>Kastanjelaan 6</v>
      </c>
      <c r="B1742" t="s">
        <v>475</v>
      </c>
      <c r="C1742" t="s">
        <v>296</v>
      </c>
      <c r="D1742">
        <v>1976</v>
      </c>
      <c r="E1742">
        <v>268</v>
      </c>
      <c r="F1742" t="s">
        <v>474</v>
      </c>
      <c r="G1742">
        <v>6</v>
      </c>
    </row>
    <row r="1743" spans="1:7">
      <c r="A1743" t="str">
        <f t="shared" si="27"/>
        <v>Kastanjelaan 7</v>
      </c>
      <c r="B1743" t="s">
        <v>473</v>
      </c>
      <c r="C1743" t="s">
        <v>296</v>
      </c>
      <c r="D1743">
        <v>1975</v>
      </c>
      <c r="E1743">
        <v>218</v>
      </c>
      <c r="F1743" t="s">
        <v>474</v>
      </c>
      <c r="G1743">
        <v>7</v>
      </c>
    </row>
    <row r="1744" spans="1:7">
      <c r="A1744" t="str">
        <f t="shared" si="27"/>
        <v>Kastanjelaan 8</v>
      </c>
      <c r="B1744" t="s">
        <v>475</v>
      </c>
      <c r="C1744" t="s">
        <v>296</v>
      </c>
      <c r="D1744">
        <v>1976</v>
      </c>
      <c r="E1744">
        <v>317</v>
      </c>
      <c r="F1744" t="s">
        <v>474</v>
      </c>
      <c r="G1744">
        <v>8</v>
      </c>
    </row>
    <row r="1745" spans="1:7">
      <c r="A1745" t="str">
        <f t="shared" si="27"/>
        <v>Kastanjelaan 9</v>
      </c>
      <c r="B1745" t="s">
        <v>473</v>
      </c>
      <c r="C1745" t="s">
        <v>296</v>
      </c>
      <c r="D1745">
        <v>1975</v>
      </c>
      <c r="E1745">
        <v>211</v>
      </c>
      <c r="F1745" t="s">
        <v>474</v>
      </c>
      <c r="G1745">
        <v>9</v>
      </c>
    </row>
    <row r="1746" spans="1:7">
      <c r="A1746" t="str">
        <f t="shared" si="27"/>
        <v>Kastanjelaan 10</v>
      </c>
      <c r="B1746" t="s">
        <v>475</v>
      </c>
      <c r="C1746" t="s">
        <v>296</v>
      </c>
      <c r="D1746">
        <v>1976</v>
      </c>
      <c r="E1746">
        <v>236</v>
      </c>
      <c r="F1746" t="s">
        <v>474</v>
      </c>
      <c r="G1746">
        <v>10</v>
      </c>
    </row>
    <row r="1747" spans="1:7">
      <c r="A1747" t="str">
        <f t="shared" si="27"/>
        <v>Kastanjelaan 11</v>
      </c>
      <c r="B1747" t="s">
        <v>473</v>
      </c>
      <c r="C1747" t="s">
        <v>296</v>
      </c>
      <c r="D1747">
        <v>1977</v>
      </c>
      <c r="E1747">
        <v>228</v>
      </c>
      <c r="F1747" t="s">
        <v>474</v>
      </c>
      <c r="G1747">
        <v>11</v>
      </c>
    </row>
    <row r="1748" spans="1:7">
      <c r="A1748" t="str">
        <f t="shared" si="27"/>
        <v>Kastanjelaan 12</v>
      </c>
      <c r="B1748" t="s">
        <v>475</v>
      </c>
      <c r="C1748" t="s">
        <v>296</v>
      </c>
      <c r="D1748">
        <v>1976</v>
      </c>
      <c r="E1748">
        <v>350</v>
      </c>
      <c r="F1748" t="s">
        <v>474</v>
      </c>
      <c r="G1748">
        <v>12</v>
      </c>
    </row>
    <row r="1749" spans="1:7">
      <c r="A1749" t="str">
        <f t="shared" si="27"/>
        <v>Kastanjelaan 13</v>
      </c>
      <c r="B1749" t="s">
        <v>473</v>
      </c>
      <c r="C1749" t="s">
        <v>296</v>
      </c>
      <c r="D1749">
        <v>1976</v>
      </c>
      <c r="E1749">
        <v>231</v>
      </c>
      <c r="F1749" t="s">
        <v>474</v>
      </c>
      <c r="G1749">
        <v>13</v>
      </c>
    </row>
    <row r="1750" spans="1:7">
      <c r="A1750" t="str">
        <f t="shared" si="27"/>
        <v>Kastanjelaan 14</v>
      </c>
      <c r="B1750" t="s">
        <v>475</v>
      </c>
      <c r="C1750" t="s">
        <v>296</v>
      </c>
      <c r="D1750">
        <v>1975</v>
      </c>
      <c r="E1750">
        <v>217</v>
      </c>
      <c r="F1750" t="s">
        <v>474</v>
      </c>
      <c r="G1750">
        <v>14</v>
      </c>
    </row>
    <row r="1751" spans="1:7">
      <c r="A1751" t="str">
        <f t="shared" si="27"/>
        <v>Kastanjelaan 15</v>
      </c>
      <c r="B1751" t="s">
        <v>473</v>
      </c>
      <c r="C1751" t="s">
        <v>296</v>
      </c>
      <c r="D1751">
        <v>1976</v>
      </c>
      <c r="E1751">
        <v>111</v>
      </c>
      <c r="F1751" t="s">
        <v>474</v>
      </c>
      <c r="G1751">
        <v>15</v>
      </c>
    </row>
    <row r="1752" spans="1:7">
      <c r="A1752" t="str">
        <f t="shared" si="27"/>
        <v>Kastanjelaan 16</v>
      </c>
      <c r="B1752" t="s">
        <v>475</v>
      </c>
      <c r="C1752" t="s">
        <v>296</v>
      </c>
      <c r="D1752">
        <v>1975</v>
      </c>
      <c r="E1752">
        <v>248</v>
      </c>
      <c r="F1752" t="s">
        <v>474</v>
      </c>
      <c r="G1752">
        <v>16</v>
      </c>
    </row>
    <row r="1753" spans="1:7">
      <c r="A1753" t="str">
        <f t="shared" si="27"/>
        <v>Kastanjelaan 17</v>
      </c>
      <c r="B1753" t="s">
        <v>473</v>
      </c>
      <c r="C1753" t="s">
        <v>296</v>
      </c>
      <c r="D1753">
        <v>1976</v>
      </c>
      <c r="E1753">
        <v>187</v>
      </c>
      <c r="F1753" t="s">
        <v>474</v>
      </c>
      <c r="G1753">
        <v>17</v>
      </c>
    </row>
    <row r="1754" spans="1:7">
      <c r="A1754" t="str">
        <f t="shared" si="27"/>
        <v>Kastanjelaan 18</v>
      </c>
      <c r="B1754" t="s">
        <v>475</v>
      </c>
      <c r="C1754" t="s">
        <v>296</v>
      </c>
      <c r="D1754">
        <v>1976</v>
      </c>
      <c r="E1754">
        <v>221</v>
      </c>
      <c r="F1754" t="s">
        <v>474</v>
      </c>
      <c r="G1754">
        <v>18</v>
      </c>
    </row>
    <row r="1755" spans="1:7">
      <c r="A1755" t="str">
        <f t="shared" si="27"/>
        <v>Kastanjelaan 19</v>
      </c>
      <c r="B1755" t="s">
        <v>473</v>
      </c>
      <c r="C1755" t="s">
        <v>296</v>
      </c>
      <c r="D1755">
        <v>1975</v>
      </c>
      <c r="E1755">
        <v>177</v>
      </c>
      <c r="F1755" t="s">
        <v>474</v>
      </c>
      <c r="G1755">
        <v>19</v>
      </c>
    </row>
    <row r="1756" spans="1:7">
      <c r="A1756" t="str">
        <f t="shared" si="27"/>
        <v>Kastanjelaan 20</v>
      </c>
      <c r="B1756" t="s">
        <v>475</v>
      </c>
      <c r="C1756" t="s">
        <v>296</v>
      </c>
      <c r="D1756">
        <v>1976</v>
      </c>
      <c r="E1756">
        <v>258</v>
      </c>
      <c r="F1756" t="s">
        <v>474</v>
      </c>
      <c r="G1756">
        <v>20</v>
      </c>
    </row>
    <row r="1757" spans="1:7">
      <c r="A1757" t="str">
        <f t="shared" si="27"/>
        <v>Kastanjelaan 21</v>
      </c>
      <c r="B1757" t="s">
        <v>473</v>
      </c>
      <c r="C1757" t="s">
        <v>296</v>
      </c>
      <c r="D1757">
        <v>1975</v>
      </c>
      <c r="E1757">
        <v>198</v>
      </c>
      <c r="F1757" t="s">
        <v>474</v>
      </c>
      <c r="G1757">
        <v>21</v>
      </c>
    </row>
    <row r="1758" spans="1:7">
      <c r="A1758" t="str">
        <f t="shared" si="27"/>
        <v>Kastanjelaan 22</v>
      </c>
      <c r="B1758" t="s">
        <v>475</v>
      </c>
      <c r="C1758" t="s">
        <v>296</v>
      </c>
      <c r="D1758">
        <v>1975</v>
      </c>
      <c r="E1758">
        <v>219</v>
      </c>
      <c r="F1758" t="s">
        <v>474</v>
      </c>
      <c r="G1758">
        <v>22</v>
      </c>
    </row>
    <row r="1759" spans="1:7">
      <c r="A1759" t="str">
        <f t="shared" si="27"/>
        <v>Kastanjelaan 24</v>
      </c>
      <c r="B1759" t="s">
        <v>475</v>
      </c>
      <c r="C1759" t="s">
        <v>296</v>
      </c>
      <c r="D1759">
        <v>1976</v>
      </c>
      <c r="E1759">
        <v>245</v>
      </c>
      <c r="F1759" t="s">
        <v>474</v>
      </c>
      <c r="G1759">
        <v>24</v>
      </c>
    </row>
    <row r="1760" spans="1:7">
      <c r="A1760" t="str">
        <f t="shared" si="27"/>
        <v>Kastanjelaan 26</v>
      </c>
      <c r="B1760" t="s">
        <v>475</v>
      </c>
      <c r="C1760" t="s">
        <v>296</v>
      </c>
      <c r="D1760">
        <v>1977</v>
      </c>
      <c r="E1760">
        <v>156</v>
      </c>
      <c r="F1760" t="s">
        <v>474</v>
      </c>
      <c r="G1760">
        <v>26</v>
      </c>
    </row>
    <row r="1761" spans="1:8">
      <c r="A1761" t="str">
        <f t="shared" si="27"/>
        <v>Kastanjelaan 28</v>
      </c>
      <c r="B1761" t="s">
        <v>475</v>
      </c>
      <c r="C1761" t="s">
        <v>296</v>
      </c>
      <c r="D1761">
        <v>1977</v>
      </c>
      <c r="E1761">
        <v>304</v>
      </c>
      <c r="F1761" t="s">
        <v>474</v>
      </c>
      <c r="G1761">
        <v>28</v>
      </c>
    </row>
    <row r="1762" spans="1:8">
      <c r="A1762" t="str">
        <f t="shared" si="27"/>
        <v>Kastanjelaan 30</v>
      </c>
      <c r="B1762" t="s">
        <v>475</v>
      </c>
      <c r="C1762" t="s">
        <v>296</v>
      </c>
      <c r="D1762">
        <v>1977</v>
      </c>
      <c r="E1762">
        <v>399</v>
      </c>
      <c r="F1762" t="s">
        <v>474</v>
      </c>
      <c r="G1762">
        <v>30</v>
      </c>
    </row>
    <row r="1763" spans="1:8">
      <c r="A1763" t="str">
        <f t="shared" si="27"/>
        <v>Keizershof 1</v>
      </c>
      <c r="B1763" t="s">
        <v>476</v>
      </c>
      <c r="C1763" t="s">
        <v>296</v>
      </c>
      <c r="D1763">
        <v>1970</v>
      </c>
      <c r="E1763">
        <v>139</v>
      </c>
      <c r="F1763" t="s">
        <v>477</v>
      </c>
      <c r="G1763">
        <v>1</v>
      </c>
    </row>
    <row r="1764" spans="1:8">
      <c r="A1764" t="str">
        <f t="shared" si="27"/>
        <v>Keizershof 2</v>
      </c>
      <c r="B1764" t="s">
        <v>478</v>
      </c>
      <c r="C1764" t="s">
        <v>296</v>
      </c>
      <c r="D1764">
        <v>1970</v>
      </c>
      <c r="E1764">
        <v>145</v>
      </c>
      <c r="F1764" t="s">
        <v>477</v>
      </c>
      <c r="G1764">
        <v>2</v>
      </c>
    </row>
    <row r="1765" spans="1:8">
      <c r="A1765" t="str">
        <f t="shared" si="27"/>
        <v>Keizershof 3</v>
      </c>
      <c r="B1765" t="s">
        <v>476</v>
      </c>
      <c r="C1765" t="s">
        <v>296</v>
      </c>
      <c r="D1765">
        <v>1970</v>
      </c>
      <c r="E1765">
        <v>132</v>
      </c>
      <c r="F1765" t="s">
        <v>477</v>
      </c>
      <c r="G1765">
        <v>3</v>
      </c>
    </row>
    <row r="1766" spans="1:8">
      <c r="A1766" t="str">
        <f t="shared" si="27"/>
        <v>Keizershof 4</v>
      </c>
      <c r="B1766" t="s">
        <v>478</v>
      </c>
      <c r="C1766" t="s">
        <v>296</v>
      </c>
      <c r="D1766">
        <v>1970</v>
      </c>
      <c r="E1766">
        <v>144</v>
      </c>
      <c r="F1766" t="s">
        <v>477</v>
      </c>
      <c r="G1766">
        <v>4</v>
      </c>
    </row>
    <row r="1767" spans="1:8">
      <c r="A1767" t="str">
        <f t="shared" si="27"/>
        <v>Keizershof 5</v>
      </c>
      <c r="B1767" t="s">
        <v>476</v>
      </c>
      <c r="C1767" t="s">
        <v>296</v>
      </c>
      <c r="D1767">
        <v>1970</v>
      </c>
      <c r="E1767">
        <v>138</v>
      </c>
      <c r="F1767" t="s">
        <v>477</v>
      </c>
      <c r="G1767">
        <v>5</v>
      </c>
    </row>
    <row r="1768" spans="1:8">
      <c r="A1768" t="str">
        <f t="shared" si="27"/>
        <v>Keizershof 6</v>
      </c>
      <c r="B1768" t="s">
        <v>478</v>
      </c>
      <c r="C1768" t="s">
        <v>296</v>
      </c>
      <c r="D1768">
        <v>1970</v>
      </c>
      <c r="E1768">
        <v>153</v>
      </c>
      <c r="F1768" t="s">
        <v>477</v>
      </c>
      <c r="G1768">
        <v>6</v>
      </c>
    </row>
    <row r="1769" spans="1:8">
      <c r="A1769" t="str">
        <f t="shared" si="27"/>
        <v>Keizershof 7</v>
      </c>
      <c r="B1769" t="s">
        <v>476</v>
      </c>
      <c r="C1769" t="s">
        <v>296</v>
      </c>
      <c r="D1769">
        <v>1970</v>
      </c>
      <c r="E1769">
        <v>132</v>
      </c>
      <c r="F1769" t="s">
        <v>477</v>
      </c>
      <c r="G1769">
        <v>7</v>
      </c>
    </row>
    <row r="1770" spans="1:8">
      <c r="A1770" t="str">
        <f t="shared" si="27"/>
        <v>Keizershof 8</v>
      </c>
      <c r="B1770" t="s">
        <v>478</v>
      </c>
      <c r="C1770" t="s">
        <v>296</v>
      </c>
      <c r="D1770">
        <v>1970</v>
      </c>
      <c r="E1770">
        <v>136</v>
      </c>
      <c r="F1770" t="s">
        <v>477</v>
      </c>
      <c r="G1770">
        <v>8</v>
      </c>
    </row>
    <row r="1771" spans="1:8">
      <c r="A1771" t="str">
        <f t="shared" si="27"/>
        <v>Keizershof 9a</v>
      </c>
      <c r="C1771" t="s">
        <v>296</v>
      </c>
      <c r="D1771">
        <v>1970</v>
      </c>
      <c r="E1771">
        <v>21</v>
      </c>
      <c r="F1771" t="s">
        <v>477</v>
      </c>
      <c r="G1771">
        <v>9</v>
      </c>
      <c r="H1771" t="s">
        <v>304</v>
      </c>
    </row>
    <row r="1772" spans="1:8">
      <c r="A1772" t="str">
        <f t="shared" si="27"/>
        <v>Keizershof 9b</v>
      </c>
      <c r="C1772" t="s">
        <v>296</v>
      </c>
      <c r="D1772">
        <v>1970</v>
      </c>
      <c r="E1772">
        <v>18</v>
      </c>
      <c r="F1772" t="s">
        <v>477</v>
      </c>
      <c r="G1772">
        <v>9</v>
      </c>
      <c r="H1772" t="s">
        <v>298</v>
      </c>
    </row>
    <row r="1773" spans="1:8">
      <c r="A1773" t="str">
        <f t="shared" si="27"/>
        <v>Keizershof 9c</v>
      </c>
      <c r="C1773" t="s">
        <v>296</v>
      </c>
      <c r="D1773">
        <v>1970</v>
      </c>
      <c r="E1773">
        <v>140</v>
      </c>
      <c r="F1773" t="s">
        <v>477</v>
      </c>
      <c r="G1773">
        <v>9</v>
      </c>
      <c r="H1773" t="s">
        <v>299</v>
      </c>
    </row>
    <row r="1774" spans="1:8">
      <c r="A1774" t="str">
        <f t="shared" si="27"/>
        <v>Keizershof 9d</v>
      </c>
      <c r="C1774" t="s">
        <v>296</v>
      </c>
      <c r="D1774">
        <v>1970</v>
      </c>
      <c r="E1774">
        <v>140</v>
      </c>
      <c r="F1774" t="s">
        <v>477</v>
      </c>
      <c r="G1774">
        <v>9</v>
      </c>
      <c r="H1774" t="s">
        <v>300</v>
      </c>
    </row>
    <row r="1775" spans="1:8">
      <c r="A1775" t="str">
        <f t="shared" si="27"/>
        <v>Keizershof 9</v>
      </c>
      <c r="B1775" t="s">
        <v>476</v>
      </c>
      <c r="C1775" t="s">
        <v>296</v>
      </c>
      <c r="D1775">
        <v>1970</v>
      </c>
      <c r="E1775">
        <v>139</v>
      </c>
      <c r="F1775" t="s">
        <v>477</v>
      </c>
      <c r="G1775">
        <v>9</v>
      </c>
    </row>
    <row r="1776" spans="1:8">
      <c r="A1776" t="str">
        <f t="shared" si="27"/>
        <v>Keizershof 10</v>
      </c>
      <c r="B1776" t="s">
        <v>478</v>
      </c>
      <c r="C1776" t="s">
        <v>296</v>
      </c>
      <c r="D1776">
        <v>1970</v>
      </c>
      <c r="E1776">
        <v>157</v>
      </c>
      <c r="F1776" t="s">
        <v>477</v>
      </c>
      <c r="G1776">
        <v>10</v>
      </c>
    </row>
    <row r="1777" spans="1:8">
      <c r="A1777" t="str">
        <f t="shared" si="27"/>
        <v>Keizershof 12a</v>
      </c>
      <c r="B1777" t="s">
        <v>478</v>
      </c>
      <c r="C1777" t="s">
        <v>296</v>
      </c>
      <c r="D1777">
        <v>1969</v>
      </c>
      <c r="E1777">
        <v>12</v>
      </c>
      <c r="F1777" t="s">
        <v>477</v>
      </c>
      <c r="G1777">
        <v>12</v>
      </c>
      <c r="H1777" t="s">
        <v>304</v>
      </c>
    </row>
    <row r="1778" spans="1:8">
      <c r="A1778" t="str">
        <f t="shared" si="27"/>
        <v>Keizershof 12b</v>
      </c>
      <c r="B1778" t="s">
        <v>478</v>
      </c>
      <c r="C1778" t="s">
        <v>296</v>
      </c>
      <c r="D1778">
        <v>1970</v>
      </c>
      <c r="E1778">
        <v>19</v>
      </c>
      <c r="F1778" t="s">
        <v>477</v>
      </c>
      <c r="G1778">
        <v>12</v>
      </c>
      <c r="H1778" t="s">
        <v>298</v>
      </c>
    </row>
    <row r="1779" spans="1:8">
      <c r="A1779" t="str">
        <f t="shared" si="27"/>
        <v>Keizershof 12c</v>
      </c>
      <c r="B1779" t="s">
        <v>478</v>
      </c>
      <c r="C1779" t="s">
        <v>296</v>
      </c>
      <c r="D1779">
        <v>1970</v>
      </c>
      <c r="E1779">
        <v>16</v>
      </c>
      <c r="F1779" t="s">
        <v>477</v>
      </c>
      <c r="G1779">
        <v>12</v>
      </c>
      <c r="H1779" t="s">
        <v>299</v>
      </c>
    </row>
    <row r="1780" spans="1:8">
      <c r="A1780" t="str">
        <f t="shared" si="27"/>
        <v>Keizershof 12d</v>
      </c>
      <c r="B1780" t="s">
        <v>478</v>
      </c>
      <c r="C1780" t="s">
        <v>296</v>
      </c>
      <c r="D1780">
        <v>1970</v>
      </c>
      <c r="E1780">
        <v>140</v>
      </c>
      <c r="F1780" t="s">
        <v>477</v>
      </c>
      <c r="G1780">
        <v>12</v>
      </c>
      <c r="H1780" t="s">
        <v>300</v>
      </c>
    </row>
    <row r="1781" spans="1:8">
      <c r="A1781" t="str">
        <f t="shared" si="27"/>
        <v>Keizershof 12e</v>
      </c>
      <c r="B1781" t="s">
        <v>478</v>
      </c>
      <c r="C1781" t="s">
        <v>296</v>
      </c>
      <c r="D1781">
        <v>1970</v>
      </c>
      <c r="E1781">
        <v>164</v>
      </c>
      <c r="F1781" t="s">
        <v>477</v>
      </c>
      <c r="G1781">
        <v>12</v>
      </c>
      <c r="H1781" t="s">
        <v>319</v>
      </c>
    </row>
    <row r="1782" spans="1:8">
      <c r="A1782" t="str">
        <f t="shared" si="27"/>
        <v>Keizershof 12f</v>
      </c>
      <c r="B1782" t="s">
        <v>478</v>
      </c>
      <c r="C1782" t="s">
        <v>296</v>
      </c>
      <c r="D1782">
        <v>1970</v>
      </c>
      <c r="E1782">
        <v>17</v>
      </c>
      <c r="F1782" t="s">
        <v>477</v>
      </c>
      <c r="G1782">
        <v>12</v>
      </c>
      <c r="H1782" t="s">
        <v>329</v>
      </c>
    </row>
    <row r="1783" spans="1:8">
      <c r="A1783" t="str">
        <f t="shared" si="27"/>
        <v>Keizershof 12g</v>
      </c>
      <c r="B1783" t="s">
        <v>478</v>
      </c>
      <c r="C1783" t="s">
        <v>296</v>
      </c>
      <c r="D1783">
        <v>1970</v>
      </c>
      <c r="E1783">
        <v>140</v>
      </c>
      <c r="F1783" t="s">
        <v>477</v>
      </c>
      <c r="G1783">
        <v>12</v>
      </c>
      <c r="H1783" t="s">
        <v>330</v>
      </c>
    </row>
    <row r="1784" spans="1:8">
      <c r="A1784" t="str">
        <f t="shared" si="27"/>
        <v>Keizershof 12</v>
      </c>
      <c r="B1784" t="s">
        <v>478</v>
      </c>
      <c r="C1784" t="s">
        <v>296</v>
      </c>
      <c r="D1784">
        <v>1970</v>
      </c>
      <c r="E1784">
        <v>135</v>
      </c>
      <c r="F1784" t="s">
        <v>477</v>
      </c>
      <c r="G1784">
        <v>12</v>
      </c>
    </row>
    <row r="1785" spans="1:8">
      <c r="A1785" t="str">
        <f t="shared" si="27"/>
        <v>Keizershof 13</v>
      </c>
      <c r="B1785" t="s">
        <v>476</v>
      </c>
      <c r="C1785" t="s">
        <v>296</v>
      </c>
      <c r="D1785">
        <v>1989</v>
      </c>
      <c r="E1785">
        <v>152</v>
      </c>
      <c r="F1785" t="s">
        <v>477</v>
      </c>
      <c r="G1785">
        <v>13</v>
      </c>
    </row>
    <row r="1786" spans="1:8">
      <c r="A1786" t="str">
        <f t="shared" si="27"/>
        <v>Keizershof 14</v>
      </c>
      <c r="B1786" t="s">
        <v>478</v>
      </c>
      <c r="C1786" t="s">
        <v>296</v>
      </c>
      <c r="D1786">
        <v>1970</v>
      </c>
      <c r="E1786">
        <v>191</v>
      </c>
      <c r="F1786" t="s">
        <v>477</v>
      </c>
      <c r="G1786">
        <v>14</v>
      </c>
    </row>
    <row r="1787" spans="1:8">
      <c r="A1787" t="str">
        <f t="shared" si="27"/>
        <v>Keizershof 15</v>
      </c>
      <c r="B1787" t="s">
        <v>476</v>
      </c>
      <c r="C1787" t="s">
        <v>296</v>
      </c>
      <c r="D1787">
        <v>1989</v>
      </c>
      <c r="E1787">
        <v>133</v>
      </c>
      <c r="F1787" t="s">
        <v>477</v>
      </c>
      <c r="G1787">
        <v>15</v>
      </c>
    </row>
    <row r="1788" spans="1:8">
      <c r="A1788" t="str">
        <f t="shared" si="27"/>
        <v>Keizershof 16</v>
      </c>
      <c r="B1788" t="s">
        <v>478</v>
      </c>
      <c r="C1788" t="s">
        <v>296</v>
      </c>
      <c r="D1788">
        <v>1970</v>
      </c>
      <c r="E1788">
        <v>144</v>
      </c>
      <c r="F1788" t="s">
        <v>477</v>
      </c>
      <c r="G1788">
        <v>16</v>
      </c>
    </row>
    <row r="1789" spans="1:8">
      <c r="A1789" t="str">
        <f t="shared" si="27"/>
        <v>Keizershof 17</v>
      </c>
      <c r="B1789" t="s">
        <v>476</v>
      </c>
      <c r="C1789" t="s">
        <v>296</v>
      </c>
      <c r="D1789">
        <v>1992</v>
      </c>
      <c r="E1789">
        <v>139</v>
      </c>
      <c r="F1789" t="s">
        <v>477</v>
      </c>
      <c r="G1789">
        <v>17</v>
      </c>
    </row>
    <row r="1790" spans="1:8">
      <c r="A1790" t="str">
        <f t="shared" si="27"/>
        <v>Keizershof 18</v>
      </c>
      <c r="B1790" t="s">
        <v>478</v>
      </c>
      <c r="C1790" t="s">
        <v>296</v>
      </c>
      <c r="D1790">
        <v>1970</v>
      </c>
      <c r="E1790">
        <v>133</v>
      </c>
      <c r="F1790" t="s">
        <v>477</v>
      </c>
      <c r="G1790">
        <v>18</v>
      </c>
    </row>
    <row r="1791" spans="1:8">
      <c r="A1791" t="str">
        <f t="shared" si="27"/>
        <v>Keizershof 19</v>
      </c>
      <c r="B1791" t="s">
        <v>476</v>
      </c>
      <c r="C1791" t="s">
        <v>296</v>
      </c>
      <c r="D1791">
        <v>1968</v>
      </c>
      <c r="E1791">
        <v>142</v>
      </c>
      <c r="F1791" t="s">
        <v>477</v>
      </c>
      <c r="G1791">
        <v>19</v>
      </c>
    </row>
    <row r="1792" spans="1:8">
      <c r="A1792" t="str">
        <f t="shared" si="27"/>
        <v>Keizershof 20</v>
      </c>
      <c r="B1792" t="s">
        <v>478</v>
      </c>
      <c r="C1792" t="s">
        <v>296</v>
      </c>
      <c r="D1792">
        <v>1970</v>
      </c>
      <c r="E1792">
        <v>136</v>
      </c>
      <c r="F1792" t="s">
        <v>477</v>
      </c>
      <c r="G1792">
        <v>20</v>
      </c>
    </row>
    <row r="1793" spans="1:7">
      <c r="A1793" t="str">
        <f t="shared" si="27"/>
        <v>Keizershof 21</v>
      </c>
      <c r="B1793" t="s">
        <v>476</v>
      </c>
      <c r="C1793" t="s">
        <v>296</v>
      </c>
      <c r="D1793">
        <v>1968</v>
      </c>
      <c r="E1793">
        <v>183</v>
      </c>
      <c r="F1793" t="s">
        <v>477</v>
      </c>
      <c r="G1793">
        <v>21</v>
      </c>
    </row>
    <row r="1794" spans="1:7">
      <c r="A1794" t="str">
        <f t="shared" ref="A1794:A1857" si="28">CONCATENATE(F1794," ",G1794,H1794)</f>
        <v>Keizershof 22</v>
      </c>
      <c r="B1794" t="s">
        <v>478</v>
      </c>
      <c r="C1794" t="s">
        <v>296</v>
      </c>
      <c r="D1794">
        <v>1970</v>
      </c>
      <c r="E1794">
        <v>132</v>
      </c>
      <c r="F1794" t="s">
        <v>477</v>
      </c>
      <c r="G1794">
        <v>22</v>
      </c>
    </row>
    <row r="1795" spans="1:7">
      <c r="A1795" t="str">
        <f t="shared" si="28"/>
        <v>Keizershof 23</v>
      </c>
      <c r="B1795" t="s">
        <v>476</v>
      </c>
      <c r="C1795" t="s">
        <v>296</v>
      </c>
      <c r="D1795">
        <v>1968</v>
      </c>
      <c r="E1795">
        <v>202</v>
      </c>
      <c r="F1795" t="s">
        <v>477</v>
      </c>
      <c r="G1795">
        <v>23</v>
      </c>
    </row>
    <row r="1796" spans="1:7">
      <c r="A1796" t="str">
        <f t="shared" si="28"/>
        <v>Keizershof 24</v>
      </c>
      <c r="B1796" t="s">
        <v>478</v>
      </c>
      <c r="C1796" t="s">
        <v>296</v>
      </c>
      <c r="D1796">
        <v>1970</v>
      </c>
      <c r="E1796">
        <v>149</v>
      </c>
      <c r="F1796" t="s">
        <v>477</v>
      </c>
      <c r="G1796">
        <v>24</v>
      </c>
    </row>
    <row r="1797" spans="1:7">
      <c r="A1797" t="str">
        <f t="shared" si="28"/>
        <v>Keizershof 25</v>
      </c>
      <c r="B1797" t="s">
        <v>476</v>
      </c>
      <c r="C1797" t="s">
        <v>296</v>
      </c>
      <c r="D1797">
        <v>1968</v>
      </c>
      <c r="E1797">
        <v>184</v>
      </c>
      <c r="F1797" t="s">
        <v>477</v>
      </c>
      <c r="G1797">
        <v>25</v>
      </c>
    </row>
    <row r="1798" spans="1:7">
      <c r="A1798" t="str">
        <f t="shared" si="28"/>
        <v>Keizershof 26</v>
      </c>
      <c r="B1798" t="s">
        <v>478</v>
      </c>
      <c r="C1798" t="s">
        <v>296</v>
      </c>
      <c r="D1798">
        <v>1970</v>
      </c>
      <c r="E1798">
        <v>133</v>
      </c>
      <c r="F1798" t="s">
        <v>477</v>
      </c>
      <c r="G1798">
        <v>26</v>
      </c>
    </row>
    <row r="1799" spans="1:7">
      <c r="A1799" t="str">
        <f t="shared" si="28"/>
        <v>Keizershof 27</v>
      </c>
      <c r="B1799" t="s">
        <v>476</v>
      </c>
      <c r="C1799" t="s">
        <v>296</v>
      </c>
      <c r="D1799">
        <v>1968</v>
      </c>
      <c r="E1799">
        <v>178</v>
      </c>
      <c r="F1799" t="s">
        <v>477</v>
      </c>
      <c r="G1799">
        <v>27</v>
      </c>
    </row>
    <row r="1800" spans="1:7">
      <c r="A1800" t="str">
        <f t="shared" si="28"/>
        <v>Keizershof 28</v>
      </c>
      <c r="B1800" t="s">
        <v>478</v>
      </c>
      <c r="C1800" t="s">
        <v>296</v>
      </c>
      <c r="D1800">
        <v>1970</v>
      </c>
      <c r="E1800">
        <v>133</v>
      </c>
      <c r="F1800" t="s">
        <v>477</v>
      </c>
      <c r="G1800">
        <v>28</v>
      </c>
    </row>
    <row r="1801" spans="1:7">
      <c r="A1801" t="str">
        <f t="shared" si="28"/>
        <v>Keizershof 29</v>
      </c>
      <c r="B1801" t="s">
        <v>476</v>
      </c>
      <c r="C1801" t="s">
        <v>296</v>
      </c>
      <c r="D1801">
        <v>1968</v>
      </c>
      <c r="E1801">
        <v>163</v>
      </c>
      <c r="F1801" t="s">
        <v>477</v>
      </c>
      <c r="G1801">
        <v>29</v>
      </c>
    </row>
    <row r="1802" spans="1:7">
      <c r="A1802" t="str">
        <f t="shared" si="28"/>
        <v>Keizershof 30</v>
      </c>
      <c r="B1802" t="s">
        <v>478</v>
      </c>
      <c r="C1802" t="s">
        <v>296</v>
      </c>
      <c r="D1802">
        <v>1970</v>
      </c>
      <c r="E1802">
        <v>132</v>
      </c>
      <c r="F1802" t="s">
        <v>477</v>
      </c>
      <c r="G1802">
        <v>30</v>
      </c>
    </row>
    <row r="1803" spans="1:7">
      <c r="A1803" t="str">
        <f t="shared" si="28"/>
        <v>Keizershof 31</v>
      </c>
      <c r="B1803" t="s">
        <v>476</v>
      </c>
      <c r="C1803" t="s">
        <v>296</v>
      </c>
      <c r="D1803">
        <v>1968</v>
      </c>
      <c r="E1803">
        <v>196</v>
      </c>
      <c r="F1803" t="s">
        <v>477</v>
      </c>
      <c r="G1803">
        <v>31</v>
      </c>
    </row>
    <row r="1804" spans="1:7">
      <c r="A1804" t="str">
        <f t="shared" si="28"/>
        <v>Keizershof 32</v>
      </c>
      <c r="B1804" t="s">
        <v>478</v>
      </c>
      <c r="C1804" t="s">
        <v>296</v>
      </c>
      <c r="D1804">
        <v>1970</v>
      </c>
      <c r="E1804">
        <v>133</v>
      </c>
      <c r="F1804" t="s">
        <v>477</v>
      </c>
      <c r="G1804">
        <v>32</v>
      </c>
    </row>
    <row r="1805" spans="1:7">
      <c r="A1805" t="str">
        <f t="shared" si="28"/>
        <v>Keizershof 33</v>
      </c>
      <c r="B1805" t="s">
        <v>476</v>
      </c>
      <c r="C1805" t="s">
        <v>296</v>
      </c>
      <c r="D1805">
        <v>1968</v>
      </c>
      <c r="E1805">
        <v>143</v>
      </c>
      <c r="F1805" t="s">
        <v>477</v>
      </c>
      <c r="G1805">
        <v>33</v>
      </c>
    </row>
    <row r="1806" spans="1:7">
      <c r="A1806" t="str">
        <f t="shared" si="28"/>
        <v>Keizershof 34</v>
      </c>
      <c r="B1806" t="s">
        <v>478</v>
      </c>
      <c r="C1806" t="s">
        <v>296</v>
      </c>
      <c r="D1806">
        <v>1970</v>
      </c>
      <c r="E1806">
        <v>136</v>
      </c>
      <c r="F1806" t="s">
        <v>477</v>
      </c>
      <c r="G1806">
        <v>34</v>
      </c>
    </row>
    <row r="1807" spans="1:7">
      <c r="A1807" t="str">
        <f t="shared" si="28"/>
        <v>Keizershof 35</v>
      </c>
      <c r="B1807" t="s">
        <v>476</v>
      </c>
      <c r="C1807" t="s">
        <v>296</v>
      </c>
      <c r="D1807">
        <v>1971</v>
      </c>
      <c r="E1807">
        <v>179</v>
      </c>
      <c r="F1807" t="s">
        <v>477</v>
      </c>
      <c r="G1807">
        <v>35</v>
      </c>
    </row>
    <row r="1808" spans="1:7">
      <c r="A1808" t="str">
        <f t="shared" si="28"/>
        <v>Keizershof 36</v>
      </c>
      <c r="B1808" t="s">
        <v>478</v>
      </c>
      <c r="C1808" t="s">
        <v>296</v>
      </c>
      <c r="D1808">
        <v>1970</v>
      </c>
      <c r="E1808">
        <v>133</v>
      </c>
      <c r="F1808" t="s">
        <v>477</v>
      </c>
      <c r="G1808">
        <v>36</v>
      </c>
    </row>
    <row r="1809" spans="1:7">
      <c r="A1809" t="str">
        <f t="shared" si="28"/>
        <v>Keizershof 37</v>
      </c>
      <c r="B1809" t="s">
        <v>476</v>
      </c>
      <c r="C1809" t="s">
        <v>296</v>
      </c>
      <c r="D1809">
        <v>1971</v>
      </c>
      <c r="E1809">
        <v>160</v>
      </c>
      <c r="F1809" t="s">
        <v>477</v>
      </c>
      <c r="G1809">
        <v>37</v>
      </c>
    </row>
    <row r="1810" spans="1:7">
      <c r="A1810" t="str">
        <f t="shared" si="28"/>
        <v>Keizershof 38</v>
      </c>
      <c r="B1810" t="s">
        <v>478</v>
      </c>
      <c r="C1810" t="s">
        <v>296</v>
      </c>
      <c r="D1810">
        <v>1970</v>
      </c>
      <c r="E1810">
        <v>138</v>
      </c>
      <c r="F1810" t="s">
        <v>477</v>
      </c>
      <c r="G1810">
        <v>38</v>
      </c>
    </row>
    <row r="1811" spans="1:7">
      <c r="A1811" t="str">
        <f t="shared" si="28"/>
        <v>Keizershof 40</v>
      </c>
      <c r="B1811" t="s">
        <v>479</v>
      </c>
      <c r="C1811" t="s">
        <v>296</v>
      </c>
      <c r="D1811">
        <v>1970</v>
      </c>
      <c r="E1811">
        <v>152</v>
      </c>
      <c r="F1811" t="s">
        <v>477</v>
      </c>
      <c r="G1811">
        <v>40</v>
      </c>
    </row>
    <row r="1812" spans="1:7">
      <c r="A1812" t="str">
        <f t="shared" si="28"/>
        <v>Keizershof 42</v>
      </c>
      <c r="B1812" t="s">
        <v>479</v>
      </c>
      <c r="C1812" t="s">
        <v>296</v>
      </c>
      <c r="D1812">
        <v>1970</v>
      </c>
      <c r="E1812">
        <v>143</v>
      </c>
      <c r="F1812" t="s">
        <v>477</v>
      </c>
      <c r="G1812">
        <v>42</v>
      </c>
    </row>
    <row r="1813" spans="1:7">
      <c r="A1813" t="str">
        <f t="shared" si="28"/>
        <v>Keizershof 44</v>
      </c>
      <c r="B1813" t="s">
        <v>479</v>
      </c>
      <c r="C1813" t="s">
        <v>296</v>
      </c>
      <c r="D1813">
        <v>1970</v>
      </c>
      <c r="E1813">
        <v>150</v>
      </c>
      <c r="F1813" t="s">
        <v>477</v>
      </c>
      <c r="G1813">
        <v>44</v>
      </c>
    </row>
    <row r="1814" spans="1:7">
      <c r="A1814" t="str">
        <f t="shared" si="28"/>
        <v>Keizershof 46</v>
      </c>
      <c r="B1814" t="s">
        <v>479</v>
      </c>
      <c r="C1814" t="s">
        <v>296</v>
      </c>
      <c r="D1814">
        <v>1970</v>
      </c>
      <c r="E1814">
        <v>134</v>
      </c>
      <c r="F1814" t="s">
        <v>477</v>
      </c>
      <c r="G1814">
        <v>46</v>
      </c>
    </row>
    <row r="1815" spans="1:7">
      <c r="A1815" t="str">
        <f t="shared" si="28"/>
        <v>Keizershof 48</v>
      </c>
      <c r="B1815" t="s">
        <v>479</v>
      </c>
      <c r="C1815" t="s">
        <v>296</v>
      </c>
      <c r="D1815">
        <v>1970</v>
      </c>
      <c r="E1815">
        <v>133</v>
      </c>
      <c r="F1815" t="s">
        <v>477</v>
      </c>
      <c r="G1815">
        <v>48</v>
      </c>
    </row>
    <row r="1816" spans="1:7">
      <c r="A1816" t="str">
        <f t="shared" si="28"/>
        <v>Keizershof 50</v>
      </c>
      <c r="B1816" t="s">
        <v>479</v>
      </c>
      <c r="C1816" t="s">
        <v>296</v>
      </c>
      <c r="D1816">
        <v>1970</v>
      </c>
      <c r="E1816">
        <v>133</v>
      </c>
      <c r="F1816" t="s">
        <v>477</v>
      </c>
      <c r="G1816">
        <v>50</v>
      </c>
    </row>
    <row r="1817" spans="1:7">
      <c r="A1817" t="str">
        <f t="shared" si="28"/>
        <v>Keizershof 52</v>
      </c>
      <c r="B1817" t="s">
        <v>479</v>
      </c>
      <c r="C1817" t="s">
        <v>296</v>
      </c>
      <c r="D1817">
        <v>1970</v>
      </c>
      <c r="E1817">
        <v>133</v>
      </c>
      <c r="F1817" t="s">
        <v>477</v>
      </c>
      <c r="G1817">
        <v>52</v>
      </c>
    </row>
    <row r="1818" spans="1:7">
      <c r="A1818" t="str">
        <f t="shared" si="28"/>
        <v>Keizershof 54</v>
      </c>
      <c r="B1818" t="s">
        <v>479</v>
      </c>
      <c r="C1818" t="s">
        <v>296</v>
      </c>
      <c r="D1818">
        <v>1970</v>
      </c>
      <c r="E1818">
        <v>132</v>
      </c>
      <c r="F1818" t="s">
        <v>477</v>
      </c>
      <c r="G1818">
        <v>54</v>
      </c>
    </row>
    <row r="1819" spans="1:7">
      <c r="A1819" t="str">
        <f t="shared" si="28"/>
        <v>Keizershof 56</v>
      </c>
      <c r="B1819" t="s">
        <v>479</v>
      </c>
      <c r="C1819" t="s">
        <v>296</v>
      </c>
      <c r="D1819">
        <v>1970</v>
      </c>
      <c r="E1819">
        <v>145</v>
      </c>
      <c r="F1819" t="s">
        <v>477</v>
      </c>
      <c r="G1819">
        <v>56</v>
      </c>
    </row>
    <row r="1820" spans="1:7">
      <c r="A1820" t="str">
        <f t="shared" si="28"/>
        <v>Keizershof 58</v>
      </c>
      <c r="B1820" t="s">
        <v>479</v>
      </c>
      <c r="C1820" t="s">
        <v>296</v>
      </c>
      <c r="D1820">
        <v>1970</v>
      </c>
      <c r="E1820">
        <v>132</v>
      </c>
      <c r="F1820" t="s">
        <v>477</v>
      </c>
      <c r="G1820">
        <v>58</v>
      </c>
    </row>
    <row r="1821" spans="1:7">
      <c r="A1821" t="str">
        <f t="shared" si="28"/>
        <v>Keizershof 60</v>
      </c>
      <c r="B1821" t="s">
        <v>479</v>
      </c>
      <c r="C1821" t="s">
        <v>296</v>
      </c>
      <c r="D1821">
        <v>1970</v>
      </c>
      <c r="E1821">
        <v>134</v>
      </c>
      <c r="F1821" t="s">
        <v>477</v>
      </c>
      <c r="G1821">
        <v>60</v>
      </c>
    </row>
    <row r="1822" spans="1:7">
      <c r="A1822" t="str">
        <f t="shared" si="28"/>
        <v>Keizershof 62</v>
      </c>
      <c r="B1822" t="s">
        <v>479</v>
      </c>
      <c r="C1822" t="s">
        <v>296</v>
      </c>
      <c r="D1822">
        <v>1970</v>
      </c>
      <c r="E1822">
        <v>134</v>
      </c>
      <c r="F1822" t="s">
        <v>477</v>
      </c>
      <c r="G1822">
        <v>62</v>
      </c>
    </row>
    <row r="1823" spans="1:7">
      <c r="A1823" t="str">
        <f t="shared" si="28"/>
        <v>Keizershof 64</v>
      </c>
      <c r="B1823" t="s">
        <v>479</v>
      </c>
      <c r="C1823" t="s">
        <v>296</v>
      </c>
      <c r="D1823">
        <v>1970</v>
      </c>
      <c r="E1823">
        <v>169</v>
      </c>
      <c r="F1823" t="s">
        <v>477</v>
      </c>
      <c r="G1823">
        <v>64</v>
      </c>
    </row>
    <row r="1824" spans="1:7">
      <c r="A1824" t="str">
        <f t="shared" si="28"/>
        <v>Keizershof 66</v>
      </c>
      <c r="B1824" t="s">
        <v>479</v>
      </c>
      <c r="C1824" t="s">
        <v>296</v>
      </c>
      <c r="D1824">
        <v>1970</v>
      </c>
      <c r="E1824">
        <v>132</v>
      </c>
      <c r="F1824" t="s">
        <v>477</v>
      </c>
      <c r="G1824">
        <v>66</v>
      </c>
    </row>
    <row r="1825" spans="1:8">
      <c r="A1825" t="str">
        <f t="shared" si="28"/>
        <v>Keizershof 68</v>
      </c>
      <c r="B1825" t="s">
        <v>479</v>
      </c>
      <c r="C1825" t="s">
        <v>296</v>
      </c>
      <c r="D1825">
        <v>1970</v>
      </c>
      <c r="E1825">
        <v>132</v>
      </c>
      <c r="F1825" t="s">
        <v>477</v>
      </c>
      <c r="G1825">
        <v>68</v>
      </c>
    </row>
    <row r="1826" spans="1:8">
      <c r="A1826" t="str">
        <f t="shared" si="28"/>
        <v>Keizershof 70a</v>
      </c>
      <c r="C1826" t="s">
        <v>296</v>
      </c>
      <c r="D1826">
        <v>1970</v>
      </c>
      <c r="E1826">
        <v>140</v>
      </c>
      <c r="F1826" t="s">
        <v>477</v>
      </c>
      <c r="G1826">
        <v>70</v>
      </c>
      <c r="H1826" t="s">
        <v>304</v>
      </c>
    </row>
    <row r="1827" spans="1:8">
      <c r="A1827" t="str">
        <f t="shared" si="28"/>
        <v>Keizershof 70b</v>
      </c>
      <c r="C1827" t="s">
        <v>296</v>
      </c>
      <c r="D1827">
        <v>1970</v>
      </c>
      <c r="E1827">
        <v>18</v>
      </c>
      <c r="F1827" t="s">
        <v>477</v>
      </c>
      <c r="G1827">
        <v>70</v>
      </c>
      <c r="H1827" t="s">
        <v>298</v>
      </c>
    </row>
    <row r="1828" spans="1:8">
      <c r="A1828" t="str">
        <f t="shared" si="28"/>
        <v>Keizershof 70c</v>
      </c>
      <c r="C1828" t="s">
        <v>296</v>
      </c>
      <c r="D1828">
        <v>1978</v>
      </c>
      <c r="E1828">
        <v>25</v>
      </c>
      <c r="F1828" t="s">
        <v>477</v>
      </c>
      <c r="G1828">
        <v>70</v>
      </c>
      <c r="H1828" t="s">
        <v>299</v>
      </c>
    </row>
    <row r="1829" spans="1:8">
      <c r="A1829" t="str">
        <f t="shared" si="28"/>
        <v>Keizershof 70d</v>
      </c>
      <c r="C1829" t="s">
        <v>296</v>
      </c>
      <c r="D1829">
        <v>1997</v>
      </c>
      <c r="E1829">
        <v>25</v>
      </c>
      <c r="F1829" t="s">
        <v>477</v>
      </c>
      <c r="G1829">
        <v>70</v>
      </c>
      <c r="H1829" t="s">
        <v>300</v>
      </c>
    </row>
    <row r="1830" spans="1:8">
      <c r="A1830" t="str">
        <f t="shared" si="28"/>
        <v>Keizershof 70e</v>
      </c>
      <c r="C1830" t="s">
        <v>296</v>
      </c>
      <c r="D1830">
        <v>1970</v>
      </c>
      <c r="E1830">
        <v>51</v>
      </c>
      <c r="F1830" t="s">
        <v>477</v>
      </c>
      <c r="G1830">
        <v>70</v>
      </c>
      <c r="H1830" t="s">
        <v>319</v>
      </c>
    </row>
    <row r="1831" spans="1:8">
      <c r="A1831" t="str">
        <f t="shared" si="28"/>
        <v>Keizershof 70</v>
      </c>
      <c r="B1831" t="s">
        <v>479</v>
      </c>
      <c r="C1831" t="s">
        <v>296</v>
      </c>
      <c r="D1831">
        <v>1970</v>
      </c>
      <c r="E1831">
        <v>150</v>
      </c>
      <c r="F1831" t="s">
        <v>477</v>
      </c>
      <c r="G1831">
        <v>70</v>
      </c>
    </row>
    <row r="1832" spans="1:8">
      <c r="A1832" t="str">
        <f t="shared" si="28"/>
        <v>Keizershof 72</v>
      </c>
      <c r="B1832" t="s">
        <v>479</v>
      </c>
      <c r="C1832" t="s">
        <v>296</v>
      </c>
      <c r="D1832">
        <v>1970</v>
      </c>
      <c r="E1832">
        <v>132</v>
      </c>
      <c r="F1832" t="s">
        <v>477</v>
      </c>
      <c r="G1832">
        <v>72</v>
      </c>
    </row>
    <row r="1833" spans="1:8">
      <c r="A1833" t="str">
        <f t="shared" si="28"/>
        <v>Keizershof 74</v>
      </c>
      <c r="B1833" t="s">
        <v>479</v>
      </c>
      <c r="C1833" t="s">
        <v>296</v>
      </c>
      <c r="D1833">
        <v>1970</v>
      </c>
      <c r="E1833">
        <v>133</v>
      </c>
      <c r="F1833" t="s">
        <v>477</v>
      </c>
      <c r="G1833">
        <v>74</v>
      </c>
    </row>
    <row r="1834" spans="1:8">
      <c r="A1834" t="str">
        <f t="shared" si="28"/>
        <v>Keizershof 76</v>
      </c>
      <c r="B1834" t="s">
        <v>479</v>
      </c>
      <c r="C1834" t="s">
        <v>296</v>
      </c>
      <c r="D1834">
        <v>1970</v>
      </c>
      <c r="E1834">
        <v>133</v>
      </c>
      <c r="F1834" t="s">
        <v>477</v>
      </c>
      <c r="G1834">
        <v>76</v>
      </c>
    </row>
    <row r="1835" spans="1:8">
      <c r="A1835" t="str">
        <f t="shared" si="28"/>
        <v>Keizershof 78</v>
      </c>
      <c r="B1835" t="s">
        <v>479</v>
      </c>
      <c r="C1835" t="s">
        <v>296</v>
      </c>
      <c r="D1835">
        <v>1970</v>
      </c>
      <c r="E1835">
        <v>133</v>
      </c>
      <c r="F1835" t="s">
        <v>477</v>
      </c>
      <c r="G1835">
        <v>78</v>
      </c>
    </row>
    <row r="1836" spans="1:8">
      <c r="A1836" t="str">
        <f t="shared" si="28"/>
        <v>Kerkpad 1a</v>
      </c>
      <c r="B1836" t="s">
        <v>480</v>
      </c>
      <c r="C1836" t="s">
        <v>302</v>
      </c>
      <c r="D1836">
        <v>1993</v>
      </c>
      <c r="E1836">
        <v>266</v>
      </c>
      <c r="F1836" t="s">
        <v>481</v>
      </c>
      <c r="G1836">
        <v>1</v>
      </c>
      <c r="H1836" t="s">
        <v>304</v>
      </c>
    </row>
    <row r="1837" spans="1:8">
      <c r="A1837" t="str">
        <f t="shared" si="28"/>
        <v>Kerkpad 1</v>
      </c>
      <c r="B1837" t="s">
        <v>480</v>
      </c>
      <c r="C1837" t="s">
        <v>302</v>
      </c>
      <c r="D1837">
        <v>1952</v>
      </c>
      <c r="E1837">
        <v>320</v>
      </c>
      <c r="F1837" t="s">
        <v>481</v>
      </c>
      <c r="G1837">
        <v>1</v>
      </c>
    </row>
    <row r="1838" spans="1:8">
      <c r="A1838" t="str">
        <f t="shared" si="28"/>
        <v>Kerkpad 2</v>
      </c>
      <c r="B1838" t="s">
        <v>480</v>
      </c>
      <c r="C1838" t="s">
        <v>302</v>
      </c>
      <c r="D1838">
        <v>1947</v>
      </c>
      <c r="E1838">
        <v>264</v>
      </c>
      <c r="F1838" t="s">
        <v>481</v>
      </c>
      <c r="G1838">
        <v>2</v>
      </c>
    </row>
    <row r="1839" spans="1:8">
      <c r="A1839" t="str">
        <f t="shared" si="28"/>
        <v>Kerkpad 3</v>
      </c>
      <c r="B1839" t="s">
        <v>480</v>
      </c>
      <c r="C1839" t="s">
        <v>302</v>
      </c>
      <c r="D1839">
        <v>1952</v>
      </c>
      <c r="E1839">
        <v>260</v>
      </c>
      <c r="F1839" t="s">
        <v>481</v>
      </c>
      <c r="G1839">
        <v>3</v>
      </c>
    </row>
    <row r="1840" spans="1:8">
      <c r="A1840" t="str">
        <f t="shared" si="28"/>
        <v>Kerkpad 4</v>
      </c>
      <c r="B1840" t="s">
        <v>480</v>
      </c>
      <c r="C1840" t="s">
        <v>302</v>
      </c>
      <c r="D1840">
        <v>2002</v>
      </c>
      <c r="E1840">
        <v>179</v>
      </c>
      <c r="F1840" t="s">
        <v>481</v>
      </c>
      <c r="G1840">
        <v>4</v>
      </c>
    </row>
    <row r="1841" spans="1:8">
      <c r="A1841" t="str">
        <f t="shared" si="28"/>
        <v>Kerkpad 5a</v>
      </c>
      <c r="B1841" t="s">
        <v>480</v>
      </c>
      <c r="C1841" t="s">
        <v>302</v>
      </c>
      <c r="D1841">
        <v>2011</v>
      </c>
      <c r="E1841">
        <v>148</v>
      </c>
      <c r="F1841" t="s">
        <v>481</v>
      </c>
      <c r="G1841">
        <v>5</v>
      </c>
      <c r="H1841" t="s">
        <v>304</v>
      </c>
    </row>
    <row r="1842" spans="1:8">
      <c r="A1842" t="str">
        <f t="shared" si="28"/>
        <v>Kerkpad 5b</v>
      </c>
      <c r="B1842" t="s">
        <v>480</v>
      </c>
      <c r="C1842" t="s">
        <v>302</v>
      </c>
      <c r="D1842">
        <v>2011</v>
      </c>
      <c r="E1842">
        <v>155</v>
      </c>
      <c r="F1842" t="s">
        <v>481</v>
      </c>
      <c r="G1842">
        <v>5</v>
      </c>
      <c r="H1842" t="s">
        <v>298</v>
      </c>
    </row>
    <row r="1843" spans="1:8">
      <c r="A1843" t="str">
        <f t="shared" si="28"/>
        <v>Kerkpad 5</v>
      </c>
      <c r="B1843" t="s">
        <v>480</v>
      </c>
      <c r="C1843" t="s">
        <v>302</v>
      </c>
      <c r="D1843">
        <v>1948</v>
      </c>
      <c r="E1843">
        <v>182</v>
      </c>
      <c r="F1843" t="s">
        <v>481</v>
      </c>
      <c r="G1843">
        <v>5</v>
      </c>
    </row>
    <row r="1844" spans="1:8">
      <c r="A1844" t="str">
        <f t="shared" si="28"/>
        <v>Kerkpad 7</v>
      </c>
      <c r="B1844" t="s">
        <v>480</v>
      </c>
      <c r="C1844" t="s">
        <v>302</v>
      </c>
      <c r="D1844">
        <v>2004</v>
      </c>
      <c r="E1844">
        <v>92</v>
      </c>
      <c r="F1844" t="s">
        <v>481</v>
      </c>
      <c r="G1844">
        <v>7</v>
      </c>
    </row>
    <row r="1845" spans="1:8">
      <c r="A1845" t="str">
        <f t="shared" si="28"/>
        <v>Kerkpad 9</v>
      </c>
      <c r="B1845" t="s">
        <v>480</v>
      </c>
      <c r="C1845" t="s">
        <v>302</v>
      </c>
      <c r="D1845">
        <v>2004</v>
      </c>
      <c r="E1845">
        <v>92</v>
      </c>
      <c r="F1845" t="s">
        <v>481</v>
      </c>
      <c r="G1845">
        <v>9</v>
      </c>
    </row>
    <row r="1846" spans="1:8">
      <c r="A1846" t="str">
        <f t="shared" si="28"/>
        <v>Kerkpad 11</v>
      </c>
      <c r="B1846" t="s">
        <v>480</v>
      </c>
      <c r="C1846" t="s">
        <v>302</v>
      </c>
      <c r="D1846">
        <v>2004</v>
      </c>
      <c r="E1846">
        <v>91</v>
      </c>
      <c r="F1846" t="s">
        <v>481</v>
      </c>
      <c r="G1846">
        <v>11</v>
      </c>
    </row>
    <row r="1847" spans="1:8">
      <c r="A1847" t="str">
        <f t="shared" si="28"/>
        <v>Kerkpad 13</v>
      </c>
      <c r="B1847" t="s">
        <v>480</v>
      </c>
      <c r="C1847" t="s">
        <v>302</v>
      </c>
      <c r="D1847">
        <v>2004</v>
      </c>
      <c r="E1847">
        <v>91</v>
      </c>
      <c r="F1847" t="s">
        <v>481</v>
      </c>
      <c r="G1847">
        <v>13</v>
      </c>
    </row>
    <row r="1848" spans="1:8">
      <c r="A1848" t="str">
        <f t="shared" si="28"/>
        <v>Kerkpad 15</v>
      </c>
      <c r="B1848" t="s">
        <v>480</v>
      </c>
      <c r="C1848" t="s">
        <v>302</v>
      </c>
      <c r="D1848">
        <v>2004</v>
      </c>
      <c r="E1848">
        <v>92</v>
      </c>
      <c r="F1848" t="s">
        <v>481</v>
      </c>
      <c r="G1848">
        <v>15</v>
      </c>
    </row>
    <row r="1849" spans="1:8">
      <c r="A1849" t="str">
        <f t="shared" si="28"/>
        <v>Kerkpad 17</v>
      </c>
      <c r="B1849" t="s">
        <v>480</v>
      </c>
      <c r="C1849" t="s">
        <v>302</v>
      </c>
      <c r="D1849">
        <v>2004</v>
      </c>
      <c r="E1849">
        <v>95</v>
      </c>
      <c r="F1849" t="s">
        <v>481</v>
      </c>
      <c r="G1849">
        <v>17</v>
      </c>
    </row>
    <row r="1850" spans="1:8">
      <c r="A1850" t="str">
        <f t="shared" si="28"/>
        <v>Kerkpad 19</v>
      </c>
      <c r="B1850" t="s">
        <v>480</v>
      </c>
      <c r="C1850" t="s">
        <v>302</v>
      </c>
      <c r="D1850">
        <v>2004</v>
      </c>
      <c r="E1850">
        <v>92</v>
      </c>
      <c r="F1850" t="s">
        <v>481</v>
      </c>
      <c r="G1850">
        <v>19</v>
      </c>
    </row>
    <row r="1851" spans="1:8">
      <c r="A1851" t="str">
        <f t="shared" si="28"/>
        <v>Kerkpad 21</v>
      </c>
      <c r="B1851" t="s">
        <v>480</v>
      </c>
      <c r="C1851" t="s">
        <v>302</v>
      </c>
      <c r="D1851">
        <v>2004</v>
      </c>
      <c r="E1851">
        <v>92</v>
      </c>
      <c r="F1851" t="s">
        <v>481</v>
      </c>
      <c r="G1851">
        <v>21</v>
      </c>
    </row>
    <row r="1852" spans="1:8">
      <c r="A1852" t="str">
        <f t="shared" si="28"/>
        <v>Kerkpad 23</v>
      </c>
      <c r="B1852" t="s">
        <v>480</v>
      </c>
      <c r="C1852" t="s">
        <v>302</v>
      </c>
      <c r="D1852">
        <v>2004</v>
      </c>
      <c r="E1852">
        <v>91</v>
      </c>
      <c r="F1852" t="s">
        <v>481</v>
      </c>
      <c r="G1852">
        <v>23</v>
      </c>
    </row>
    <row r="1853" spans="1:8">
      <c r="A1853" t="str">
        <f t="shared" si="28"/>
        <v>Kerkpad 25</v>
      </c>
      <c r="B1853" t="s">
        <v>480</v>
      </c>
      <c r="C1853" t="s">
        <v>302</v>
      </c>
      <c r="D1853">
        <v>2004</v>
      </c>
      <c r="E1853">
        <v>91</v>
      </c>
      <c r="F1853" t="s">
        <v>481</v>
      </c>
      <c r="G1853">
        <v>25</v>
      </c>
    </row>
    <row r="1854" spans="1:8">
      <c r="A1854" t="str">
        <f t="shared" si="28"/>
        <v>Kerkstraat 2</v>
      </c>
      <c r="B1854" t="s">
        <v>482</v>
      </c>
      <c r="C1854" t="s">
        <v>306</v>
      </c>
      <c r="D1854">
        <v>1975</v>
      </c>
      <c r="E1854">
        <v>371</v>
      </c>
      <c r="F1854" t="s">
        <v>483</v>
      </c>
      <c r="G1854">
        <v>2</v>
      </c>
    </row>
    <row r="1855" spans="1:8">
      <c r="A1855" t="str">
        <f t="shared" si="28"/>
        <v>Kerkstraat 3</v>
      </c>
      <c r="B1855" t="s">
        <v>484</v>
      </c>
      <c r="C1855" t="s">
        <v>306</v>
      </c>
      <c r="D1855">
        <v>1973</v>
      </c>
      <c r="E1855">
        <v>330</v>
      </c>
      <c r="F1855" t="s">
        <v>483</v>
      </c>
      <c r="G1855">
        <v>3</v>
      </c>
    </row>
    <row r="1856" spans="1:8">
      <c r="A1856" t="str">
        <f t="shared" si="28"/>
        <v>Kerkstraat 4</v>
      </c>
      <c r="B1856" t="s">
        <v>482</v>
      </c>
      <c r="C1856" t="s">
        <v>306</v>
      </c>
      <c r="D1856">
        <v>1881</v>
      </c>
      <c r="E1856">
        <v>198</v>
      </c>
      <c r="F1856" t="s">
        <v>483</v>
      </c>
      <c r="G1856">
        <v>4</v>
      </c>
    </row>
    <row r="1857" spans="1:8">
      <c r="A1857" t="str">
        <f t="shared" si="28"/>
        <v>Kerkstraat 5</v>
      </c>
      <c r="B1857" t="s">
        <v>484</v>
      </c>
      <c r="C1857" t="s">
        <v>306</v>
      </c>
      <c r="D1857">
        <v>1900</v>
      </c>
      <c r="E1857">
        <v>128</v>
      </c>
      <c r="F1857" t="s">
        <v>483</v>
      </c>
      <c r="G1857">
        <v>5</v>
      </c>
    </row>
    <row r="1858" spans="1:8">
      <c r="A1858" t="str">
        <f t="shared" ref="A1858:A1921" si="29">CONCATENATE(F1858," ",G1858,H1858)</f>
        <v>Kerkstraat 6a</v>
      </c>
      <c r="B1858" t="s">
        <v>482</v>
      </c>
      <c r="C1858" t="s">
        <v>306</v>
      </c>
      <c r="D1858">
        <v>1881</v>
      </c>
      <c r="E1858">
        <v>52</v>
      </c>
      <c r="F1858" t="s">
        <v>483</v>
      </c>
      <c r="G1858">
        <v>6</v>
      </c>
      <c r="H1858" t="s">
        <v>304</v>
      </c>
    </row>
    <row r="1859" spans="1:8">
      <c r="A1859" t="str">
        <f t="shared" si="29"/>
        <v>Kerkstraat 6b</v>
      </c>
      <c r="B1859" t="s">
        <v>482</v>
      </c>
      <c r="C1859" t="s">
        <v>306</v>
      </c>
      <c r="D1859">
        <v>1881</v>
      </c>
      <c r="E1859">
        <v>70</v>
      </c>
      <c r="F1859" t="s">
        <v>483</v>
      </c>
      <c r="G1859">
        <v>6</v>
      </c>
      <c r="H1859" t="s">
        <v>298</v>
      </c>
    </row>
    <row r="1860" spans="1:8">
      <c r="A1860" t="str">
        <f t="shared" si="29"/>
        <v>Kerkstraat 6</v>
      </c>
      <c r="B1860" t="s">
        <v>482</v>
      </c>
      <c r="C1860" t="s">
        <v>306</v>
      </c>
      <c r="D1860">
        <v>1881</v>
      </c>
      <c r="E1860">
        <v>269</v>
      </c>
      <c r="F1860" t="s">
        <v>483</v>
      </c>
      <c r="G1860">
        <v>6</v>
      </c>
    </row>
    <row r="1861" spans="1:8">
      <c r="A1861" t="str">
        <f t="shared" si="29"/>
        <v>Kerkstraat 7</v>
      </c>
      <c r="B1861" t="s">
        <v>484</v>
      </c>
      <c r="C1861" t="s">
        <v>306</v>
      </c>
      <c r="D1861">
        <v>1900</v>
      </c>
      <c r="E1861">
        <v>278</v>
      </c>
      <c r="F1861" t="s">
        <v>483</v>
      </c>
      <c r="G1861">
        <v>7</v>
      </c>
    </row>
    <row r="1862" spans="1:8">
      <c r="A1862" t="str">
        <f t="shared" si="29"/>
        <v>Kerkstraat 8</v>
      </c>
      <c r="B1862" t="s">
        <v>482</v>
      </c>
      <c r="C1862" t="s">
        <v>306</v>
      </c>
      <c r="D1862">
        <v>1870</v>
      </c>
      <c r="E1862">
        <v>362</v>
      </c>
      <c r="F1862" t="s">
        <v>483</v>
      </c>
      <c r="G1862">
        <v>8</v>
      </c>
    </row>
    <row r="1863" spans="1:8">
      <c r="A1863" t="str">
        <f t="shared" si="29"/>
        <v>Kerkstraat 9</v>
      </c>
      <c r="B1863" t="s">
        <v>484</v>
      </c>
      <c r="C1863" t="s">
        <v>306</v>
      </c>
      <c r="D1863">
        <v>1962</v>
      </c>
      <c r="E1863">
        <v>99</v>
      </c>
      <c r="F1863" t="s">
        <v>483</v>
      </c>
      <c r="G1863">
        <v>9</v>
      </c>
    </row>
    <row r="1864" spans="1:8">
      <c r="A1864" t="str">
        <f t="shared" si="29"/>
        <v>Kerkstraat 11</v>
      </c>
      <c r="B1864" t="s">
        <v>484</v>
      </c>
      <c r="C1864" t="s">
        <v>306</v>
      </c>
      <c r="D1864">
        <v>1961</v>
      </c>
      <c r="E1864">
        <v>85</v>
      </c>
      <c r="F1864" t="s">
        <v>483</v>
      </c>
      <c r="G1864">
        <v>11</v>
      </c>
    </row>
    <row r="1865" spans="1:8">
      <c r="A1865" t="str">
        <f t="shared" si="29"/>
        <v>Kerkstraat 13</v>
      </c>
      <c r="B1865" t="s">
        <v>484</v>
      </c>
      <c r="C1865" t="s">
        <v>306</v>
      </c>
      <c r="D1865">
        <v>1830</v>
      </c>
      <c r="E1865">
        <v>204</v>
      </c>
      <c r="F1865" t="s">
        <v>483</v>
      </c>
      <c r="G1865">
        <v>13</v>
      </c>
    </row>
    <row r="1866" spans="1:8">
      <c r="A1866" t="str">
        <f t="shared" si="29"/>
        <v>Kerkstraat 15</v>
      </c>
      <c r="B1866" t="s">
        <v>484</v>
      </c>
      <c r="C1866" t="s">
        <v>306</v>
      </c>
      <c r="D1866">
        <v>1958</v>
      </c>
      <c r="E1866">
        <v>141</v>
      </c>
      <c r="F1866" t="s">
        <v>483</v>
      </c>
      <c r="G1866">
        <v>15</v>
      </c>
    </row>
    <row r="1867" spans="1:8">
      <c r="A1867" t="str">
        <f t="shared" si="29"/>
        <v>Kerkstraat 16</v>
      </c>
      <c r="B1867" t="s">
        <v>482</v>
      </c>
      <c r="C1867" t="s">
        <v>306</v>
      </c>
      <c r="D1867">
        <v>1972</v>
      </c>
      <c r="E1867">
        <v>296</v>
      </c>
      <c r="F1867" t="s">
        <v>483</v>
      </c>
      <c r="G1867">
        <v>16</v>
      </c>
    </row>
    <row r="1868" spans="1:8">
      <c r="A1868" t="str">
        <f t="shared" si="29"/>
        <v>Kerkstraat 17</v>
      </c>
      <c r="B1868" t="s">
        <v>484</v>
      </c>
      <c r="C1868" t="s">
        <v>306</v>
      </c>
      <c r="D1868">
        <v>1958</v>
      </c>
      <c r="E1868">
        <v>143</v>
      </c>
      <c r="F1868" t="s">
        <v>483</v>
      </c>
      <c r="G1868">
        <v>17</v>
      </c>
    </row>
    <row r="1869" spans="1:8">
      <c r="A1869" t="str">
        <f t="shared" si="29"/>
        <v>Kerkstraat 18</v>
      </c>
      <c r="B1869" t="s">
        <v>482</v>
      </c>
      <c r="C1869" t="s">
        <v>306</v>
      </c>
      <c r="D1869">
        <v>1960</v>
      </c>
      <c r="E1869">
        <v>316</v>
      </c>
      <c r="F1869" t="s">
        <v>483</v>
      </c>
      <c r="G1869">
        <v>18</v>
      </c>
    </row>
    <row r="1870" spans="1:8">
      <c r="A1870" t="str">
        <f t="shared" si="29"/>
        <v>Kerkstraat 19</v>
      </c>
      <c r="B1870" t="s">
        <v>484</v>
      </c>
      <c r="C1870" t="s">
        <v>306</v>
      </c>
      <c r="D1870">
        <v>1958</v>
      </c>
      <c r="E1870">
        <v>111</v>
      </c>
      <c r="F1870" t="s">
        <v>483</v>
      </c>
      <c r="G1870">
        <v>19</v>
      </c>
    </row>
    <row r="1871" spans="1:8">
      <c r="A1871" t="str">
        <f t="shared" si="29"/>
        <v>Kerkstraat 20a</v>
      </c>
      <c r="B1871" t="s">
        <v>482</v>
      </c>
      <c r="C1871" t="s">
        <v>306</v>
      </c>
      <c r="D1871">
        <v>2016</v>
      </c>
      <c r="E1871">
        <v>308</v>
      </c>
      <c r="F1871" t="s">
        <v>483</v>
      </c>
      <c r="G1871">
        <v>20</v>
      </c>
      <c r="H1871" t="s">
        <v>304</v>
      </c>
    </row>
    <row r="1872" spans="1:8">
      <c r="A1872" t="str">
        <f t="shared" si="29"/>
        <v>Kerkstraat 20</v>
      </c>
      <c r="B1872" t="s">
        <v>482</v>
      </c>
      <c r="C1872" t="s">
        <v>306</v>
      </c>
      <c r="D1872">
        <v>2015</v>
      </c>
      <c r="E1872">
        <v>273</v>
      </c>
      <c r="F1872" t="s">
        <v>483</v>
      </c>
      <c r="G1872">
        <v>20</v>
      </c>
    </row>
    <row r="1873" spans="1:8">
      <c r="A1873" t="str">
        <f t="shared" si="29"/>
        <v>Kerkstraat 21</v>
      </c>
      <c r="B1873" t="s">
        <v>484</v>
      </c>
      <c r="C1873" t="s">
        <v>306</v>
      </c>
      <c r="D1873">
        <v>1958</v>
      </c>
      <c r="E1873">
        <v>125</v>
      </c>
      <c r="F1873" t="s">
        <v>483</v>
      </c>
      <c r="G1873">
        <v>21</v>
      </c>
    </row>
    <row r="1874" spans="1:8">
      <c r="A1874" t="str">
        <f t="shared" si="29"/>
        <v>Kerkstraat 22</v>
      </c>
      <c r="B1874" t="s">
        <v>482</v>
      </c>
      <c r="C1874" t="s">
        <v>306</v>
      </c>
      <c r="D1874">
        <v>1967</v>
      </c>
      <c r="E1874">
        <v>134</v>
      </c>
      <c r="F1874" t="s">
        <v>483</v>
      </c>
      <c r="G1874">
        <v>22</v>
      </c>
    </row>
    <row r="1875" spans="1:8">
      <c r="A1875" t="str">
        <f t="shared" si="29"/>
        <v>Kerkstraat 23</v>
      </c>
      <c r="B1875" t="s">
        <v>484</v>
      </c>
      <c r="C1875" t="s">
        <v>306</v>
      </c>
      <c r="D1875">
        <v>1970</v>
      </c>
      <c r="E1875">
        <v>213</v>
      </c>
      <c r="F1875" t="s">
        <v>483</v>
      </c>
      <c r="G1875">
        <v>23</v>
      </c>
    </row>
    <row r="1876" spans="1:8">
      <c r="A1876" t="str">
        <f t="shared" si="29"/>
        <v>Kerkstraat 24</v>
      </c>
      <c r="B1876" t="s">
        <v>482</v>
      </c>
      <c r="C1876" t="s">
        <v>306</v>
      </c>
      <c r="D1876">
        <v>1967</v>
      </c>
      <c r="E1876">
        <v>126</v>
      </c>
      <c r="F1876" t="s">
        <v>483</v>
      </c>
      <c r="G1876">
        <v>24</v>
      </c>
    </row>
    <row r="1877" spans="1:8">
      <c r="A1877" t="str">
        <f t="shared" si="29"/>
        <v>Kerkstraat 26</v>
      </c>
      <c r="B1877" t="s">
        <v>482</v>
      </c>
      <c r="C1877" t="s">
        <v>306</v>
      </c>
      <c r="D1877">
        <v>1935</v>
      </c>
      <c r="E1877">
        <v>145</v>
      </c>
      <c r="F1877" t="s">
        <v>483</v>
      </c>
      <c r="G1877">
        <v>26</v>
      </c>
    </row>
    <row r="1878" spans="1:8">
      <c r="A1878" t="str">
        <f t="shared" si="29"/>
        <v>Kerkstraat 27a</v>
      </c>
      <c r="B1878" t="s">
        <v>484</v>
      </c>
      <c r="C1878" t="s">
        <v>306</v>
      </c>
      <c r="D1878">
        <v>1955</v>
      </c>
      <c r="E1878">
        <v>104</v>
      </c>
      <c r="F1878" t="s">
        <v>483</v>
      </c>
      <c r="G1878">
        <v>27</v>
      </c>
      <c r="H1878" t="s">
        <v>304</v>
      </c>
    </row>
    <row r="1879" spans="1:8">
      <c r="A1879" t="str">
        <f t="shared" si="29"/>
        <v>Kerkstraat 27b</v>
      </c>
      <c r="B1879" t="s">
        <v>484</v>
      </c>
      <c r="C1879" t="s">
        <v>306</v>
      </c>
      <c r="D1879">
        <v>1955</v>
      </c>
      <c r="E1879">
        <v>86</v>
      </c>
      <c r="F1879" t="s">
        <v>483</v>
      </c>
      <c r="G1879">
        <v>27</v>
      </c>
      <c r="H1879" t="s">
        <v>298</v>
      </c>
    </row>
    <row r="1880" spans="1:8">
      <c r="A1880" t="str">
        <f t="shared" si="29"/>
        <v>Kerkstraat 27c</v>
      </c>
      <c r="B1880" t="s">
        <v>484</v>
      </c>
      <c r="C1880" t="s">
        <v>306</v>
      </c>
      <c r="D1880">
        <v>1955</v>
      </c>
      <c r="E1880">
        <v>71</v>
      </c>
      <c r="F1880" t="s">
        <v>483</v>
      </c>
      <c r="G1880">
        <v>27</v>
      </c>
      <c r="H1880" t="s">
        <v>299</v>
      </c>
    </row>
    <row r="1881" spans="1:8">
      <c r="A1881" t="str">
        <f t="shared" si="29"/>
        <v>Kerkstraat 27</v>
      </c>
      <c r="B1881" t="s">
        <v>484</v>
      </c>
      <c r="C1881" t="s">
        <v>306</v>
      </c>
      <c r="D1881">
        <v>1968</v>
      </c>
      <c r="E1881">
        <v>160</v>
      </c>
      <c r="F1881" t="s">
        <v>483</v>
      </c>
      <c r="G1881">
        <v>27</v>
      </c>
    </row>
    <row r="1882" spans="1:8">
      <c r="A1882" t="str">
        <f t="shared" si="29"/>
        <v>Kerkstraat 28</v>
      </c>
      <c r="B1882" t="s">
        <v>482</v>
      </c>
      <c r="C1882" t="s">
        <v>306</v>
      </c>
      <c r="D1882">
        <v>1962</v>
      </c>
      <c r="E1882">
        <v>120</v>
      </c>
      <c r="F1882" t="s">
        <v>483</v>
      </c>
      <c r="G1882">
        <v>28</v>
      </c>
    </row>
    <row r="1883" spans="1:8">
      <c r="A1883" t="str">
        <f t="shared" si="29"/>
        <v>Kerkstraat 29</v>
      </c>
      <c r="B1883" t="s">
        <v>484</v>
      </c>
      <c r="C1883" t="s">
        <v>306</v>
      </c>
      <c r="D1883">
        <v>1966</v>
      </c>
      <c r="E1883">
        <v>122</v>
      </c>
      <c r="F1883" t="s">
        <v>483</v>
      </c>
      <c r="G1883">
        <v>29</v>
      </c>
    </row>
    <row r="1884" spans="1:8">
      <c r="A1884" t="str">
        <f t="shared" si="29"/>
        <v>Kerkstraat 30</v>
      </c>
      <c r="B1884" t="s">
        <v>482</v>
      </c>
      <c r="C1884" t="s">
        <v>306</v>
      </c>
      <c r="D1884">
        <v>1958</v>
      </c>
      <c r="E1884">
        <v>96</v>
      </c>
      <c r="F1884" t="s">
        <v>483</v>
      </c>
      <c r="G1884">
        <v>30</v>
      </c>
    </row>
    <row r="1885" spans="1:8">
      <c r="A1885" t="str">
        <f t="shared" si="29"/>
        <v>Kerkstraat 31</v>
      </c>
      <c r="B1885" t="s">
        <v>484</v>
      </c>
      <c r="C1885" t="s">
        <v>306</v>
      </c>
      <c r="D1885">
        <v>1966</v>
      </c>
      <c r="E1885">
        <v>110</v>
      </c>
      <c r="F1885" t="s">
        <v>483</v>
      </c>
      <c r="G1885">
        <v>31</v>
      </c>
    </row>
    <row r="1886" spans="1:8">
      <c r="A1886" t="str">
        <f t="shared" si="29"/>
        <v>Kerkstraat 32</v>
      </c>
      <c r="B1886" t="s">
        <v>482</v>
      </c>
      <c r="C1886" t="s">
        <v>306</v>
      </c>
      <c r="D1886">
        <v>1979</v>
      </c>
      <c r="E1886">
        <v>200</v>
      </c>
      <c r="F1886" t="s">
        <v>483</v>
      </c>
      <c r="G1886">
        <v>32</v>
      </c>
    </row>
    <row r="1887" spans="1:8">
      <c r="A1887" t="str">
        <f t="shared" si="29"/>
        <v>Kerkstraat 33a</v>
      </c>
      <c r="B1887" t="s">
        <v>484</v>
      </c>
      <c r="C1887" t="s">
        <v>306</v>
      </c>
      <c r="D1887">
        <v>1970</v>
      </c>
      <c r="E1887">
        <v>211</v>
      </c>
      <c r="F1887" t="s">
        <v>483</v>
      </c>
      <c r="G1887">
        <v>33</v>
      </c>
      <c r="H1887" t="s">
        <v>304</v>
      </c>
    </row>
    <row r="1888" spans="1:8">
      <c r="A1888" t="str">
        <f t="shared" si="29"/>
        <v>Kerkstraat 33</v>
      </c>
      <c r="B1888" t="s">
        <v>484</v>
      </c>
      <c r="C1888" t="s">
        <v>306</v>
      </c>
      <c r="D1888">
        <v>1975</v>
      </c>
      <c r="E1888">
        <v>161</v>
      </c>
      <c r="F1888" t="s">
        <v>483</v>
      </c>
      <c r="G1888">
        <v>33</v>
      </c>
    </row>
    <row r="1889" spans="1:8">
      <c r="A1889" t="str">
        <f t="shared" si="29"/>
        <v>Kerkstraat 34</v>
      </c>
      <c r="B1889" t="s">
        <v>482</v>
      </c>
      <c r="C1889" t="s">
        <v>306</v>
      </c>
      <c r="D1889">
        <v>1966</v>
      </c>
      <c r="E1889">
        <v>158</v>
      </c>
      <c r="F1889" t="s">
        <v>483</v>
      </c>
      <c r="G1889">
        <v>34</v>
      </c>
    </row>
    <row r="1890" spans="1:8">
      <c r="A1890" t="str">
        <f t="shared" si="29"/>
        <v>Kerkstraat 35a</v>
      </c>
      <c r="B1890" t="s">
        <v>484</v>
      </c>
      <c r="C1890" t="s">
        <v>306</v>
      </c>
      <c r="D1890">
        <v>1996</v>
      </c>
      <c r="E1890">
        <v>141</v>
      </c>
      <c r="F1890" t="s">
        <v>483</v>
      </c>
      <c r="G1890">
        <v>35</v>
      </c>
      <c r="H1890" t="s">
        <v>304</v>
      </c>
    </row>
    <row r="1891" spans="1:8">
      <c r="A1891" t="str">
        <f t="shared" si="29"/>
        <v>Kerkstraat 35</v>
      </c>
      <c r="B1891" t="s">
        <v>484</v>
      </c>
      <c r="C1891" t="s">
        <v>306</v>
      </c>
      <c r="D1891">
        <v>1900</v>
      </c>
      <c r="E1891">
        <v>143</v>
      </c>
      <c r="F1891" t="s">
        <v>483</v>
      </c>
      <c r="G1891">
        <v>35</v>
      </c>
    </row>
    <row r="1892" spans="1:8">
      <c r="A1892" t="str">
        <f t="shared" si="29"/>
        <v>Kerkstraat 36</v>
      </c>
      <c r="B1892" t="s">
        <v>482</v>
      </c>
      <c r="C1892" t="s">
        <v>306</v>
      </c>
      <c r="D1892">
        <v>1966</v>
      </c>
      <c r="E1892">
        <v>126</v>
      </c>
      <c r="F1892" t="s">
        <v>483</v>
      </c>
      <c r="G1892">
        <v>36</v>
      </c>
    </row>
    <row r="1893" spans="1:8">
      <c r="A1893" t="str">
        <f t="shared" si="29"/>
        <v>Kerkstraat 37</v>
      </c>
      <c r="B1893" t="s">
        <v>484</v>
      </c>
      <c r="C1893" t="s">
        <v>306</v>
      </c>
      <c r="D1893">
        <v>1955</v>
      </c>
      <c r="E1893">
        <v>195</v>
      </c>
      <c r="F1893" t="s">
        <v>483</v>
      </c>
      <c r="G1893">
        <v>37</v>
      </c>
    </row>
    <row r="1894" spans="1:8">
      <c r="A1894" t="str">
        <f t="shared" si="29"/>
        <v>Kerkstraat 38</v>
      </c>
      <c r="B1894" t="s">
        <v>485</v>
      </c>
      <c r="C1894" t="s">
        <v>306</v>
      </c>
      <c r="D1894">
        <v>1955</v>
      </c>
      <c r="E1894">
        <v>289</v>
      </c>
      <c r="F1894" t="s">
        <v>483</v>
      </c>
      <c r="G1894">
        <v>38</v>
      </c>
    </row>
    <row r="1895" spans="1:8">
      <c r="A1895" t="str">
        <f t="shared" si="29"/>
        <v>Kerkstraat 39</v>
      </c>
      <c r="B1895" t="s">
        <v>484</v>
      </c>
      <c r="C1895" t="s">
        <v>306</v>
      </c>
      <c r="D1895">
        <v>1949</v>
      </c>
      <c r="E1895">
        <v>202</v>
      </c>
      <c r="F1895" t="s">
        <v>483</v>
      </c>
      <c r="G1895">
        <v>39</v>
      </c>
    </row>
    <row r="1896" spans="1:8">
      <c r="A1896" t="str">
        <f t="shared" si="29"/>
        <v>Kerkstraat 40</v>
      </c>
      <c r="B1896" t="s">
        <v>485</v>
      </c>
      <c r="C1896" t="s">
        <v>306</v>
      </c>
      <c r="D1896">
        <v>1976</v>
      </c>
      <c r="E1896">
        <v>157</v>
      </c>
      <c r="F1896" t="s">
        <v>483</v>
      </c>
      <c r="G1896">
        <v>40</v>
      </c>
    </row>
    <row r="1897" spans="1:8">
      <c r="A1897" t="str">
        <f t="shared" si="29"/>
        <v>Kerkstraat 41</v>
      </c>
      <c r="B1897" t="s">
        <v>484</v>
      </c>
      <c r="C1897" t="s">
        <v>306</v>
      </c>
      <c r="D1897">
        <v>1952</v>
      </c>
      <c r="E1897">
        <v>170</v>
      </c>
      <c r="F1897" t="s">
        <v>483</v>
      </c>
      <c r="G1897">
        <v>41</v>
      </c>
    </row>
    <row r="1898" spans="1:8">
      <c r="A1898" t="str">
        <f t="shared" si="29"/>
        <v>Kerkstraat 42</v>
      </c>
      <c r="B1898" t="s">
        <v>485</v>
      </c>
      <c r="C1898" t="s">
        <v>306</v>
      </c>
      <c r="D1898">
        <v>1957</v>
      </c>
      <c r="E1898">
        <v>154</v>
      </c>
      <c r="F1898" t="s">
        <v>483</v>
      </c>
      <c r="G1898">
        <v>42</v>
      </c>
    </row>
    <row r="1899" spans="1:8">
      <c r="A1899" t="str">
        <f t="shared" si="29"/>
        <v>Kerkstraat 43</v>
      </c>
      <c r="B1899" t="s">
        <v>484</v>
      </c>
      <c r="C1899" t="s">
        <v>306</v>
      </c>
      <c r="D1899">
        <v>1952</v>
      </c>
      <c r="E1899">
        <v>152</v>
      </c>
      <c r="F1899" t="s">
        <v>483</v>
      </c>
      <c r="G1899">
        <v>43</v>
      </c>
    </row>
    <row r="1900" spans="1:8">
      <c r="A1900" t="str">
        <f t="shared" si="29"/>
        <v>Kerkstraat 44</v>
      </c>
      <c r="B1900" t="s">
        <v>485</v>
      </c>
      <c r="C1900" t="s">
        <v>306</v>
      </c>
      <c r="D1900">
        <v>1973</v>
      </c>
      <c r="E1900">
        <v>253</v>
      </c>
      <c r="F1900" t="s">
        <v>483</v>
      </c>
      <c r="G1900">
        <v>44</v>
      </c>
    </row>
    <row r="1901" spans="1:8">
      <c r="A1901" t="str">
        <f t="shared" si="29"/>
        <v>Kerkstraat 45</v>
      </c>
      <c r="B1901" t="s">
        <v>484</v>
      </c>
      <c r="C1901" t="s">
        <v>306</v>
      </c>
      <c r="D1901">
        <v>1952</v>
      </c>
      <c r="E1901">
        <v>170</v>
      </c>
      <c r="F1901" t="s">
        <v>483</v>
      </c>
      <c r="G1901">
        <v>45</v>
      </c>
    </row>
    <row r="1902" spans="1:8">
      <c r="A1902" t="str">
        <f t="shared" si="29"/>
        <v>Kerkstraat 46</v>
      </c>
      <c r="B1902" t="s">
        <v>485</v>
      </c>
      <c r="C1902" t="s">
        <v>306</v>
      </c>
      <c r="D1902">
        <v>1973</v>
      </c>
      <c r="E1902">
        <v>253</v>
      </c>
      <c r="F1902" t="s">
        <v>483</v>
      </c>
      <c r="G1902">
        <v>46</v>
      </c>
    </row>
    <row r="1903" spans="1:8">
      <c r="A1903" t="str">
        <f t="shared" si="29"/>
        <v>Kerkstraat 47</v>
      </c>
      <c r="B1903" t="s">
        <v>484</v>
      </c>
      <c r="C1903" t="s">
        <v>306</v>
      </c>
      <c r="D1903">
        <v>2020</v>
      </c>
      <c r="E1903">
        <v>150</v>
      </c>
      <c r="F1903" t="s">
        <v>483</v>
      </c>
      <c r="G1903">
        <v>47</v>
      </c>
    </row>
    <row r="1904" spans="1:8">
      <c r="A1904" t="str">
        <f t="shared" si="29"/>
        <v>Kerkstraat 48a</v>
      </c>
      <c r="B1904" t="s">
        <v>485</v>
      </c>
      <c r="C1904" t="s">
        <v>306</v>
      </c>
      <c r="D1904">
        <v>2018</v>
      </c>
      <c r="E1904">
        <v>83</v>
      </c>
      <c r="F1904" t="s">
        <v>483</v>
      </c>
      <c r="G1904">
        <v>48</v>
      </c>
      <c r="H1904" t="s">
        <v>304</v>
      </c>
    </row>
    <row r="1905" spans="1:8">
      <c r="A1905" t="str">
        <f t="shared" si="29"/>
        <v>Kerkstraat 48b</v>
      </c>
      <c r="B1905" t="s">
        <v>485</v>
      </c>
      <c r="C1905" t="s">
        <v>306</v>
      </c>
      <c r="D1905">
        <v>2018</v>
      </c>
      <c r="E1905">
        <v>50</v>
      </c>
      <c r="F1905" t="s">
        <v>483</v>
      </c>
      <c r="G1905">
        <v>48</v>
      </c>
      <c r="H1905" t="s">
        <v>298</v>
      </c>
    </row>
    <row r="1906" spans="1:8">
      <c r="A1906" t="str">
        <f t="shared" si="29"/>
        <v>Kerkstraat 48</v>
      </c>
      <c r="B1906" t="s">
        <v>485</v>
      </c>
      <c r="C1906" t="s">
        <v>306</v>
      </c>
      <c r="D1906">
        <v>2018</v>
      </c>
      <c r="E1906">
        <v>83</v>
      </c>
      <c r="F1906" t="s">
        <v>483</v>
      </c>
      <c r="G1906">
        <v>48</v>
      </c>
    </row>
    <row r="1907" spans="1:8">
      <c r="A1907" t="str">
        <f t="shared" si="29"/>
        <v>Kerkstraat 49</v>
      </c>
      <c r="B1907" t="s">
        <v>484</v>
      </c>
      <c r="C1907" t="s">
        <v>306</v>
      </c>
      <c r="D1907">
        <v>2020</v>
      </c>
      <c r="E1907">
        <v>150</v>
      </c>
      <c r="F1907" t="s">
        <v>483</v>
      </c>
      <c r="G1907">
        <v>49</v>
      </c>
    </row>
    <row r="1908" spans="1:8">
      <c r="A1908" t="str">
        <f t="shared" si="29"/>
        <v>Kerkstraat 50</v>
      </c>
      <c r="B1908" t="s">
        <v>485</v>
      </c>
      <c r="C1908" t="s">
        <v>306</v>
      </c>
      <c r="D1908">
        <v>1950</v>
      </c>
      <c r="E1908">
        <v>127</v>
      </c>
      <c r="F1908" t="s">
        <v>483</v>
      </c>
      <c r="G1908">
        <v>50</v>
      </c>
    </row>
    <row r="1909" spans="1:8">
      <c r="A1909" t="str">
        <f t="shared" si="29"/>
        <v>Kerkstraat 51</v>
      </c>
      <c r="B1909" t="s">
        <v>484</v>
      </c>
      <c r="C1909" t="s">
        <v>306</v>
      </c>
      <c r="D1909">
        <v>2020</v>
      </c>
      <c r="E1909">
        <v>133</v>
      </c>
      <c r="F1909" t="s">
        <v>483</v>
      </c>
      <c r="G1909">
        <v>51</v>
      </c>
    </row>
    <row r="1910" spans="1:8">
      <c r="A1910" t="str">
        <f t="shared" si="29"/>
        <v>Kerkstraat 53</v>
      </c>
      <c r="B1910" t="s">
        <v>484</v>
      </c>
      <c r="C1910" t="s">
        <v>306</v>
      </c>
      <c r="D1910">
        <v>2020</v>
      </c>
      <c r="E1910">
        <v>170</v>
      </c>
      <c r="F1910" t="s">
        <v>483</v>
      </c>
      <c r="G1910">
        <v>53</v>
      </c>
    </row>
    <row r="1911" spans="1:8">
      <c r="A1911" t="str">
        <f t="shared" si="29"/>
        <v>Kerkstraat 54</v>
      </c>
      <c r="B1911" t="s">
        <v>485</v>
      </c>
      <c r="C1911" t="s">
        <v>306</v>
      </c>
      <c r="D1911">
        <v>1967</v>
      </c>
      <c r="E1911">
        <v>140</v>
      </c>
      <c r="F1911" t="s">
        <v>483</v>
      </c>
      <c r="G1911">
        <v>54</v>
      </c>
    </row>
    <row r="1912" spans="1:8">
      <c r="A1912" t="str">
        <f t="shared" si="29"/>
        <v>Kerkstraat 56</v>
      </c>
      <c r="C1912" t="s">
        <v>306</v>
      </c>
      <c r="D1912">
        <v>2020</v>
      </c>
      <c r="E1912">
        <v>24</v>
      </c>
      <c r="F1912" t="s">
        <v>483</v>
      </c>
      <c r="G1912">
        <v>56</v>
      </c>
    </row>
    <row r="1913" spans="1:8">
      <c r="A1913" t="str">
        <f t="shared" si="29"/>
        <v>Keurvorststraat 1</v>
      </c>
      <c r="B1913" t="s">
        <v>486</v>
      </c>
      <c r="C1913" t="s">
        <v>296</v>
      </c>
      <c r="D1913">
        <v>1972</v>
      </c>
      <c r="E1913">
        <v>157</v>
      </c>
      <c r="F1913" t="s">
        <v>487</v>
      </c>
      <c r="G1913">
        <v>1</v>
      </c>
    </row>
    <row r="1914" spans="1:8">
      <c r="A1914" t="str">
        <f t="shared" si="29"/>
        <v>Keurvorststraat 2</v>
      </c>
      <c r="B1914" t="s">
        <v>488</v>
      </c>
      <c r="C1914" t="s">
        <v>296</v>
      </c>
      <c r="D1914">
        <v>1987</v>
      </c>
      <c r="E1914">
        <v>153</v>
      </c>
      <c r="F1914" t="s">
        <v>487</v>
      </c>
      <c r="G1914">
        <v>2</v>
      </c>
    </row>
    <row r="1915" spans="1:8">
      <c r="A1915" t="str">
        <f t="shared" si="29"/>
        <v>Keurvorststraat 3</v>
      </c>
      <c r="B1915" t="s">
        <v>486</v>
      </c>
      <c r="C1915" t="s">
        <v>296</v>
      </c>
      <c r="D1915">
        <v>1972</v>
      </c>
      <c r="E1915">
        <v>154</v>
      </c>
      <c r="F1915" t="s">
        <v>487</v>
      </c>
      <c r="G1915">
        <v>3</v>
      </c>
    </row>
    <row r="1916" spans="1:8">
      <c r="A1916" t="str">
        <f t="shared" si="29"/>
        <v>Keurvorststraat 4</v>
      </c>
      <c r="B1916" t="s">
        <v>488</v>
      </c>
      <c r="C1916" t="s">
        <v>296</v>
      </c>
      <c r="D1916">
        <v>1987</v>
      </c>
      <c r="E1916">
        <v>139</v>
      </c>
      <c r="F1916" t="s">
        <v>487</v>
      </c>
      <c r="G1916">
        <v>4</v>
      </c>
    </row>
    <row r="1917" spans="1:8">
      <c r="A1917" t="str">
        <f t="shared" si="29"/>
        <v>Keurvorststraat 5</v>
      </c>
      <c r="B1917" t="s">
        <v>486</v>
      </c>
      <c r="C1917" t="s">
        <v>296</v>
      </c>
      <c r="D1917">
        <v>1987</v>
      </c>
      <c r="E1917">
        <v>154</v>
      </c>
      <c r="F1917" t="s">
        <v>487</v>
      </c>
      <c r="G1917">
        <v>5</v>
      </c>
    </row>
    <row r="1918" spans="1:8">
      <c r="A1918" t="str">
        <f t="shared" si="29"/>
        <v>Keurvorststraat 6</v>
      </c>
      <c r="B1918" t="s">
        <v>488</v>
      </c>
      <c r="C1918" t="s">
        <v>296</v>
      </c>
      <c r="D1918">
        <v>1987</v>
      </c>
      <c r="E1918">
        <v>139</v>
      </c>
      <c r="F1918" t="s">
        <v>487</v>
      </c>
      <c r="G1918">
        <v>6</v>
      </c>
    </row>
    <row r="1919" spans="1:8">
      <c r="A1919" t="str">
        <f t="shared" si="29"/>
        <v>Keurvorststraat 7</v>
      </c>
      <c r="B1919" t="s">
        <v>486</v>
      </c>
      <c r="C1919" t="s">
        <v>296</v>
      </c>
      <c r="D1919">
        <v>1987</v>
      </c>
      <c r="E1919">
        <v>157</v>
      </c>
      <c r="F1919" t="s">
        <v>487</v>
      </c>
      <c r="G1919">
        <v>7</v>
      </c>
    </row>
    <row r="1920" spans="1:8">
      <c r="A1920" t="str">
        <f t="shared" si="29"/>
        <v>Keurvorststraat 8</v>
      </c>
      <c r="B1920" t="s">
        <v>488</v>
      </c>
      <c r="C1920" t="s">
        <v>296</v>
      </c>
      <c r="D1920">
        <v>1987</v>
      </c>
      <c r="E1920">
        <v>146</v>
      </c>
      <c r="F1920" t="s">
        <v>487</v>
      </c>
      <c r="G1920">
        <v>8</v>
      </c>
    </row>
    <row r="1921" spans="1:7">
      <c r="A1921" t="str">
        <f t="shared" si="29"/>
        <v>Keurvorststraat 9</v>
      </c>
      <c r="B1921" t="s">
        <v>486</v>
      </c>
      <c r="C1921" t="s">
        <v>296</v>
      </c>
      <c r="D1921">
        <v>1987</v>
      </c>
      <c r="E1921">
        <v>162</v>
      </c>
      <c r="F1921" t="s">
        <v>487</v>
      </c>
      <c r="G1921">
        <v>9</v>
      </c>
    </row>
    <row r="1922" spans="1:7">
      <c r="A1922" t="str">
        <f t="shared" ref="A1922:A1985" si="30">CONCATENATE(F1922," ",G1922,H1922)</f>
        <v>Keurvorststraat 10</v>
      </c>
      <c r="B1922" t="s">
        <v>488</v>
      </c>
      <c r="C1922" t="s">
        <v>296</v>
      </c>
      <c r="D1922">
        <v>1987</v>
      </c>
      <c r="E1922">
        <v>157</v>
      </c>
      <c r="F1922" t="s">
        <v>487</v>
      </c>
      <c r="G1922">
        <v>10</v>
      </c>
    </row>
    <row r="1923" spans="1:7">
      <c r="A1923" t="str">
        <f t="shared" si="30"/>
        <v>Keurvorststraat 11</v>
      </c>
      <c r="B1923" t="s">
        <v>486</v>
      </c>
      <c r="C1923" t="s">
        <v>296</v>
      </c>
      <c r="D1923">
        <v>1987</v>
      </c>
      <c r="E1923">
        <v>157</v>
      </c>
      <c r="F1923" t="s">
        <v>487</v>
      </c>
      <c r="G1923">
        <v>11</v>
      </c>
    </row>
    <row r="1924" spans="1:7">
      <c r="A1924" t="str">
        <f t="shared" si="30"/>
        <v>Keurvorststraat 12</v>
      </c>
      <c r="B1924" t="s">
        <v>488</v>
      </c>
      <c r="C1924" t="s">
        <v>296</v>
      </c>
      <c r="D1924">
        <v>1987</v>
      </c>
      <c r="E1924">
        <v>145</v>
      </c>
      <c r="F1924" t="s">
        <v>487</v>
      </c>
      <c r="G1924">
        <v>12</v>
      </c>
    </row>
    <row r="1925" spans="1:7">
      <c r="A1925" t="str">
        <f t="shared" si="30"/>
        <v>Keurvorststraat 13</v>
      </c>
      <c r="B1925" t="s">
        <v>486</v>
      </c>
      <c r="C1925" t="s">
        <v>296</v>
      </c>
      <c r="D1925">
        <v>1987</v>
      </c>
      <c r="E1925">
        <v>92</v>
      </c>
      <c r="F1925" t="s">
        <v>487</v>
      </c>
      <c r="G1925">
        <v>13</v>
      </c>
    </row>
    <row r="1926" spans="1:7">
      <c r="A1926" t="str">
        <f t="shared" si="30"/>
        <v>Keurvorststraat 14</v>
      </c>
      <c r="B1926" t="s">
        <v>488</v>
      </c>
      <c r="C1926" t="s">
        <v>296</v>
      </c>
      <c r="D1926">
        <v>1987</v>
      </c>
      <c r="E1926">
        <v>157</v>
      </c>
      <c r="F1926" t="s">
        <v>487</v>
      </c>
      <c r="G1926">
        <v>14</v>
      </c>
    </row>
    <row r="1927" spans="1:7">
      <c r="A1927" t="str">
        <f t="shared" si="30"/>
        <v>Keurvorststraat 15</v>
      </c>
      <c r="B1927" t="s">
        <v>486</v>
      </c>
      <c r="C1927" t="s">
        <v>296</v>
      </c>
      <c r="D1927">
        <v>1987</v>
      </c>
      <c r="E1927">
        <v>92</v>
      </c>
      <c r="F1927" t="s">
        <v>487</v>
      </c>
      <c r="G1927">
        <v>15</v>
      </c>
    </row>
    <row r="1928" spans="1:7">
      <c r="A1928" t="str">
        <f t="shared" si="30"/>
        <v>Keurvorststraat 16</v>
      </c>
      <c r="B1928" t="s">
        <v>488</v>
      </c>
      <c r="C1928" t="s">
        <v>296</v>
      </c>
      <c r="D1928">
        <v>1987</v>
      </c>
      <c r="E1928">
        <v>171</v>
      </c>
      <c r="F1928" t="s">
        <v>487</v>
      </c>
      <c r="G1928">
        <v>16</v>
      </c>
    </row>
    <row r="1929" spans="1:7">
      <c r="A1929" t="str">
        <f t="shared" si="30"/>
        <v>Keurvorststraat 17</v>
      </c>
      <c r="B1929" t="s">
        <v>486</v>
      </c>
      <c r="C1929" t="s">
        <v>296</v>
      </c>
      <c r="D1929">
        <v>1987</v>
      </c>
      <c r="E1929">
        <v>92</v>
      </c>
      <c r="F1929" t="s">
        <v>487</v>
      </c>
      <c r="G1929">
        <v>17</v>
      </c>
    </row>
    <row r="1930" spans="1:7">
      <c r="A1930" t="str">
        <f t="shared" si="30"/>
        <v>Keurvorststraat 18</v>
      </c>
      <c r="B1930" t="s">
        <v>488</v>
      </c>
      <c r="C1930" t="s">
        <v>296</v>
      </c>
      <c r="D1930">
        <v>1987</v>
      </c>
      <c r="E1930">
        <v>157</v>
      </c>
      <c r="F1930" t="s">
        <v>487</v>
      </c>
      <c r="G1930">
        <v>18</v>
      </c>
    </row>
    <row r="1931" spans="1:7">
      <c r="A1931" t="str">
        <f t="shared" si="30"/>
        <v>Keurvorststraat 19</v>
      </c>
      <c r="B1931" t="s">
        <v>486</v>
      </c>
      <c r="C1931" t="s">
        <v>296</v>
      </c>
      <c r="D1931">
        <v>1987</v>
      </c>
      <c r="E1931">
        <v>92</v>
      </c>
      <c r="F1931" t="s">
        <v>487</v>
      </c>
      <c r="G1931">
        <v>19</v>
      </c>
    </row>
    <row r="1932" spans="1:7">
      <c r="A1932" t="str">
        <f t="shared" si="30"/>
        <v>Keurvorststraat 20</v>
      </c>
      <c r="B1932" t="s">
        <v>488</v>
      </c>
      <c r="C1932" t="s">
        <v>296</v>
      </c>
      <c r="D1932">
        <v>1987</v>
      </c>
      <c r="E1932">
        <v>157</v>
      </c>
      <c r="F1932" t="s">
        <v>487</v>
      </c>
      <c r="G1932">
        <v>20</v>
      </c>
    </row>
    <row r="1933" spans="1:7">
      <c r="A1933" t="str">
        <f t="shared" si="30"/>
        <v>Keurvorststraat 21</v>
      </c>
      <c r="B1933" t="s">
        <v>486</v>
      </c>
      <c r="C1933" t="s">
        <v>296</v>
      </c>
      <c r="D1933">
        <v>1987</v>
      </c>
      <c r="E1933">
        <v>92</v>
      </c>
      <c r="F1933" t="s">
        <v>487</v>
      </c>
      <c r="G1933">
        <v>21</v>
      </c>
    </row>
    <row r="1934" spans="1:7">
      <c r="A1934" t="str">
        <f t="shared" si="30"/>
        <v>Keurvorststraat 22</v>
      </c>
      <c r="B1934" t="s">
        <v>488</v>
      </c>
      <c r="C1934" t="s">
        <v>296</v>
      </c>
      <c r="D1934">
        <v>1987</v>
      </c>
      <c r="E1934">
        <v>139</v>
      </c>
      <c r="F1934" t="s">
        <v>487</v>
      </c>
      <c r="G1934">
        <v>22</v>
      </c>
    </row>
    <row r="1935" spans="1:7">
      <c r="A1935" t="str">
        <f t="shared" si="30"/>
        <v>Keurvorststraat 23</v>
      </c>
      <c r="B1935" t="s">
        <v>486</v>
      </c>
      <c r="C1935" t="s">
        <v>296</v>
      </c>
      <c r="D1935">
        <v>1987</v>
      </c>
      <c r="E1935">
        <v>92</v>
      </c>
      <c r="F1935" t="s">
        <v>487</v>
      </c>
      <c r="G1935">
        <v>23</v>
      </c>
    </row>
    <row r="1936" spans="1:7">
      <c r="A1936" t="str">
        <f t="shared" si="30"/>
        <v>Keurvorststraat 24</v>
      </c>
      <c r="B1936" t="s">
        <v>488</v>
      </c>
      <c r="C1936" t="s">
        <v>296</v>
      </c>
      <c r="D1936">
        <v>1987</v>
      </c>
      <c r="E1936">
        <v>139</v>
      </c>
      <c r="F1936" t="s">
        <v>487</v>
      </c>
      <c r="G1936">
        <v>24</v>
      </c>
    </row>
    <row r="1937" spans="1:7">
      <c r="A1937" t="str">
        <f t="shared" si="30"/>
        <v>Keurvorststraat 25</v>
      </c>
      <c r="B1937" t="s">
        <v>486</v>
      </c>
      <c r="C1937" t="s">
        <v>296</v>
      </c>
      <c r="D1937">
        <v>1987</v>
      </c>
      <c r="E1937">
        <v>92</v>
      </c>
      <c r="F1937" t="s">
        <v>487</v>
      </c>
      <c r="G1937">
        <v>25</v>
      </c>
    </row>
    <row r="1938" spans="1:7">
      <c r="A1938" t="str">
        <f t="shared" si="30"/>
        <v>Keurvorststraat 26</v>
      </c>
      <c r="B1938" t="s">
        <v>488</v>
      </c>
      <c r="C1938" t="s">
        <v>296</v>
      </c>
      <c r="D1938">
        <v>1987</v>
      </c>
      <c r="E1938">
        <v>161</v>
      </c>
      <c r="F1938" t="s">
        <v>487</v>
      </c>
      <c r="G1938">
        <v>26</v>
      </c>
    </row>
    <row r="1939" spans="1:7">
      <c r="A1939" t="str">
        <f t="shared" si="30"/>
        <v>Keurvorststraat 27</v>
      </c>
      <c r="B1939" t="s">
        <v>486</v>
      </c>
      <c r="C1939" t="s">
        <v>296</v>
      </c>
      <c r="D1939">
        <v>1987</v>
      </c>
      <c r="E1939">
        <v>92</v>
      </c>
      <c r="F1939" t="s">
        <v>487</v>
      </c>
      <c r="G1939">
        <v>27</v>
      </c>
    </row>
    <row r="1940" spans="1:7">
      <c r="A1940" t="str">
        <f t="shared" si="30"/>
        <v>Keurvorststraat 28</v>
      </c>
      <c r="B1940" t="s">
        <v>488</v>
      </c>
      <c r="C1940" t="s">
        <v>296</v>
      </c>
      <c r="D1940">
        <v>1987</v>
      </c>
      <c r="E1940">
        <v>164</v>
      </c>
      <c r="F1940" t="s">
        <v>487</v>
      </c>
      <c r="G1940">
        <v>28</v>
      </c>
    </row>
    <row r="1941" spans="1:7">
      <c r="A1941" t="str">
        <f t="shared" si="30"/>
        <v>Keurvorststraat 29</v>
      </c>
      <c r="B1941" t="s">
        <v>486</v>
      </c>
      <c r="C1941" t="s">
        <v>296</v>
      </c>
      <c r="D1941">
        <v>1987</v>
      </c>
      <c r="E1941">
        <v>92</v>
      </c>
      <c r="F1941" t="s">
        <v>487</v>
      </c>
      <c r="G1941">
        <v>29</v>
      </c>
    </row>
    <row r="1942" spans="1:7">
      <c r="A1942" t="str">
        <f t="shared" si="30"/>
        <v>Keurvorststraat 30</v>
      </c>
      <c r="B1942" t="s">
        <v>488</v>
      </c>
      <c r="C1942" t="s">
        <v>296</v>
      </c>
      <c r="D1942">
        <v>1987</v>
      </c>
      <c r="E1942">
        <v>124</v>
      </c>
      <c r="F1942" t="s">
        <v>487</v>
      </c>
      <c r="G1942">
        <v>30</v>
      </c>
    </row>
    <row r="1943" spans="1:7">
      <c r="A1943" t="str">
        <f t="shared" si="30"/>
        <v>Keurvorststraat 31</v>
      </c>
      <c r="B1943" t="s">
        <v>486</v>
      </c>
      <c r="C1943" t="s">
        <v>296</v>
      </c>
      <c r="D1943">
        <v>1987</v>
      </c>
      <c r="E1943">
        <v>92</v>
      </c>
      <c r="F1943" t="s">
        <v>487</v>
      </c>
      <c r="G1943">
        <v>31</v>
      </c>
    </row>
    <row r="1944" spans="1:7">
      <c r="A1944" t="str">
        <f t="shared" si="30"/>
        <v>Keurvorststraat 32</v>
      </c>
      <c r="B1944" t="s">
        <v>488</v>
      </c>
      <c r="C1944" t="s">
        <v>296</v>
      </c>
      <c r="D1944">
        <v>1987</v>
      </c>
      <c r="E1944">
        <v>138</v>
      </c>
      <c r="F1944" t="s">
        <v>487</v>
      </c>
      <c r="G1944">
        <v>32</v>
      </c>
    </row>
    <row r="1945" spans="1:7">
      <c r="A1945" t="str">
        <f t="shared" si="30"/>
        <v>Keurvorststraat 34</v>
      </c>
      <c r="B1945" t="s">
        <v>488</v>
      </c>
      <c r="C1945" t="s">
        <v>296</v>
      </c>
      <c r="D1945">
        <v>1987</v>
      </c>
      <c r="E1945">
        <v>174</v>
      </c>
      <c r="F1945" t="s">
        <v>487</v>
      </c>
      <c r="G1945">
        <v>34</v>
      </c>
    </row>
    <row r="1946" spans="1:7">
      <c r="A1946" t="str">
        <f t="shared" si="30"/>
        <v>Keurvorststraat 36</v>
      </c>
      <c r="B1946" t="s">
        <v>488</v>
      </c>
      <c r="C1946" t="s">
        <v>296</v>
      </c>
      <c r="D1946">
        <v>1987</v>
      </c>
      <c r="E1946">
        <v>126</v>
      </c>
      <c r="F1946" t="s">
        <v>487</v>
      </c>
      <c r="G1946">
        <v>36</v>
      </c>
    </row>
    <row r="1947" spans="1:7">
      <c r="A1947" t="str">
        <f t="shared" si="30"/>
        <v>Keurvorststraat 38</v>
      </c>
      <c r="B1947" t="s">
        <v>488</v>
      </c>
      <c r="C1947" t="s">
        <v>296</v>
      </c>
      <c r="D1947">
        <v>1987</v>
      </c>
      <c r="E1947">
        <v>120</v>
      </c>
      <c r="F1947" t="s">
        <v>487</v>
      </c>
      <c r="G1947">
        <v>38</v>
      </c>
    </row>
    <row r="1948" spans="1:7">
      <c r="A1948" t="str">
        <f t="shared" si="30"/>
        <v>Keurvorststraat 40</v>
      </c>
      <c r="B1948" t="s">
        <v>488</v>
      </c>
      <c r="C1948" t="s">
        <v>296</v>
      </c>
      <c r="D1948">
        <v>1987</v>
      </c>
      <c r="E1948">
        <v>134</v>
      </c>
      <c r="F1948" t="s">
        <v>487</v>
      </c>
      <c r="G1948">
        <v>40</v>
      </c>
    </row>
    <row r="1949" spans="1:7">
      <c r="A1949" t="str">
        <f t="shared" si="30"/>
        <v>Keurvorststraat 42</v>
      </c>
      <c r="B1949" t="s">
        <v>488</v>
      </c>
      <c r="C1949" t="s">
        <v>296</v>
      </c>
      <c r="D1949">
        <v>1987</v>
      </c>
      <c r="E1949">
        <v>134</v>
      </c>
      <c r="F1949" t="s">
        <v>487</v>
      </c>
      <c r="G1949">
        <v>42</v>
      </c>
    </row>
    <row r="1950" spans="1:7">
      <c r="A1950" t="str">
        <f t="shared" si="30"/>
        <v>Keurvorststraat 44</v>
      </c>
      <c r="B1950" t="s">
        <v>488</v>
      </c>
      <c r="C1950" t="s">
        <v>296</v>
      </c>
      <c r="D1950">
        <v>1987</v>
      </c>
      <c r="E1950">
        <v>118</v>
      </c>
      <c r="F1950" t="s">
        <v>487</v>
      </c>
      <c r="G1950">
        <v>44</v>
      </c>
    </row>
    <row r="1951" spans="1:7">
      <c r="A1951" t="str">
        <f t="shared" si="30"/>
        <v>Keurvorststraat 46</v>
      </c>
      <c r="B1951" t="s">
        <v>488</v>
      </c>
      <c r="C1951" t="s">
        <v>296</v>
      </c>
      <c r="D1951">
        <v>1987</v>
      </c>
      <c r="E1951">
        <v>136</v>
      </c>
      <c r="F1951" t="s">
        <v>487</v>
      </c>
      <c r="G1951">
        <v>46</v>
      </c>
    </row>
    <row r="1952" spans="1:7">
      <c r="A1952" t="str">
        <f t="shared" si="30"/>
        <v>Keurvorststraat 48</v>
      </c>
      <c r="B1952" t="s">
        <v>488</v>
      </c>
      <c r="C1952" t="s">
        <v>296</v>
      </c>
      <c r="D1952">
        <v>1987</v>
      </c>
      <c r="E1952">
        <v>137</v>
      </c>
      <c r="F1952" t="s">
        <v>487</v>
      </c>
      <c r="G1952">
        <v>48</v>
      </c>
    </row>
    <row r="1953" spans="1:7">
      <c r="A1953" t="str">
        <f t="shared" si="30"/>
        <v>Keurvorststraat 50</v>
      </c>
      <c r="B1953" t="s">
        <v>488</v>
      </c>
      <c r="C1953" t="s">
        <v>296</v>
      </c>
      <c r="D1953">
        <v>1987</v>
      </c>
      <c r="E1953">
        <v>144</v>
      </c>
      <c r="F1953" t="s">
        <v>487</v>
      </c>
      <c r="G1953">
        <v>50</v>
      </c>
    </row>
    <row r="1954" spans="1:7">
      <c r="A1954" t="str">
        <f t="shared" si="30"/>
        <v>Keurvorststraat 52</v>
      </c>
      <c r="B1954" t="s">
        <v>488</v>
      </c>
      <c r="C1954" t="s">
        <v>296</v>
      </c>
      <c r="D1954">
        <v>1987</v>
      </c>
      <c r="E1954">
        <v>138</v>
      </c>
      <c r="F1954" t="s">
        <v>487</v>
      </c>
      <c r="G1954">
        <v>52</v>
      </c>
    </row>
    <row r="1955" spans="1:7">
      <c r="A1955" t="str">
        <f t="shared" si="30"/>
        <v>Keurvorststraat 54</v>
      </c>
      <c r="B1955" t="s">
        <v>488</v>
      </c>
      <c r="C1955" t="s">
        <v>296</v>
      </c>
      <c r="D1955">
        <v>1988</v>
      </c>
      <c r="E1955">
        <v>113</v>
      </c>
      <c r="F1955" t="s">
        <v>487</v>
      </c>
      <c r="G1955">
        <v>54</v>
      </c>
    </row>
    <row r="1956" spans="1:7">
      <c r="A1956" t="str">
        <f t="shared" si="30"/>
        <v>Keurvorststraat 56</v>
      </c>
      <c r="B1956" t="s">
        <v>488</v>
      </c>
      <c r="C1956" t="s">
        <v>296</v>
      </c>
      <c r="D1956">
        <v>1988</v>
      </c>
      <c r="E1956">
        <v>111</v>
      </c>
      <c r="F1956" t="s">
        <v>487</v>
      </c>
      <c r="G1956">
        <v>56</v>
      </c>
    </row>
    <row r="1957" spans="1:7">
      <c r="A1957" t="str">
        <f t="shared" si="30"/>
        <v>Keurvorststraat 58</v>
      </c>
      <c r="B1957" t="s">
        <v>488</v>
      </c>
      <c r="C1957" t="s">
        <v>296</v>
      </c>
      <c r="D1957">
        <v>1988</v>
      </c>
      <c r="E1957">
        <v>110</v>
      </c>
      <c r="F1957" t="s">
        <v>487</v>
      </c>
      <c r="G1957">
        <v>58</v>
      </c>
    </row>
    <row r="1958" spans="1:7">
      <c r="A1958" t="str">
        <f t="shared" si="30"/>
        <v>Keurvorststraat 60</v>
      </c>
      <c r="B1958" t="s">
        <v>488</v>
      </c>
      <c r="C1958" t="s">
        <v>296</v>
      </c>
      <c r="D1958">
        <v>1988</v>
      </c>
      <c r="E1958">
        <v>110</v>
      </c>
      <c r="F1958" t="s">
        <v>487</v>
      </c>
      <c r="G1958">
        <v>60</v>
      </c>
    </row>
    <row r="1959" spans="1:7">
      <c r="A1959" t="str">
        <f t="shared" si="30"/>
        <v>Keurvorststraat 62</v>
      </c>
      <c r="B1959" t="s">
        <v>488</v>
      </c>
      <c r="C1959" t="s">
        <v>296</v>
      </c>
      <c r="D1959">
        <v>1988</v>
      </c>
      <c r="E1959">
        <v>146</v>
      </c>
      <c r="F1959" t="s">
        <v>487</v>
      </c>
      <c r="G1959">
        <v>62</v>
      </c>
    </row>
    <row r="1960" spans="1:7">
      <c r="A1960" t="str">
        <f t="shared" si="30"/>
        <v>Keurvorststraat 64</v>
      </c>
      <c r="B1960" t="s">
        <v>488</v>
      </c>
      <c r="C1960" t="s">
        <v>296</v>
      </c>
      <c r="D1960">
        <v>1988</v>
      </c>
      <c r="E1960">
        <v>98</v>
      </c>
      <c r="F1960" t="s">
        <v>487</v>
      </c>
      <c r="G1960">
        <v>64</v>
      </c>
    </row>
    <row r="1961" spans="1:7">
      <c r="A1961" t="str">
        <f t="shared" si="30"/>
        <v>Keurvorststraat 66</v>
      </c>
      <c r="B1961" t="s">
        <v>488</v>
      </c>
      <c r="C1961" t="s">
        <v>296</v>
      </c>
      <c r="D1961">
        <v>1988</v>
      </c>
      <c r="E1961">
        <v>98</v>
      </c>
      <c r="F1961" t="s">
        <v>487</v>
      </c>
      <c r="G1961">
        <v>66</v>
      </c>
    </row>
    <row r="1962" spans="1:7">
      <c r="A1962" t="str">
        <f t="shared" si="30"/>
        <v>Keurvorststraat 68</v>
      </c>
      <c r="B1962" t="s">
        <v>488</v>
      </c>
      <c r="C1962" t="s">
        <v>296</v>
      </c>
      <c r="D1962">
        <v>1988</v>
      </c>
      <c r="E1962">
        <v>98</v>
      </c>
      <c r="F1962" t="s">
        <v>487</v>
      </c>
      <c r="G1962">
        <v>68</v>
      </c>
    </row>
    <row r="1963" spans="1:7">
      <c r="A1963" t="str">
        <f t="shared" si="30"/>
        <v>Keurvorststraat 70</v>
      </c>
      <c r="B1963" t="s">
        <v>488</v>
      </c>
      <c r="C1963" t="s">
        <v>296</v>
      </c>
      <c r="D1963">
        <v>1988</v>
      </c>
      <c r="E1963">
        <v>116</v>
      </c>
      <c r="F1963" t="s">
        <v>487</v>
      </c>
      <c r="G1963">
        <v>70</v>
      </c>
    </row>
    <row r="1964" spans="1:7">
      <c r="A1964" t="str">
        <f t="shared" si="30"/>
        <v>Keurvorststraat 72</v>
      </c>
      <c r="B1964" t="s">
        <v>488</v>
      </c>
      <c r="C1964" t="s">
        <v>296</v>
      </c>
      <c r="D1964">
        <v>1988</v>
      </c>
      <c r="E1964">
        <v>122</v>
      </c>
      <c r="F1964" t="s">
        <v>487</v>
      </c>
      <c r="G1964">
        <v>72</v>
      </c>
    </row>
    <row r="1965" spans="1:7">
      <c r="A1965" t="str">
        <f t="shared" si="30"/>
        <v>Keurvorststraat 74</v>
      </c>
      <c r="B1965" t="s">
        <v>488</v>
      </c>
      <c r="C1965" t="s">
        <v>296</v>
      </c>
      <c r="D1965">
        <v>1988</v>
      </c>
      <c r="E1965">
        <v>148</v>
      </c>
      <c r="F1965" t="s">
        <v>487</v>
      </c>
      <c r="G1965">
        <v>74</v>
      </c>
    </row>
    <row r="1966" spans="1:7">
      <c r="A1966" t="str">
        <f t="shared" si="30"/>
        <v>Keurvorststraat 76</v>
      </c>
      <c r="B1966" t="s">
        <v>488</v>
      </c>
      <c r="C1966" t="s">
        <v>296</v>
      </c>
      <c r="D1966">
        <v>1988</v>
      </c>
      <c r="E1966">
        <v>158</v>
      </c>
      <c r="F1966" t="s">
        <v>487</v>
      </c>
      <c r="G1966">
        <v>76</v>
      </c>
    </row>
    <row r="1967" spans="1:7">
      <c r="A1967" t="str">
        <f t="shared" si="30"/>
        <v>Keurvorststraat 78</v>
      </c>
      <c r="B1967" t="s">
        <v>488</v>
      </c>
      <c r="C1967" t="s">
        <v>296</v>
      </c>
      <c r="D1967">
        <v>1988</v>
      </c>
      <c r="E1967">
        <v>153</v>
      </c>
      <c r="F1967" t="s">
        <v>487</v>
      </c>
      <c r="G1967">
        <v>78</v>
      </c>
    </row>
    <row r="1968" spans="1:7">
      <c r="A1968" t="str">
        <f t="shared" si="30"/>
        <v>Keurvorststraat 80</v>
      </c>
      <c r="B1968" t="s">
        <v>488</v>
      </c>
      <c r="C1968" t="s">
        <v>296</v>
      </c>
      <c r="D1968">
        <v>1988</v>
      </c>
      <c r="E1968">
        <v>147</v>
      </c>
      <c r="F1968" t="s">
        <v>487</v>
      </c>
      <c r="G1968">
        <v>80</v>
      </c>
    </row>
    <row r="1969" spans="1:7">
      <c r="A1969" t="str">
        <f t="shared" si="30"/>
        <v>Keurvorststraat 82</v>
      </c>
      <c r="B1969" t="s">
        <v>488</v>
      </c>
      <c r="C1969" t="s">
        <v>296</v>
      </c>
      <c r="D1969">
        <v>1988</v>
      </c>
      <c r="E1969">
        <v>152</v>
      </c>
      <c r="F1969" t="s">
        <v>487</v>
      </c>
      <c r="G1969">
        <v>82</v>
      </c>
    </row>
    <row r="1970" spans="1:7">
      <c r="A1970" t="str">
        <f t="shared" si="30"/>
        <v>Keurvorststraat 84</v>
      </c>
      <c r="B1970" t="s">
        <v>488</v>
      </c>
      <c r="C1970" t="s">
        <v>296</v>
      </c>
      <c r="D1970">
        <v>1988</v>
      </c>
      <c r="E1970">
        <v>149</v>
      </c>
      <c r="F1970" t="s">
        <v>487</v>
      </c>
      <c r="G1970">
        <v>84</v>
      </c>
    </row>
    <row r="1971" spans="1:7">
      <c r="A1971" t="str">
        <f t="shared" si="30"/>
        <v>Keurvorststraat 86</v>
      </c>
      <c r="B1971" t="s">
        <v>488</v>
      </c>
      <c r="C1971" t="s">
        <v>296</v>
      </c>
      <c r="D1971">
        <v>1988</v>
      </c>
      <c r="E1971">
        <v>150</v>
      </c>
      <c r="F1971" t="s">
        <v>487</v>
      </c>
      <c r="G1971">
        <v>86</v>
      </c>
    </row>
    <row r="1972" spans="1:7">
      <c r="A1972" t="str">
        <f t="shared" si="30"/>
        <v>Keurvorststraat 88</v>
      </c>
      <c r="B1972" t="s">
        <v>488</v>
      </c>
      <c r="C1972" t="s">
        <v>296</v>
      </c>
      <c r="D1972">
        <v>1988</v>
      </c>
      <c r="E1972">
        <v>114</v>
      </c>
      <c r="F1972" t="s">
        <v>487</v>
      </c>
      <c r="G1972">
        <v>88</v>
      </c>
    </row>
    <row r="1973" spans="1:7">
      <c r="A1973" t="str">
        <f t="shared" si="30"/>
        <v>Keurvorststraat 90</v>
      </c>
      <c r="B1973" t="s">
        <v>488</v>
      </c>
      <c r="C1973" t="s">
        <v>296</v>
      </c>
      <c r="D1973">
        <v>1988</v>
      </c>
      <c r="E1973">
        <v>118</v>
      </c>
      <c r="F1973" t="s">
        <v>487</v>
      </c>
      <c r="G1973">
        <v>90</v>
      </c>
    </row>
    <row r="1974" spans="1:7">
      <c r="A1974" t="str">
        <f t="shared" si="30"/>
        <v>Kiekbergsebaan 6</v>
      </c>
      <c r="B1974" t="s">
        <v>489</v>
      </c>
      <c r="C1974" t="s">
        <v>343</v>
      </c>
      <c r="D1974">
        <v>1922</v>
      </c>
      <c r="E1974">
        <v>206</v>
      </c>
      <c r="F1974" t="s">
        <v>490</v>
      </c>
      <c r="G1974">
        <v>6</v>
      </c>
    </row>
    <row r="1975" spans="1:7">
      <c r="A1975" t="str">
        <f t="shared" si="30"/>
        <v>Kiekbergsebaan 8</v>
      </c>
      <c r="B1975" t="s">
        <v>489</v>
      </c>
      <c r="C1975" t="s">
        <v>343</v>
      </c>
      <c r="D1975">
        <v>1952</v>
      </c>
      <c r="E1975">
        <v>286</v>
      </c>
      <c r="F1975" t="s">
        <v>490</v>
      </c>
      <c r="G1975">
        <v>8</v>
      </c>
    </row>
    <row r="1976" spans="1:7">
      <c r="A1976" t="str">
        <f t="shared" si="30"/>
        <v>Kleineblokstraat 1</v>
      </c>
      <c r="B1976" t="s">
        <v>491</v>
      </c>
      <c r="C1976" t="s">
        <v>306</v>
      </c>
      <c r="D1976">
        <v>1962</v>
      </c>
      <c r="E1976">
        <v>201</v>
      </c>
      <c r="F1976" t="s">
        <v>492</v>
      </c>
      <c r="G1976">
        <v>1</v>
      </c>
    </row>
    <row r="1977" spans="1:7">
      <c r="A1977" t="str">
        <f t="shared" si="30"/>
        <v>Kleineblokstraat 2</v>
      </c>
      <c r="B1977" t="s">
        <v>491</v>
      </c>
      <c r="C1977" t="s">
        <v>306</v>
      </c>
      <c r="D1977">
        <v>1970</v>
      </c>
      <c r="E1977">
        <v>92</v>
      </c>
      <c r="F1977" t="s">
        <v>492</v>
      </c>
      <c r="G1977">
        <v>2</v>
      </c>
    </row>
    <row r="1978" spans="1:7">
      <c r="A1978" t="str">
        <f t="shared" si="30"/>
        <v>Kleineblokstraat 3</v>
      </c>
      <c r="B1978" t="s">
        <v>491</v>
      </c>
      <c r="C1978" t="s">
        <v>306</v>
      </c>
      <c r="D1978">
        <v>1960</v>
      </c>
      <c r="E1978">
        <v>174</v>
      </c>
      <c r="F1978" t="s">
        <v>492</v>
      </c>
      <c r="G1978">
        <v>3</v>
      </c>
    </row>
    <row r="1979" spans="1:7">
      <c r="A1979" t="str">
        <f t="shared" si="30"/>
        <v>Kleineblokstraat 4</v>
      </c>
      <c r="B1979" t="s">
        <v>491</v>
      </c>
      <c r="C1979" t="s">
        <v>306</v>
      </c>
      <c r="D1979">
        <v>1970</v>
      </c>
      <c r="E1979">
        <v>92</v>
      </c>
      <c r="F1979" t="s">
        <v>492</v>
      </c>
      <c r="G1979">
        <v>4</v>
      </c>
    </row>
    <row r="1980" spans="1:7">
      <c r="A1980" t="str">
        <f t="shared" si="30"/>
        <v>Kleineblokstraat 5</v>
      </c>
      <c r="B1980" t="s">
        <v>491</v>
      </c>
      <c r="C1980" t="s">
        <v>306</v>
      </c>
      <c r="D1980">
        <v>1960</v>
      </c>
      <c r="E1980">
        <v>82</v>
      </c>
      <c r="F1980" t="s">
        <v>492</v>
      </c>
      <c r="G1980">
        <v>5</v>
      </c>
    </row>
    <row r="1981" spans="1:7">
      <c r="A1981" t="str">
        <f t="shared" si="30"/>
        <v>Kleineblokstraat 6</v>
      </c>
      <c r="B1981" t="s">
        <v>491</v>
      </c>
      <c r="C1981" t="s">
        <v>306</v>
      </c>
      <c r="D1981">
        <v>1970</v>
      </c>
      <c r="E1981">
        <v>92</v>
      </c>
      <c r="F1981" t="s">
        <v>492</v>
      </c>
      <c r="G1981">
        <v>6</v>
      </c>
    </row>
    <row r="1982" spans="1:7">
      <c r="A1982" t="str">
        <f t="shared" si="30"/>
        <v>Kleineblokstraat 7</v>
      </c>
      <c r="B1982" t="s">
        <v>491</v>
      </c>
      <c r="C1982" t="s">
        <v>306</v>
      </c>
      <c r="D1982">
        <v>1960</v>
      </c>
      <c r="E1982">
        <v>111</v>
      </c>
      <c r="F1982" t="s">
        <v>492</v>
      </c>
      <c r="G1982">
        <v>7</v>
      </c>
    </row>
    <row r="1983" spans="1:7">
      <c r="A1983" t="str">
        <f t="shared" si="30"/>
        <v>Kleineblokstraat 8</v>
      </c>
      <c r="B1983" t="s">
        <v>491</v>
      </c>
      <c r="C1983" t="s">
        <v>306</v>
      </c>
      <c r="D1983">
        <v>1970</v>
      </c>
      <c r="E1983">
        <v>92</v>
      </c>
      <c r="F1983" t="s">
        <v>492</v>
      </c>
      <c r="G1983">
        <v>8</v>
      </c>
    </row>
    <row r="1984" spans="1:7">
      <c r="A1984" t="str">
        <f t="shared" si="30"/>
        <v>Kleineblokstraat 9</v>
      </c>
      <c r="B1984" t="s">
        <v>491</v>
      </c>
      <c r="C1984" t="s">
        <v>306</v>
      </c>
      <c r="D1984">
        <v>1960</v>
      </c>
      <c r="E1984">
        <v>83</v>
      </c>
      <c r="F1984" t="s">
        <v>492</v>
      </c>
      <c r="G1984">
        <v>9</v>
      </c>
    </row>
    <row r="1985" spans="1:8">
      <c r="A1985" t="str">
        <f t="shared" si="30"/>
        <v>Kleineblokstraat 10a</v>
      </c>
      <c r="B1985" t="s">
        <v>491</v>
      </c>
      <c r="C1985" t="s">
        <v>306</v>
      </c>
      <c r="D1985">
        <v>1970</v>
      </c>
      <c r="E1985">
        <v>13</v>
      </c>
      <c r="F1985" t="s">
        <v>492</v>
      </c>
      <c r="G1985">
        <v>10</v>
      </c>
      <c r="H1985" t="s">
        <v>304</v>
      </c>
    </row>
    <row r="1986" spans="1:8">
      <c r="A1986" t="str">
        <f t="shared" ref="A1986:A2049" si="31">CONCATENATE(F1986," ",G1986,H1986)</f>
        <v>Kleineblokstraat 10</v>
      </c>
      <c r="B1986" t="s">
        <v>491</v>
      </c>
      <c r="C1986" t="s">
        <v>306</v>
      </c>
      <c r="D1986">
        <v>1970</v>
      </c>
      <c r="E1986">
        <v>89</v>
      </c>
      <c r="F1986" t="s">
        <v>492</v>
      </c>
      <c r="G1986">
        <v>10</v>
      </c>
    </row>
    <row r="1987" spans="1:8">
      <c r="A1987" t="str">
        <f t="shared" si="31"/>
        <v>Kleineblokstraat 11</v>
      </c>
      <c r="B1987" t="s">
        <v>491</v>
      </c>
      <c r="C1987" t="s">
        <v>306</v>
      </c>
      <c r="D1987">
        <v>1960</v>
      </c>
      <c r="E1987">
        <v>82</v>
      </c>
      <c r="F1987" t="s">
        <v>492</v>
      </c>
      <c r="G1987">
        <v>11</v>
      </c>
    </row>
    <row r="1988" spans="1:8">
      <c r="A1988" t="str">
        <f t="shared" si="31"/>
        <v>Kleineblokstraat 12</v>
      </c>
      <c r="B1988" t="s">
        <v>491</v>
      </c>
      <c r="C1988" t="s">
        <v>306</v>
      </c>
      <c r="D1988">
        <v>1970</v>
      </c>
      <c r="E1988">
        <v>89</v>
      </c>
      <c r="F1988" t="s">
        <v>492</v>
      </c>
      <c r="G1988">
        <v>12</v>
      </c>
    </row>
    <row r="1989" spans="1:8">
      <c r="A1989" t="str">
        <f t="shared" si="31"/>
        <v>Kleineblokstraat 13</v>
      </c>
      <c r="B1989" t="s">
        <v>491</v>
      </c>
      <c r="C1989" t="s">
        <v>306</v>
      </c>
      <c r="D1989">
        <v>1960</v>
      </c>
      <c r="E1989">
        <v>102</v>
      </c>
      <c r="F1989" t="s">
        <v>492</v>
      </c>
      <c r="G1989">
        <v>13</v>
      </c>
    </row>
    <row r="1990" spans="1:8">
      <c r="A1990" t="str">
        <f t="shared" si="31"/>
        <v>Kleineblokstraat 15</v>
      </c>
      <c r="B1990" t="s">
        <v>491</v>
      </c>
      <c r="C1990" t="s">
        <v>306</v>
      </c>
      <c r="D1990">
        <v>1960</v>
      </c>
      <c r="E1990">
        <v>82</v>
      </c>
      <c r="F1990" t="s">
        <v>492</v>
      </c>
      <c r="G1990">
        <v>15</v>
      </c>
    </row>
    <row r="1991" spans="1:8">
      <c r="A1991" t="str">
        <f t="shared" si="31"/>
        <v>Kleineblokstraat 17</v>
      </c>
      <c r="B1991" t="s">
        <v>491</v>
      </c>
      <c r="C1991" t="s">
        <v>306</v>
      </c>
      <c r="D1991">
        <v>1960</v>
      </c>
      <c r="E1991">
        <v>82</v>
      </c>
      <c r="F1991" t="s">
        <v>492</v>
      </c>
      <c r="G1991">
        <v>17</v>
      </c>
    </row>
    <row r="1992" spans="1:8">
      <c r="A1992" t="str">
        <f t="shared" si="31"/>
        <v>Kleppermanstraatje 1</v>
      </c>
      <c r="B1992" t="s">
        <v>493</v>
      </c>
      <c r="C1992" t="s">
        <v>306</v>
      </c>
      <c r="D1992">
        <v>1998</v>
      </c>
      <c r="E1992">
        <v>130</v>
      </c>
      <c r="F1992" t="s">
        <v>494</v>
      </c>
      <c r="G1992">
        <v>1</v>
      </c>
    </row>
    <row r="1993" spans="1:8">
      <c r="A1993" t="str">
        <f t="shared" si="31"/>
        <v>Kleppermanstraatje 2</v>
      </c>
      <c r="B1993" t="s">
        <v>493</v>
      </c>
      <c r="C1993" t="s">
        <v>306</v>
      </c>
      <c r="D1993">
        <v>1998</v>
      </c>
      <c r="E1993">
        <v>125</v>
      </c>
      <c r="F1993" t="s">
        <v>494</v>
      </c>
      <c r="G1993">
        <v>2</v>
      </c>
    </row>
    <row r="1994" spans="1:8">
      <c r="A1994" t="str">
        <f t="shared" si="31"/>
        <v>Kleppermanstraatje 3</v>
      </c>
      <c r="B1994" t="s">
        <v>493</v>
      </c>
      <c r="C1994" t="s">
        <v>306</v>
      </c>
      <c r="D1994">
        <v>1998</v>
      </c>
      <c r="E1994">
        <v>201</v>
      </c>
      <c r="F1994" t="s">
        <v>494</v>
      </c>
      <c r="G1994">
        <v>3</v>
      </c>
    </row>
    <row r="1995" spans="1:8">
      <c r="A1995" t="str">
        <f t="shared" si="31"/>
        <v>Kleppermanstraatje 4</v>
      </c>
      <c r="B1995" t="s">
        <v>493</v>
      </c>
      <c r="C1995" t="s">
        <v>306</v>
      </c>
      <c r="D1995">
        <v>1998</v>
      </c>
      <c r="E1995">
        <v>179</v>
      </c>
      <c r="F1995" t="s">
        <v>494</v>
      </c>
      <c r="G1995">
        <v>4</v>
      </c>
    </row>
    <row r="1996" spans="1:8">
      <c r="A1996" t="str">
        <f t="shared" si="31"/>
        <v>Kleppermanstraatje 5a</v>
      </c>
      <c r="B1996" t="s">
        <v>493</v>
      </c>
      <c r="C1996" t="s">
        <v>306</v>
      </c>
      <c r="D1996">
        <v>1971</v>
      </c>
      <c r="E1996">
        <v>9</v>
      </c>
      <c r="F1996" t="s">
        <v>494</v>
      </c>
      <c r="G1996">
        <v>5</v>
      </c>
      <c r="H1996" t="s">
        <v>304</v>
      </c>
    </row>
    <row r="1997" spans="1:8">
      <c r="A1997" t="str">
        <f t="shared" si="31"/>
        <v>Kleppermanstraatje 5</v>
      </c>
      <c r="B1997" t="s">
        <v>493</v>
      </c>
      <c r="C1997" t="s">
        <v>306</v>
      </c>
      <c r="D1997">
        <v>1998</v>
      </c>
      <c r="E1997">
        <v>204</v>
      </c>
      <c r="F1997" t="s">
        <v>494</v>
      </c>
      <c r="G1997">
        <v>5</v>
      </c>
    </row>
    <row r="1998" spans="1:8">
      <c r="A1998" t="str">
        <f t="shared" si="31"/>
        <v>Kleppermanstraatje 6</v>
      </c>
      <c r="B1998" t="s">
        <v>493</v>
      </c>
      <c r="C1998" t="s">
        <v>306</v>
      </c>
      <c r="D1998">
        <v>2017</v>
      </c>
      <c r="E1998">
        <v>193</v>
      </c>
      <c r="F1998" t="s">
        <v>494</v>
      </c>
      <c r="G1998">
        <v>6</v>
      </c>
    </row>
    <row r="1999" spans="1:8">
      <c r="A1999" t="str">
        <f t="shared" si="31"/>
        <v>Kleppermanstraatje 7</v>
      </c>
      <c r="B1999" t="s">
        <v>493</v>
      </c>
      <c r="C1999" t="s">
        <v>306</v>
      </c>
      <c r="D1999">
        <v>2015</v>
      </c>
      <c r="E1999">
        <v>176</v>
      </c>
      <c r="F1999" t="s">
        <v>494</v>
      </c>
      <c r="G1999">
        <v>7</v>
      </c>
    </row>
    <row r="2000" spans="1:8">
      <c r="A2000" t="str">
        <f t="shared" si="31"/>
        <v>Kloostertuin 1</v>
      </c>
      <c r="B2000" t="s">
        <v>495</v>
      </c>
      <c r="C2000" t="s">
        <v>296</v>
      </c>
      <c r="D2000">
        <v>1985</v>
      </c>
      <c r="E2000">
        <v>80</v>
      </c>
      <c r="F2000" t="s">
        <v>496</v>
      </c>
      <c r="G2000">
        <v>1</v>
      </c>
    </row>
    <row r="2001" spans="1:7">
      <c r="A2001" t="str">
        <f t="shared" si="31"/>
        <v>Kloostertuin 3</v>
      </c>
      <c r="B2001" t="s">
        <v>495</v>
      </c>
      <c r="C2001" t="s">
        <v>296</v>
      </c>
      <c r="D2001">
        <v>1985</v>
      </c>
      <c r="E2001">
        <v>80</v>
      </c>
      <c r="F2001" t="s">
        <v>496</v>
      </c>
      <c r="G2001">
        <v>3</v>
      </c>
    </row>
    <row r="2002" spans="1:7">
      <c r="A2002" t="str">
        <f t="shared" si="31"/>
        <v>Kloostertuin 4</v>
      </c>
      <c r="B2002" t="s">
        <v>497</v>
      </c>
      <c r="C2002" t="s">
        <v>296</v>
      </c>
      <c r="D2002">
        <v>1989</v>
      </c>
      <c r="E2002">
        <v>167</v>
      </c>
      <c r="F2002" t="s">
        <v>496</v>
      </c>
      <c r="G2002">
        <v>4</v>
      </c>
    </row>
    <row r="2003" spans="1:7">
      <c r="A2003" t="str">
        <f t="shared" si="31"/>
        <v>Kloostertuin 5</v>
      </c>
      <c r="B2003" t="s">
        <v>495</v>
      </c>
      <c r="C2003" t="s">
        <v>296</v>
      </c>
      <c r="D2003">
        <v>1985</v>
      </c>
      <c r="E2003">
        <v>80</v>
      </c>
      <c r="F2003" t="s">
        <v>496</v>
      </c>
      <c r="G2003">
        <v>5</v>
      </c>
    </row>
    <row r="2004" spans="1:7">
      <c r="A2004" t="str">
        <f t="shared" si="31"/>
        <v>Kloostertuin 6</v>
      </c>
      <c r="B2004" t="s">
        <v>497</v>
      </c>
      <c r="C2004" t="s">
        <v>296</v>
      </c>
      <c r="D2004">
        <v>1989</v>
      </c>
      <c r="E2004">
        <v>198</v>
      </c>
      <c r="F2004" t="s">
        <v>496</v>
      </c>
      <c r="G2004">
        <v>6</v>
      </c>
    </row>
    <row r="2005" spans="1:7">
      <c r="A2005" t="str">
        <f t="shared" si="31"/>
        <v>Kloostertuin 7</v>
      </c>
      <c r="B2005" t="s">
        <v>495</v>
      </c>
      <c r="C2005" t="s">
        <v>296</v>
      </c>
      <c r="D2005">
        <v>1985</v>
      </c>
      <c r="E2005">
        <v>80</v>
      </c>
      <c r="F2005" t="s">
        <v>496</v>
      </c>
      <c r="G2005">
        <v>7</v>
      </c>
    </row>
    <row r="2006" spans="1:7">
      <c r="A2006" t="str">
        <f t="shared" si="31"/>
        <v>Kloostertuin 8</v>
      </c>
      <c r="B2006" t="s">
        <v>497</v>
      </c>
      <c r="C2006" t="s">
        <v>296</v>
      </c>
      <c r="D2006">
        <v>1989</v>
      </c>
      <c r="E2006">
        <v>223</v>
      </c>
      <c r="F2006" t="s">
        <v>496</v>
      </c>
      <c r="G2006">
        <v>8</v>
      </c>
    </row>
    <row r="2007" spans="1:7">
      <c r="A2007" t="str">
        <f t="shared" si="31"/>
        <v>Kloostertuin 9</v>
      </c>
      <c r="B2007" t="s">
        <v>495</v>
      </c>
      <c r="C2007" t="s">
        <v>296</v>
      </c>
      <c r="D2007">
        <v>1985</v>
      </c>
      <c r="E2007">
        <v>80</v>
      </c>
      <c r="F2007" t="s">
        <v>496</v>
      </c>
      <c r="G2007">
        <v>9</v>
      </c>
    </row>
    <row r="2008" spans="1:7">
      <c r="A2008" t="str">
        <f t="shared" si="31"/>
        <v>Kloostertuin 10</v>
      </c>
      <c r="B2008" t="s">
        <v>497</v>
      </c>
      <c r="C2008" t="s">
        <v>296</v>
      </c>
      <c r="D2008">
        <v>1989</v>
      </c>
      <c r="E2008">
        <v>162</v>
      </c>
      <c r="F2008" t="s">
        <v>496</v>
      </c>
      <c r="G2008">
        <v>10</v>
      </c>
    </row>
    <row r="2009" spans="1:7">
      <c r="A2009" t="str">
        <f t="shared" si="31"/>
        <v>Kloostertuin 11</v>
      </c>
      <c r="B2009" t="s">
        <v>495</v>
      </c>
      <c r="C2009" t="s">
        <v>296</v>
      </c>
      <c r="D2009">
        <v>1985</v>
      </c>
      <c r="E2009">
        <v>80</v>
      </c>
      <c r="F2009" t="s">
        <v>496</v>
      </c>
      <c r="G2009">
        <v>11</v>
      </c>
    </row>
    <row r="2010" spans="1:7">
      <c r="A2010" t="str">
        <f t="shared" si="31"/>
        <v>Kloostertuin 12</v>
      </c>
      <c r="B2010" t="s">
        <v>497</v>
      </c>
      <c r="C2010" t="s">
        <v>296</v>
      </c>
      <c r="D2010">
        <v>1989</v>
      </c>
      <c r="E2010">
        <v>159</v>
      </c>
      <c r="F2010" t="s">
        <v>496</v>
      </c>
      <c r="G2010">
        <v>12</v>
      </c>
    </row>
    <row r="2011" spans="1:7">
      <c r="A2011" t="str">
        <f t="shared" si="31"/>
        <v>Kloostertuin 13</v>
      </c>
      <c r="B2011" t="s">
        <v>495</v>
      </c>
      <c r="C2011" t="s">
        <v>296</v>
      </c>
      <c r="D2011">
        <v>1985</v>
      </c>
      <c r="E2011">
        <v>100</v>
      </c>
      <c r="F2011" t="s">
        <v>496</v>
      </c>
      <c r="G2011">
        <v>13</v>
      </c>
    </row>
    <row r="2012" spans="1:7">
      <c r="A2012" t="str">
        <f t="shared" si="31"/>
        <v>Kloostertuin 14</v>
      </c>
      <c r="B2012" t="s">
        <v>497</v>
      </c>
      <c r="C2012" t="s">
        <v>296</v>
      </c>
      <c r="D2012">
        <v>1989</v>
      </c>
      <c r="E2012">
        <v>159</v>
      </c>
      <c r="F2012" t="s">
        <v>496</v>
      </c>
      <c r="G2012">
        <v>14</v>
      </c>
    </row>
    <row r="2013" spans="1:7">
      <c r="A2013" t="str">
        <f t="shared" si="31"/>
        <v>Kloostertuin 15</v>
      </c>
      <c r="B2013" t="s">
        <v>495</v>
      </c>
      <c r="C2013" t="s">
        <v>296</v>
      </c>
      <c r="D2013">
        <v>1985</v>
      </c>
      <c r="E2013">
        <v>101</v>
      </c>
      <c r="F2013" t="s">
        <v>496</v>
      </c>
      <c r="G2013">
        <v>15</v>
      </c>
    </row>
    <row r="2014" spans="1:7">
      <c r="A2014" t="str">
        <f t="shared" si="31"/>
        <v>Kloostertuin 16</v>
      </c>
      <c r="B2014" t="s">
        <v>497</v>
      </c>
      <c r="C2014" t="s">
        <v>296</v>
      </c>
      <c r="D2014">
        <v>1989</v>
      </c>
      <c r="E2014">
        <v>160</v>
      </c>
      <c r="F2014" t="s">
        <v>496</v>
      </c>
      <c r="G2014">
        <v>16</v>
      </c>
    </row>
    <row r="2015" spans="1:7">
      <c r="A2015" t="str">
        <f t="shared" si="31"/>
        <v>Kloostertuin 17</v>
      </c>
      <c r="B2015" t="s">
        <v>495</v>
      </c>
      <c r="C2015" t="s">
        <v>296</v>
      </c>
      <c r="D2015">
        <v>1985</v>
      </c>
      <c r="E2015">
        <v>110</v>
      </c>
      <c r="F2015" t="s">
        <v>496</v>
      </c>
      <c r="G2015">
        <v>17</v>
      </c>
    </row>
    <row r="2016" spans="1:7">
      <c r="A2016" t="str">
        <f t="shared" si="31"/>
        <v>Kloostertuin 18</v>
      </c>
      <c r="B2016" t="s">
        <v>497</v>
      </c>
      <c r="C2016" t="s">
        <v>296</v>
      </c>
      <c r="D2016">
        <v>1989</v>
      </c>
      <c r="E2016">
        <v>168</v>
      </c>
      <c r="F2016" t="s">
        <v>496</v>
      </c>
      <c r="G2016">
        <v>18</v>
      </c>
    </row>
    <row r="2017" spans="1:8">
      <c r="A2017" t="str">
        <f t="shared" si="31"/>
        <v>Kloostertuin 19a</v>
      </c>
      <c r="B2017" t="s">
        <v>495</v>
      </c>
      <c r="C2017" t="s">
        <v>296</v>
      </c>
      <c r="D2017">
        <v>1986</v>
      </c>
      <c r="E2017">
        <v>9</v>
      </c>
      <c r="F2017" t="s">
        <v>496</v>
      </c>
      <c r="G2017">
        <v>19</v>
      </c>
      <c r="H2017" t="s">
        <v>304</v>
      </c>
    </row>
    <row r="2018" spans="1:8">
      <c r="A2018" t="str">
        <f t="shared" si="31"/>
        <v>Kloostertuin 19</v>
      </c>
      <c r="B2018" t="s">
        <v>495</v>
      </c>
      <c r="C2018" t="s">
        <v>296</v>
      </c>
      <c r="D2018">
        <v>1985</v>
      </c>
      <c r="E2018">
        <v>100</v>
      </c>
      <c r="F2018" t="s">
        <v>496</v>
      </c>
      <c r="G2018">
        <v>19</v>
      </c>
    </row>
    <row r="2019" spans="1:8">
      <c r="A2019" t="str">
        <f t="shared" si="31"/>
        <v>Kloostertuin 20</v>
      </c>
      <c r="B2019" t="s">
        <v>497</v>
      </c>
      <c r="C2019" t="s">
        <v>296</v>
      </c>
      <c r="D2019">
        <v>1989</v>
      </c>
      <c r="E2019">
        <v>155</v>
      </c>
      <c r="F2019" t="s">
        <v>496</v>
      </c>
      <c r="G2019">
        <v>20</v>
      </c>
    </row>
    <row r="2020" spans="1:8">
      <c r="A2020" t="str">
        <f t="shared" si="31"/>
        <v>Kloostertuin 21</v>
      </c>
      <c r="B2020" t="s">
        <v>495</v>
      </c>
      <c r="C2020" t="s">
        <v>296</v>
      </c>
      <c r="D2020">
        <v>2004</v>
      </c>
      <c r="E2020">
        <v>116</v>
      </c>
      <c r="F2020" t="s">
        <v>496</v>
      </c>
      <c r="G2020">
        <v>21</v>
      </c>
    </row>
    <row r="2021" spans="1:8">
      <c r="A2021" t="str">
        <f t="shared" si="31"/>
        <v>Kloostertuin 22</v>
      </c>
      <c r="B2021" t="s">
        <v>497</v>
      </c>
      <c r="C2021" t="s">
        <v>296</v>
      </c>
      <c r="D2021">
        <v>1989</v>
      </c>
      <c r="E2021">
        <v>178</v>
      </c>
      <c r="F2021" t="s">
        <v>496</v>
      </c>
      <c r="G2021">
        <v>22</v>
      </c>
    </row>
    <row r="2022" spans="1:8">
      <c r="A2022" t="str">
        <f t="shared" si="31"/>
        <v>Kloostertuin 23</v>
      </c>
      <c r="B2022" t="s">
        <v>495</v>
      </c>
      <c r="C2022" t="s">
        <v>296</v>
      </c>
      <c r="D2022">
        <v>2004</v>
      </c>
      <c r="E2022">
        <v>110</v>
      </c>
      <c r="F2022" t="s">
        <v>496</v>
      </c>
      <c r="G2022">
        <v>23</v>
      </c>
    </row>
    <row r="2023" spans="1:8">
      <c r="A2023" t="str">
        <f t="shared" si="31"/>
        <v>Kloostertuin 24</v>
      </c>
      <c r="B2023" t="s">
        <v>497</v>
      </c>
      <c r="C2023" t="s">
        <v>296</v>
      </c>
      <c r="D2023">
        <v>1989</v>
      </c>
      <c r="E2023">
        <v>159</v>
      </c>
      <c r="F2023" t="s">
        <v>496</v>
      </c>
      <c r="G2023">
        <v>24</v>
      </c>
    </row>
    <row r="2024" spans="1:8">
      <c r="A2024" t="str">
        <f t="shared" si="31"/>
        <v>Kloostertuin 25</v>
      </c>
      <c r="B2024" t="s">
        <v>495</v>
      </c>
      <c r="C2024" t="s">
        <v>296</v>
      </c>
      <c r="D2024">
        <v>2004</v>
      </c>
      <c r="E2024">
        <v>110</v>
      </c>
      <c r="F2024" t="s">
        <v>496</v>
      </c>
      <c r="G2024">
        <v>25</v>
      </c>
    </row>
    <row r="2025" spans="1:8">
      <c r="A2025" t="str">
        <f t="shared" si="31"/>
        <v>Kloostertuin 26</v>
      </c>
      <c r="B2025" t="s">
        <v>497</v>
      </c>
      <c r="C2025" t="s">
        <v>296</v>
      </c>
      <c r="D2025">
        <v>1989</v>
      </c>
      <c r="E2025">
        <v>147</v>
      </c>
      <c r="F2025" t="s">
        <v>496</v>
      </c>
      <c r="G2025">
        <v>26</v>
      </c>
    </row>
    <row r="2026" spans="1:8">
      <c r="A2026" t="str">
        <f t="shared" si="31"/>
        <v>Kloostertuin 27</v>
      </c>
      <c r="B2026" t="s">
        <v>495</v>
      </c>
      <c r="C2026" t="s">
        <v>296</v>
      </c>
      <c r="D2026">
        <v>2004</v>
      </c>
      <c r="E2026">
        <v>107</v>
      </c>
      <c r="F2026" t="s">
        <v>496</v>
      </c>
      <c r="G2026">
        <v>27</v>
      </c>
    </row>
    <row r="2027" spans="1:8">
      <c r="A2027" t="str">
        <f t="shared" si="31"/>
        <v>Kloostertuin 29</v>
      </c>
      <c r="B2027" t="s">
        <v>495</v>
      </c>
      <c r="C2027" t="s">
        <v>296</v>
      </c>
      <c r="D2027">
        <v>2004</v>
      </c>
      <c r="E2027">
        <v>104</v>
      </c>
      <c r="F2027" t="s">
        <v>496</v>
      </c>
      <c r="G2027">
        <v>29</v>
      </c>
    </row>
    <row r="2028" spans="1:8">
      <c r="A2028" t="str">
        <f t="shared" si="31"/>
        <v>Kloostertuin 31</v>
      </c>
      <c r="B2028" t="s">
        <v>495</v>
      </c>
      <c r="C2028" t="s">
        <v>296</v>
      </c>
      <c r="D2028">
        <v>2004</v>
      </c>
      <c r="E2028">
        <v>76</v>
      </c>
      <c r="F2028" t="s">
        <v>496</v>
      </c>
      <c r="G2028">
        <v>31</v>
      </c>
    </row>
    <row r="2029" spans="1:8">
      <c r="A2029" t="str">
        <f t="shared" si="31"/>
        <v>Kloostertuin 33</v>
      </c>
      <c r="B2029" t="s">
        <v>495</v>
      </c>
      <c r="C2029" t="s">
        <v>296</v>
      </c>
      <c r="D2029">
        <v>2004</v>
      </c>
      <c r="E2029">
        <v>87</v>
      </c>
      <c r="F2029" t="s">
        <v>496</v>
      </c>
      <c r="G2029">
        <v>33</v>
      </c>
    </row>
    <row r="2030" spans="1:8">
      <c r="A2030" t="str">
        <f t="shared" si="31"/>
        <v>Kloostertuin 35</v>
      </c>
      <c r="B2030" t="s">
        <v>495</v>
      </c>
      <c r="C2030" t="s">
        <v>296</v>
      </c>
      <c r="D2030">
        <v>2004</v>
      </c>
      <c r="E2030">
        <v>90</v>
      </c>
      <c r="F2030" t="s">
        <v>496</v>
      </c>
      <c r="G2030">
        <v>35</v>
      </c>
    </row>
    <row r="2031" spans="1:8">
      <c r="A2031" t="str">
        <f t="shared" si="31"/>
        <v>Kloostertuin 37</v>
      </c>
      <c r="B2031" t="s">
        <v>495</v>
      </c>
      <c r="C2031" t="s">
        <v>296</v>
      </c>
      <c r="D2031">
        <v>2004</v>
      </c>
      <c r="E2031">
        <v>106</v>
      </c>
      <c r="F2031" t="s">
        <v>496</v>
      </c>
      <c r="G2031">
        <v>37</v>
      </c>
    </row>
    <row r="2032" spans="1:8">
      <c r="A2032" t="str">
        <f t="shared" si="31"/>
        <v>Kloostertuin 39</v>
      </c>
      <c r="B2032" t="s">
        <v>495</v>
      </c>
      <c r="C2032" t="s">
        <v>296</v>
      </c>
      <c r="D2032">
        <v>2004</v>
      </c>
      <c r="E2032">
        <v>70</v>
      </c>
      <c r="F2032" t="s">
        <v>496</v>
      </c>
      <c r="G2032">
        <v>39</v>
      </c>
    </row>
    <row r="2033" spans="1:8">
      <c r="A2033" t="str">
        <f t="shared" si="31"/>
        <v>Kloostertuin 41</v>
      </c>
      <c r="B2033" t="s">
        <v>495</v>
      </c>
      <c r="C2033" t="s">
        <v>296</v>
      </c>
      <c r="D2033">
        <v>2004</v>
      </c>
      <c r="E2033">
        <v>90</v>
      </c>
      <c r="F2033" t="s">
        <v>496</v>
      </c>
      <c r="G2033">
        <v>41</v>
      </c>
    </row>
    <row r="2034" spans="1:8">
      <c r="A2034" t="str">
        <f t="shared" si="31"/>
        <v>Kloostertuin 43</v>
      </c>
      <c r="B2034" t="s">
        <v>495</v>
      </c>
      <c r="C2034" t="s">
        <v>296</v>
      </c>
      <c r="D2034">
        <v>2004</v>
      </c>
      <c r="E2034">
        <v>89</v>
      </c>
      <c r="F2034" t="s">
        <v>496</v>
      </c>
      <c r="G2034">
        <v>43</v>
      </c>
    </row>
    <row r="2035" spans="1:8">
      <c r="A2035" t="str">
        <f t="shared" si="31"/>
        <v>Kloostertuin 45</v>
      </c>
      <c r="B2035" t="s">
        <v>495</v>
      </c>
      <c r="C2035" t="s">
        <v>296</v>
      </c>
      <c r="D2035">
        <v>2004</v>
      </c>
      <c r="E2035">
        <v>94</v>
      </c>
      <c r="F2035" t="s">
        <v>496</v>
      </c>
      <c r="G2035">
        <v>45</v>
      </c>
    </row>
    <row r="2036" spans="1:8">
      <c r="A2036" t="str">
        <f t="shared" si="31"/>
        <v>Kloostertuin 47</v>
      </c>
      <c r="B2036" t="s">
        <v>495</v>
      </c>
      <c r="C2036" t="s">
        <v>296</v>
      </c>
      <c r="D2036">
        <v>2004</v>
      </c>
      <c r="E2036">
        <v>93</v>
      </c>
      <c r="F2036" t="s">
        <v>496</v>
      </c>
      <c r="G2036">
        <v>47</v>
      </c>
    </row>
    <row r="2037" spans="1:8">
      <c r="A2037" t="str">
        <f t="shared" si="31"/>
        <v>Kloostertuin 49</v>
      </c>
      <c r="B2037" t="s">
        <v>495</v>
      </c>
      <c r="C2037" t="s">
        <v>296</v>
      </c>
      <c r="D2037">
        <v>2004</v>
      </c>
      <c r="E2037">
        <v>95</v>
      </c>
      <c r="F2037" t="s">
        <v>496</v>
      </c>
      <c r="G2037">
        <v>49</v>
      </c>
    </row>
    <row r="2038" spans="1:8">
      <c r="A2038" t="str">
        <f t="shared" si="31"/>
        <v>Kloostertuin 51</v>
      </c>
      <c r="B2038" t="s">
        <v>495</v>
      </c>
      <c r="C2038" t="s">
        <v>296</v>
      </c>
      <c r="D2038">
        <v>2004</v>
      </c>
      <c r="E2038">
        <v>94</v>
      </c>
      <c r="F2038" t="s">
        <v>496</v>
      </c>
      <c r="G2038">
        <v>51</v>
      </c>
    </row>
    <row r="2039" spans="1:8">
      <c r="A2039" t="str">
        <f t="shared" si="31"/>
        <v>Kloostertuin 53</v>
      </c>
      <c r="B2039" t="s">
        <v>495</v>
      </c>
      <c r="C2039" t="s">
        <v>296</v>
      </c>
      <c r="D2039">
        <v>2004</v>
      </c>
      <c r="E2039">
        <v>100</v>
      </c>
      <c r="F2039" t="s">
        <v>496</v>
      </c>
      <c r="G2039">
        <v>53</v>
      </c>
    </row>
    <row r="2040" spans="1:8">
      <c r="A2040" t="str">
        <f t="shared" si="31"/>
        <v>Kloostertuin 55</v>
      </c>
      <c r="B2040" t="s">
        <v>495</v>
      </c>
      <c r="C2040" t="s">
        <v>296</v>
      </c>
      <c r="D2040">
        <v>2004</v>
      </c>
      <c r="E2040">
        <v>87</v>
      </c>
      <c r="F2040" t="s">
        <v>496</v>
      </c>
      <c r="G2040">
        <v>55</v>
      </c>
    </row>
    <row r="2041" spans="1:8">
      <c r="A2041" t="str">
        <f t="shared" si="31"/>
        <v>Kloostertuin 57</v>
      </c>
      <c r="B2041" t="s">
        <v>495</v>
      </c>
      <c r="C2041" t="s">
        <v>296</v>
      </c>
      <c r="D2041">
        <v>2004</v>
      </c>
      <c r="E2041">
        <v>94</v>
      </c>
      <c r="F2041" t="s">
        <v>496</v>
      </c>
      <c r="G2041">
        <v>57</v>
      </c>
    </row>
    <row r="2042" spans="1:8">
      <c r="A2042" t="str">
        <f t="shared" si="31"/>
        <v>Kloostertuin 59</v>
      </c>
      <c r="B2042" t="s">
        <v>495</v>
      </c>
      <c r="C2042" t="s">
        <v>296</v>
      </c>
      <c r="D2042">
        <v>2004</v>
      </c>
      <c r="E2042">
        <v>89</v>
      </c>
      <c r="F2042" t="s">
        <v>496</v>
      </c>
      <c r="G2042">
        <v>59</v>
      </c>
    </row>
    <row r="2043" spans="1:8">
      <c r="A2043" t="str">
        <f t="shared" si="31"/>
        <v>Knollenberg 1a</v>
      </c>
      <c r="B2043" t="s">
        <v>498</v>
      </c>
      <c r="C2043" t="s">
        <v>306</v>
      </c>
      <c r="D2043">
        <v>1997</v>
      </c>
      <c r="E2043">
        <v>124</v>
      </c>
      <c r="F2043" t="s">
        <v>499</v>
      </c>
      <c r="G2043">
        <v>1</v>
      </c>
      <c r="H2043" t="s">
        <v>304</v>
      </c>
    </row>
    <row r="2044" spans="1:8">
      <c r="A2044" t="str">
        <f t="shared" si="31"/>
        <v>Knollenberg 1</v>
      </c>
      <c r="B2044" t="s">
        <v>498</v>
      </c>
      <c r="C2044" t="s">
        <v>306</v>
      </c>
      <c r="D2044">
        <v>1984</v>
      </c>
      <c r="E2044">
        <v>113</v>
      </c>
      <c r="F2044" t="s">
        <v>499</v>
      </c>
      <c r="G2044">
        <v>1</v>
      </c>
    </row>
    <row r="2045" spans="1:8">
      <c r="A2045" t="str">
        <f t="shared" si="31"/>
        <v>Knollenberg 2</v>
      </c>
      <c r="B2045" t="s">
        <v>500</v>
      </c>
      <c r="C2045" t="s">
        <v>306</v>
      </c>
      <c r="D2045">
        <v>1972</v>
      </c>
      <c r="E2045">
        <v>194</v>
      </c>
      <c r="F2045" t="s">
        <v>499</v>
      </c>
      <c r="G2045">
        <v>2</v>
      </c>
    </row>
    <row r="2046" spans="1:8">
      <c r="A2046" t="str">
        <f t="shared" si="31"/>
        <v>Knollenberg 3</v>
      </c>
      <c r="B2046" t="s">
        <v>498</v>
      </c>
      <c r="C2046" t="s">
        <v>306</v>
      </c>
      <c r="D2046">
        <v>1997</v>
      </c>
      <c r="E2046">
        <v>137</v>
      </c>
      <c r="F2046" t="s">
        <v>499</v>
      </c>
      <c r="G2046">
        <v>3</v>
      </c>
    </row>
    <row r="2047" spans="1:8">
      <c r="A2047" t="str">
        <f t="shared" si="31"/>
        <v>Knollenberg 4</v>
      </c>
      <c r="B2047" t="s">
        <v>500</v>
      </c>
      <c r="C2047" t="s">
        <v>306</v>
      </c>
      <c r="D2047">
        <v>1972</v>
      </c>
      <c r="E2047">
        <v>289</v>
      </c>
      <c r="F2047" t="s">
        <v>499</v>
      </c>
      <c r="G2047">
        <v>4</v>
      </c>
    </row>
    <row r="2048" spans="1:8">
      <c r="A2048" t="str">
        <f t="shared" si="31"/>
        <v>Knollenberg 5</v>
      </c>
      <c r="B2048" t="s">
        <v>498</v>
      </c>
      <c r="C2048" t="s">
        <v>306</v>
      </c>
      <c r="D2048">
        <v>1992</v>
      </c>
      <c r="E2048">
        <v>328</v>
      </c>
      <c r="F2048" t="s">
        <v>499</v>
      </c>
      <c r="G2048">
        <v>5</v>
      </c>
    </row>
    <row r="2049" spans="1:8">
      <c r="A2049" t="str">
        <f t="shared" si="31"/>
        <v>Knollenberg 6</v>
      </c>
      <c r="B2049" t="s">
        <v>500</v>
      </c>
      <c r="C2049" t="s">
        <v>306</v>
      </c>
      <c r="D2049">
        <v>1973</v>
      </c>
      <c r="E2049">
        <v>294</v>
      </c>
      <c r="F2049" t="s">
        <v>499</v>
      </c>
      <c r="G2049">
        <v>6</v>
      </c>
    </row>
    <row r="2050" spans="1:8">
      <c r="A2050" t="str">
        <f t="shared" ref="A2050:A2113" si="32">CONCATENATE(F2050," ",G2050,H2050)</f>
        <v>Knollenberg 7</v>
      </c>
      <c r="B2050" t="s">
        <v>498</v>
      </c>
      <c r="C2050" t="s">
        <v>306</v>
      </c>
      <c r="D2050">
        <v>1950</v>
      </c>
      <c r="E2050">
        <v>136</v>
      </c>
      <c r="F2050" t="s">
        <v>499</v>
      </c>
      <c r="G2050">
        <v>7</v>
      </c>
    </row>
    <row r="2051" spans="1:8">
      <c r="A2051" t="str">
        <f t="shared" si="32"/>
        <v>Knollenberg 8</v>
      </c>
      <c r="B2051" t="s">
        <v>500</v>
      </c>
      <c r="C2051" t="s">
        <v>306</v>
      </c>
      <c r="D2051">
        <v>1973</v>
      </c>
      <c r="E2051">
        <v>252</v>
      </c>
      <c r="F2051" t="s">
        <v>499</v>
      </c>
      <c r="G2051">
        <v>8</v>
      </c>
    </row>
    <row r="2052" spans="1:8">
      <c r="A2052" t="str">
        <f t="shared" si="32"/>
        <v>Knollenberg 9</v>
      </c>
      <c r="B2052" t="s">
        <v>498</v>
      </c>
      <c r="C2052" t="s">
        <v>306</v>
      </c>
      <c r="D2052">
        <v>1976</v>
      </c>
      <c r="E2052">
        <v>234</v>
      </c>
      <c r="F2052" t="s">
        <v>499</v>
      </c>
      <c r="G2052">
        <v>9</v>
      </c>
    </row>
    <row r="2053" spans="1:8">
      <c r="A2053" t="str">
        <f t="shared" si="32"/>
        <v>Knollenberg 10</v>
      </c>
      <c r="B2053" t="s">
        <v>500</v>
      </c>
      <c r="C2053" t="s">
        <v>306</v>
      </c>
      <c r="D2053">
        <v>1972</v>
      </c>
      <c r="E2053">
        <v>265</v>
      </c>
      <c r="F2053" t="s">
        <v>499</v>
      </c>
      <c r="G2053">
        <v>10</v>
      </c>
    </row>
    <row r="2054" spans="1:8">
      <c r="A2054" t="str">
        <f t="shared" si="32"/>
        <v>Knollenberg 11</v>
      </c>
      <c r="B2054" t="s">
        <v>498</v>
      </c>
      <c r="C2054" t="s">
        <v>306</v>
      </c>
      <c r="D2054">
        <v>1973</v>
      </c>
      <c r="E2054">
        <v>487</v>
      </c>
      <c r="F2054" t="s">
        <v>499</v>
      </c>
      <c r="G2054">
        <v>11</v>
      </c>
    </row>
    <row r="2055" spans="1:8">
      <c r="A2055" t="str">
        <f t="shared" si="32"/>
        <v>Knollenberg 12a</v>
      </c>
      <c r="B2055" t="s">
        <v>500</v>
      </c>
      <c r="C2055" t="s">
        <v>306</v>
      </c>
      <c r="D2055">
        <v>1973</v>
      </c>
      <c r="E2055">
        <v>23</v>
      </c>
      <c r="F2055" t="s">
        <v>499</v>
      </c>
      <c r="G2055">
        <v>12</v>
      </c>
      <c r="H2055" t="s">
        <v>304</v>
      </c>
    </row>
    <row r="2056" spans="1:8">
      <c r="A2056" t="str">
        <f t="shared" si="32"/>
        <v>Knollenberg 12</v>
      </c>
      <c r="B2056" t="s">
        <v>500</v>
      </c>
      <c r="C2056" t="s">
        <v>306</v>
      </c>
      <c r="D2056">
        <v>1973</v>
      </c>
      <c r="E2056">
        <v>242</v>
      </c>
      <c r="F2056" t="s">
        <v>499</v>
      </c>
      <c r="G2056">
        <v>12</v>
      </c>
    </row>
    <row r="2057" spans="1:8">
      <c r="A2057" t="str">
        <f t="shared" si="32"/>
        <v>Knollenberg 15</v>
      </c>
      <c r="B2057" t="s">
        <v>498</v>
      </c>
      <c r="C2057" t="s">
        <v>306</v>
      </c>
      <c r="D2057">
        <v>1973</v>
      </c>
      <c r="E2057">
        <v>341</v>
      </c>
      <c r="F2057" t="s">
        <v>499</v>
      </c>
      <c r="G2057">
        <v>15</v>
      </c>
    </row>
    <row r="2058" spans="1:8">
      <c r="A2058" t="str">
        <f t="shared" si="32"/>
        <v>Knollenberg 16</v>
      </c>
      <c r="B2058" t="s">
        <v>500</v>
      </c>
      <c r="C2058" t="s">
        <v>306</v>
      </c>
      <c r="D2058">
        <v>1973</v>
      </c>
      <c r="E2058">
        <v>205</v>
      </c>
      <c r="F2058" t="s">
        <v>499</v>
      </c>
      <c r="G2058">
        <v>16</v>
      </c>
    </row>
    <row r="2059" spans="1:8">
      <c r="A2059" t="str">
        <f t="shared" si="32"/>
        <v>Knollenberg 17</v>
      </c>
      <c r="B2059" t="s">
        <v>498</v>
      </c>
      <c r="C2059" t="s">
        <v>306</v>
      </c>
      <c r="D2059">
        <v>1973</v>
      </c>
      <c r="E2059">
        <v>395</v>
      </c>
      <c r="F2059" t="s">
        <v>499</v>
      </c>
      <c r="G2059">
        <v>17</v>
      </c>
    </row>
    <row r="2060" spans="1:8">
      <c r="A2060" t="str">
        <f t="shared" si="32"/>
        <v>Knollenberg 18</v>
      </c>
      <c r="B2060" t="s">
        <v>500</v>
      </c>
      <c r="C2060" t="s">
        <v>306</v>
      </c>
      <c r="D2060">
        <v>1972</v>
      </c>
      <c r="E2060">
        <v>179</v>
      </c>
      <c r="F2060" t="s">
        <v>499</v>
      </c>
      <c r="G2060">
        <v>18</v>
      </c>
    </row>
    <row r="2061" spans="1:8">
      <c r="A2061" t="str">
        <f t="shared" si="32"/>
        <v>Knollenberg 19</v>
      </c>
      <c r="B2061" t="s">
        <v>498</v>
      </c>
      <c r="C2061" t="s">
        <v>306</v>
      </c>
      <c r="D2061">
        <v>1979</v>
      </c>
      <c r="E2061">
        <v>367</v>
      </c>
      <c r="F2061" t="s">
        <v>499</v>
      </c>
      <c r="G2061">
        <v>19</v>
      </c>
    </row>
    <row r="2062" spans="1:8">
      <c r="A2062" t="str">
        <f t="shared" si="32"/>
        <v>Knollenberg 20</v>
      </c>
      <c r="B2062" t="s">
        <v>500</v>
      </c>
      <c r="C2062" t="s">
        <v>306</v>
      </c>
      <c r="D2062">
        <v>1971</v>
      </c>
      <c r="E2062">
        <v>248</v>
      </c>
      <c r="F2062" t="s">
        <v>499</v>
      </c>
      <c r="G2062">
        <v>20</v>
      </c>
    </row>
    <row r="2063" spans="1:8">
      <c r="A2063" t="str">
        <f t="shared" si="32"/>
        <v>Knollenberg 21</v>
      </c>
      <c r="B2063" t="s">
        <v>498</v>
      </c>
      <c r="C2063" t="s">
        <v>306</v>
      </c>
      <c r="D2063">
        <v>1980</v>
      </c>
      <c r="E2063">
        <v>345</v>
      </c>
      <c r="F2063" t="s">
        <v>499</v>
      </c>
      <c r="G2063">
        <v>21</v>
      </c>
    </row>
    <row r="2064" spans="1:8">
      <c r="A2064" t="str">
        <f t="shared" si="32"/>
        <v>Knollenberg 23</v>
      </c>
      <c r="B2064" t="s">
        <v>498</v>
      </c>
      <c r="C2064" t="s">
        <v>306</v>
      </c>
      <c r="D2064">
        <v>1947</v>
      </c>
      <c r="E2064">
        <v>263</v>
      </c>
      <c r="F2064" t="s">
        <v>499</v>
      </c>
      <c r="G2064">
        <v>23</v>
      </c>
    </row>
    <row r="2065" spans="1:8">
      <c r="A2065" t="str">
        <f t="shared" si="32"/>
        <v>Knollenberg 25</v>
      </c>
      <c r="B2065" t="s">
        <v>498</v>
      </c>
      <c r="C2065" t="s">
        <v>306</v>
      </c>
      <c r="D2065">
        <v>1972</v>
      </c>
      <c r="E2065">
        <v>319</v>
      </c>
      <c r="F2065" t="s">
        <v>499</v>
      </c>
      <c r="G2065">
        <v>25</v>
      </c>
    </row>
    <row r="2066" spans="1:8">
      <c r="A2066" t="str">
        <f t="shared" si="32"/>
        <v>Knollenberg 27</v>
      </c>
      <c r="B2066" t="s">
        <v>498</v>
      </c>
      <c r="C2066" t="s">
        <v>306</v>
      </c>
      <c r="D2066">
        <v>1972</v>
      </c>
      <c r="E2066">
        <v>327</v>
      </c>
      <c r="F2066" t="s">
        <v>499</v>
      </c>
      <c r="G2066">
        <v>27</v>
      </c>
    </row>
    <row r="2067" spans="1:8">
      <c r="A2067" t="str">
        <f t="shared" si="32"/>
        <v>Knollenberg 29</v>
      </c>
      <c r="B2067" t="s">
        <v>498</v>
      </c>
      <c r="C2067" t="s">
        <v>306</v>
      </c>
      <c r="D2067">
        <v>1971</v>
      </c>
      <c r="E2067">
        <v>279</v>
      </c>
      <c r="F2067" t="s">
        <v>499</v>
      </c>
      <c r="G2067">
        <v>29</v>
      </c>
    </row>
    <row r="2068" spans="1:8">
      <c r="A2068" t="str">
        <f t="shared" si="32"/>
        <v>Koningin Julianastraat 1</v>
      </c>
      <c r="B2068" t="s">
        <v>501</v>
      </c>
      <c r="C2068" t="s">
        <v>306</v>
      </c>
      <c r="D2068">
        <v>1965</v>
      </c>
      <c r="E2068">
        <v>135</v>
      </c>
      <c r="F2068" t="s">
        <v>502</v>
      </c>
      <c r="G2068">
        <v>1</v>
      </c>
    </row>
    <row r="2069" spans="1:8">
      <c r="A2069" t="str">
        <f t="shared" si="32"/>
        <v>Koningin Julianastraat 3</v>
      </c>
      <c r="B2069" t="s">
        <v>501</v>
      </c>
      <c r="C2069" t="s">
        <v>306</v>
      </c>
      <c r="D2069">
        <v>2020</v>
      </c>
      <c r="E2069">
        <v>526</v>
      </c>
      <c r="F2069" t="s">
        <v>502</v>
      </c>
      <c r="G2069">
        <v>3</v>
      </c>
    </row>
    <row r="2070" spans="1:8">
      <c r="A2070" t="str">
        <f t="shared" si="32"/>
        <v>Koningin Julianastraat 4</v>
      </c>
      <c r="B2070" t="s">
        <v>503</v>
      </c>
      <c r="C2070" t="s">
        <v>306</v>
      </c>
      <c r="D2070">
        <v>1960</v>
      </c>
      <c r="E2070">
        <v>214</v>
      </c>
      <c r="F2070" t="s">
        <v>502</v>
      </c>
      <c r="G2070">
        <v>4</v>
      </c>
    </row>
    <row r="2071" spans="1:8">
      <c r="A2071" t="str">
        <f t="shared" si="32"/>
        <v>Koningin Julianastraat 5a</v>
      </c>
      <c r="B2071" t="s">
        <v>501</v>
      </c>
      <c r="C2071" t="s">
        <v>306</v>
      </c>
      <c r="D2071">
        <v>1930</v>
      </c>
      <c r="E2071">
        <v>358</v>
      </c>
      <c r="F2071" t="s">
        <v>502</v>
      </c>
      <c r="G2071">
        <v>5</v>
      </c>
      <c r="H2071" t="s">
        <v>304</v>
      </c>
    </row>
    <row r="2072" spans="1:8">
      <c r="A2072" t="str">
        <f t="shared" si="32"/>
        <v>Koningin Julianastraat 5</v>
      </c>
      <c r="B2072" t="s">
        <v>501</v>
      </c>
      <c r="C2072" t="s">
        <v>306</v>
      </c>
      <c r="D2072">
        <v>1930</v>
      </c>
      <c r="E2072">
        <v>1190</v>
      </c>
      <c r="F2072" t="s">
        <v>502</v>
      </c>
      <c r="G2072">
        <v>5</v>
      </c>
    </row>
    <row r="2073" spans="1:8">
      <c r="A2073" t="str">
        <f t="shared" si="32"/>
        <v>Koningin Julianastraat 6</v>
      </c>
      <c r="B2073" t="s">
        <v>503</v>
      </c>
      <c r="C2073" t="s">
        <v>306</v>
      </c>
      <c r="D2073">
        <v>1959</v>
      </c>
      <c r="E2073">
        <v>115</v>
      </c>
      <c r="F2073" t="s">
        <v>502</v>
      </c>
      <c r="G2073">
        <v>6</v>
      </c>
    </row>
    <row r="2074" spans="1:8">
      <c r="A2074" t="str">
        <f t="shared" si="32"/>
        <v>Koningin Julianastraat 7</v>
      </c>
      <c r="B2074" t="s">
        <v>501</v>
      </c>
      <c r="C2074" t="s">
        <v>306</v>
      </c>
      <c r="D2074">
        <v>1958</v>
      </c>
      <c r="E2074">
        <v>113</v>
      </c>
      <c r="F2074" t="s">
        <v>502</v>
      </c>
      <c r="G2074">
        <v>7</v>
      </c>
    </row>
    <row r="2075" spans="1:8">
      <c r="A2075" t="str">
        <f t="shared" si="32"/>
        <v>Koningin Julianastraat 8</v>
      </c>
      <c r="B2075" t="s">
        <v>503</v>
      </c>
      <c r="C2075" t="s">
        <v>306</v>
      </c>
      <c r="D2075">
        <v>1961</v>
      </c>
      <c r="E2075">
        <v>244</v>
      </c>
      <c r="F2075" t="s">
        <v>502</v>
      </c>
      <c r="G2075">
        <v>8</v>
      </c>
    </row>
    <row r="2076" spans="1:8">
      <c r="A2076" t="str">
        <f t="shared" si="32"/>
        <v>Koningin Julianastraat 9</v>
      </c>
      <c r="B2076" t="s">
        <v>501</v>
      </c>
      <c r="C2076" t="s">
        <v>306</v>
      </c>
      <c r="D2076">
        <v>1958</v>
      </c>
      <c r="E2076">
        <v>148</v>
      </c>
      <c r="F2076" t="s">
        <v>502</v>
      </c>
      <c r="G2076">
        <v>9</v>
      </c>
    </row>
    <row r="2077" spans="1:8">
      <c r="A2077" t="str">
        <f t="shared" si="32"/>
        <v>Koningin Julianastraat 10</v>
      </c>
      <c r="B2077" t="s">
        <v>503</v>
      </c>
      <c r="C2077" t="s">
        <v>306</v>
      </c>
      <c r="D2077">
        <v>1962</v>
      </c>
      <c r="E2077">
        <v>159</v>
      </c>
      <c r="F2077" t="s">
        <v>502</v>
      </c>
      <c r="G2077">
        <v>10</v>
      </c>
    </row>
    <row r="2078" spans="1:8">
      <c r="A2078" t="str">
        <f t="shared" si="32"/>
        <v>Koningin Julianastraat 11</v>
      </c>
      <c r="B2078" t="s">
        <v>501</v>
      </c>
      <c r="C2078" t="s">
        <v>306</v>
      </c>
      <c r="D2078">
        <v>1958</v>
      </c>
      <c r="E2078">
        <v>152</v>
      </c>
      <c r="F2078" t="s">
        <v>502</v>
      </c>
      <c r="G2078">
        <v>11</v>
      </c>
    </row>
    <row r="2079" spans="1:8">
      <c r="A2079" t="str">
        <f t="shared" si="32"/>
        <v>Koningin Julianastraat 12a</v>
      </c>
      <c r="B2079" t="s">
        <v>503</v>
      </c>
      <c r="C2079" t="s">
        <v>306</v>
      </c>
      <c r="D2079">
        <v>1966</v>
      </c>
      <c r="E2079">
        <v>137</v>
      </c>
      <c r="F2079" t="s">
        <v>502</v>
      </c>
      <c r="G2079">
        <v>12</v>
      </c>
      <c r="H2079" t="s">
        <v>304</v>
      </c>
    </row>
    <row r="2080" spans="1:8">
      <c r="A2080" t="str">
        <f t="shared" si="32"/>
        <v>Koningin Julianastraat 12</v>
      </c>
      <c r="B2080" t="s">
        <v>503</v>
      </c>
      <c r="C2080" t="s">
        <v>306</v>
      </c>
      <c r="D2080">
        <v>1966</v>
      </c>
      <c r="E2080">
        <v>172</v>
      </c>
      <c r="F2080" t="s">
        <v>502</v>
      </c>
      <c r="G2080">
        <v>12</v>
      </c>
    </row>
    <row r="2081" spans="1:7">
      <c r="A2081" t="str">
        <f t="shared" si="32"/>
        <v>Koningin Julianastraat 13</v>
      </c>
      <c r="B2081" t="s">
        <v>501</v>
      </c>
      <c r="C2081" t="s">
        <v>306</v>
      </c>
      <c r="D2081">
        <v>1958</v>
      </c>
      <c r="E2081">
        <v>140</v>
      </c>
      <c r="F2081" t="s">
        <v>502</v>
      </c>
      <c r="G2081">
        <v>13</v>
      </c>
    </row>
    <row r="2082" spans="1:7">
      <c r="A2082" t="str">
        <f t="shared" si="32"/>
        <v>Koningin Julianastraat 14</v>
      </c>
      <c r="B2082" t="s">
        <v>503</v>
      </c>
      <c r="C2082" t="s">
        <v>306</v>
      </c>
      <c r="D2082">
        <v>1958</v>
      </c>
      <c r="E2082">
        <v>140</v>
      </c>
      <c r="F2082" t="s">
        <v>502</v>
      </c>
      <c r="G2082">
        <v>14</v>
      </c>
    </row>
    <row r="2083" spans="1:7">
      <c r="A2083" t="str">
        <f t="shared" si="32"/>
        <v>Koningin Julianastraat 15</v>
      </c>
      <c r="B2083" t="s">
        <v>501</v>
      </c>
      <c r="C2083" t="s">
        <v>306</v>
      </c>
      <c r="D2083">
        <v>1958</v>
      </c>
      <c r="E2083">
        <v>161</v>
      </c>
      <c r="F2083" t="s">
        <v>502</v>
      </c>
      <c r="G2083">
        <v>15</v>
      </c>
    </row>
    <row r="2084" spans="1:7">
      <c r="A2084" t="str">
        <f t="shared" si="32"/>
        <v>Koningin Julianastraat 16</v>
      </c>
      <c r="B2084" t="s">
        <v>503</v>
      </c>
      <c r="C2084" t="s">
        <v>306</v>
      </c>
      <c r="D2084">
        <v>1958</v>
      </c>
      <c r="E2084">
        <v>135</v>
      </c>
      <c r="F2084" t="s">
        <v>502</v>
      </c>
      <c r="G2084">
        <v>16</v>
      </c>
    </row>
    <row r="2085" spans="1:7">
      <c r="A2085" t="str">
        <f t="shared" si="32"/>
        <v>Koningin Julianastraat 17</v>
      </c>
      <c r="B2085" t="s">
        <v>501</v>
      </c>
      <c r="C2085" t="s">
        <v>306</v>
      </c>
      <c r="D2085">
        <v>1958</v>
      </c>
      <c r="E2085">
        <v>129</v>
      </c>
      <c r="F2085" t="s">
        <v>502</v>
      </c>
      <c r="G2085">
        <v>17</v>
      </c>
    </row>
    <row r="2086" spans="1:7">
      <c r="A2086" t="str">
        <f t="shared" si="32"/>
        <v>Koningin Julianastraat 18</v>
      </c>
      <c r="B2086" t="s">
        <v>503</v>
      </c>
      <c r="C2086" t="s">
        <v>306</v>
      </c>
      <c r="D2086">
        <v>1958</v>
      </c>
      <c r="E2086">
        <v>119</v>
      </c>
      <c r="F2086" t="s">
        <v>502</v>
      </c>
      <c r="G2086">
        <v>18</v>
      </c>
    </row>
    <row r="2087" spans="1:7">
      <c r="A2087" t="str">
        <f t="shared" si="32"/>
        <v>Koningin Julianastraat 19</v>
      </c>
      <c r="B2087" t="s">
        <v>501</v>
      </c>
      <c r="C2087" t="s">
        <v>306</v>
      </c>
      <c r="D2087">
        <v>1958</v>
      </c>
      <c r="E2087">
        <v>178</v>
      </c>
      <c r="F2087" t="s">
        <v>502</v>
      </c>
      <c r="G2087">
        <v>19</v>
      </c>
    </row>
    <row r="2088" spans="1:7">
      <c r="A2088" t="str">
        <f t="shared" si="32"/>
        <v>Koningin Julianastraat 20</v>
      </c>
      <c r="B2088" t="s">
        <v>503</v>
      </c>
      <c r="C2088" t="s">
        <v>306</v>
      </c>
      <c r="D2088">
        <v>1958</v>
      </c>
      <c r="E2088">
        <v>136</v>
      </c>
      <c r="F2088" t="s">
        <v>502</v>
      </c>
      <c r="G2088">
        <v>20</v>
      </c>
    </row>
    <row r="2089" spans="1:7">
      <c r="A2089" t="str">
        <f t="shared" si="32"/>
        <v>Koningin Julianastraat 21</v>
      </c>
      <c r="B2089" t="s">
        <v>501</v>
      </c>
      <c r="C2089" t="s">
        <v>306</v>
      </c>
      <c r="D2089">
        <v>1958</v>
      </c>
      <c r="E2089">
        <v>113</v>
      </c>
      <c r="F2089" t="s">
        <v>502</v>
      </c>
      <c r="G2089">
        <v>21</v>
      </c>
    </row>
    <row r="2090" spans="1:7">
      <c r="A2090" t="str">
        <f t="shared" si="32"/>
        <v>Koningin Julianastraat 22</v>
      </c>
      <c r="B2090" t="s">
        <v>503</v>
      </c>
      <c r="C2090" t="s">
        <v>306</v>
      </c>
      <c r="D2090">
        <v>1966</v>
      </c>
      <c r="E2090">
        <v>149</v>
      </c>
      <c r="F2090" t="s">
        <v>502</v>
      </c>
      <c r="G2090">
        <v>22</v>
      </c>
    </row>
    <row r="2091" spans="1:7">
      <c r="A2091" t="str">
        <f t="shared" si="32"/>
        <v>Koningin Julianastraat 23</v>
      </c>
      <c r="B2091" t="s">
        <v>501</v>
      </c>
      <c r="C2091" t="s">
        <v>306</v>
      </c>
      <c r="D2091">
        <v>1958</v>
      </c>
      <c r="E2091">
        <v>127</v>
      </c>
      <c r="F2091" t="s">
        <v>502</v>
      </c>
      <c r="G2091">
        <v>23</v>
      </c>
    </row>
    <row r="2092" spans="1:7">
      <c r="A2092" t="str">
        <f t="shared" si="32"/>
        <v>Koningin Julianastraat 24</v>
      </c>
      <c r="B2092" t="s">
        <v>503</v>
      </c>
      <c r="C2092" t="s">
        <v>306</v>
      </c>
      <c r="D2092">
        <v>1966</v>
      </c>
      <c r="E2092">
        <v>173</v>
      </c>
      <c r="F2092" t="s">
        <v>502</v>
      </c>
      <c r="G2092">
        <v>24</v>
      </c>
    </row>
    <row r="2093" spans="1:7">
      <c r="A2093" t="str">
        <f t="shared" si="32"/>
        <v>Koningin Julianastraat 26</v>
      </c>
      <c r="B2093" t="s">
        <v>503</v>
      </c>
      <c r="C2093" t="s">
        <v>306</v>
      </c>
      <c r="D2093">
        <v>1967</v>
      </c>
      <c r="E2093">
        <v>195</v>
      </c>
      <c r="F2093" t="s">
        <v>502</v>
      </c>
      <c r="G2093">
        <v>26</v>
      </c>
    </row>
    <row r="2094" spans="1:7">
      <c r="A2094" t="str">
        <f t="shared" si="32"/>
        <v>Koningin Julianastraat 28</v>
      </c>
      <c r="B2094" t="s">
        <v>503</v>
      </c>
      <c r="C2094" t="s">
        <v>306</v>
      </c>
      <c r="D2094">
        <v>1972</v>
      </c>
      <c r="E2094">
        <v>174</v>
      </c>
      <c r="F2094" t="s">
        <v>502</v>
      </c>
      <c r="G2094">
        <v>28</v>
      </c>
    </row>
    <row r="2095" spans="1:7">
      <c r="A2095" t="str">
        <f t="shared" si="32"/>
        <v>Koningin Julianastraat 30</v>
      </c>
      <c r="B2095" t="s">
        <v>503</v>
      </c>
      <c r="C2095" t="s">
        <v>306</v>
      </c>
      <c r="D2095">
        <v>1971</v>
      </c>
      <c r="E2095">
        <v>134</v>
      </c>
      <c r="F2095" t="s">
        <v>502</v>
      </c>
      <c r="G2095">
        <v>30</v>
      </c>
    </row>
    <row r="2096" spans="1:7">
      <c r="A2096" t="str">
        <f t="shared" si="32"/>
        <v>Koningin Julianastraat 32</v>
      </c>
      <c r="B2096" t="s">
        <v>503</v>
      </c>
      <c r="C2096" t="s">
        <v>306</v>
      </c>
      <c r="D2096">
        <v>1971</v>
      </c>
      <c r="E2096">
        <v>214</v>
      </c>
      <c r="F2096" t="s">
        <v>502</v>
      </c>
      <c r="G2096">
        <v>32</v>
      </c>
    </row>
    <row r="2097" spans="1:8">
      <c r="A2097" t="str">
        <f t="shared" si="32"/>
        <v>Koningsbeemdweg 1</v>
      </c>
      <c r="B2097" t="s">
        <v>504</v>
      </c>
      <c r="C2097" t="s">
        <v>302</v>
      </c>
      <c r="D2097">
        <v>1975</v>
      </c>
      <c r="E2097">
        <v>248</v>
      </c>
      <c r="F2097" t="s">
        <v>505</v>
      </c>
      <c r="G2097">
        <v>1</v>
      </c>
    </row>
    <row r="2098" spans="1:8">
      <c r="A2098" t="str">
        <f t="shared" si="32"/>
        <v>Koningslaan 1</v>
      </c>
      <c r="B2098" t="s">
        <v>506</v>
      </c>
      <c r="C2098" t="s">
        <v>296</v>
      </c>
      <c r="D2098">
        <v>1989</v>
      </c>
      <c r="E2098">
        <v>190</v>
      </c>
      <c r="F2098" t="s">
        <v>507</v>
      </c>
      <c r="G2098">
        <v>1</v>
      </c>
    </row>
    <row r="2099" spans="1:8">
      <c r="A2099" t="str">
        <f t="shared" si="32"/>
        <v>Koningslaan 2</v>
      </c>
      <c r="B2099" t="s">
        <v>506</v>
      </c>
      <c r="C2099" t="s">
        <v>296</v>
      </c>
      <c r="D2099">
        <v>1968</v>
      </c>
      <c r="E2099">
        <v>188</v>
      </c>
      <c r="F2099" t="s">
        <v>507</v>
      </c>
      <c r="G2099">
        <v>2</v>
      </c>
    </row>
    <row r="2100" spans="1:8">
      <c r="A2100" t="str">
        <f t="shared" si="32"/>
        <v>Koningslaan 3</v>
      </c>
      <c r="B2100" t="s">
        <v>506</v>
      </c>
      <c r="C2100" t="s">
        <v>296</v>
      </c>
      <c r="D2100">
        <v>1989</v>
      </c>
      <c r="E2100">
        <v>180</v>
      </c>
      <c r="F2100" t="s">
        <v>507</v>
      </c>
      <c r="G2100">
        <v>3</v>
      </c>
    </row>
    <row r="2101" spans="1:8">
      <c r="A2101" t="str">
        <f t="shared" si="32"/>
        <v>Koningslaan 4</v>
      </c>
      <c r="B2101" t="s">
        <v>506</v>
      </c>
      <c r="C2101" t="s">
        <v>296</v>
      </c>
      <c r="D2101">
        <v>1968</v>
      </c>
      <c r="E2101">
        <v>170</v>
      </c>
      <c r="F2101" t="s">
        <v>507</v>
      </c>
      <c r="G2101">
        <v>4</v>
      </c>
    </row>
    <row r="2102" spans="1:8">
      <c r="A2102" t="str">
        <f t="shared" si="32"/>
        <v>Koningslaan 5</v>
      </c>
      <c r="B2102" t="s">
        <v>506</v>
      </c>
      <c r="C2102" t="s">
        <v>296</v>
      </c>
      <c r="D2102">
        <v>1989</v>
      </c>
      <c r="E2102">
        <v>170</v>
      </c>
      <c r="F2102" t="s">
        <v>507</v>
      </c>
      <c r="G2102">
        <v>5</v>
      </c>
    </row>
    <row r="2103" spans="1:8">
      <c r="A2103" t="str">
        <f t="shared" si="32"/>
        <v>Koningslaan 6</v>
      </c>
      <c r="B2103" t="s">
        <v>506</v>
      </c>
      <c r="C2103" t="s">
        <v>296</v>
      </c>
      <c r="D2103">
        <v>1968</v>
      </c>
      <c r="E2103">
        <v>195</v>
      </c>
      <c r="F2103" t="s">
        <v>507</v>
      </c>
      <c r="G2103">
        <v>6</v>
      </c>
    </row>
    <row r="2104" spans="1:8">
      <c r="A2104" t="str">
        <f t="shared" si="32"/>
        <v>Koningslaan 7</v>
      </c>
      <c r="B2104" t="s">
        <v>506</v>
      </c>
      <c r="C2104" t="s">
        <v>296</v>
      </c>
      <c r="D2104">
        <v>2012</v>
      </c>
      <c r="E2104">
        <v>629</v>
      </c>
      <c r="F2104" t="s">
        <v>507</v>
      </c>
      <c r="G2104">
        <v>7</v>
      </c>
    </row>
    <row r="2105" spans="1:8">
      <c r="A2105" t="str">
        <f t="shared" si="32"/>
        <v>Koningslaan 8</v>
      </c>
      <c r="B2105" t="s">
        <v>506</v>
      </c>
      <c r="C2105" t="s">
        <v>296</v>
      </c>
      <c r="D2105">
        <v>1968</v>
      </c>
      <c r="E2105">
        <v>180</v>
      </c>
      <c r="F2105" t="s">
        <v>507</v>
      </c>
      <c r="G2105">
        <v>8</v>
      </c>
    </row>
    <row r="2106" spans="1:8">
      <c r="A2106" t="str">
        <f t="shared" si="32"/>
        <v>Kopseweg 1a</v>
      </c>
      <c r="B2106" t="s">
        <v>508</v>
      </c>
      <c r="C2106" t="s">
        <v>302</v>
      </c>
      <c r="D2106">
        <v>1991</v>
      </c>
      <c r="E2106">
        <v>119</v>
      </c>
      <c r="F2106" t="s">
        <v>509</v>
      </c>
      <c r="G2106">
        <v>1</v>
      </c>
      <c r="H2106" t="s">
        <v>304</v>
      </c>
    </row>
    <row r="2107" spans="1:8">
      <c r="A2107" t="str">
        <f t="shared" si="32"/>
        <v>Kopseweg 1</v>
      </c>
      <c r="B2107" t="s">
        <v>508</v>
      </c>
      <c r="C2107" t="s">
        <v>302</v>
      </c>
      <c r="D2107">
        <v>1991</v>
      </c>
      <c r="E2107">
        <v>138</v>
      </c>
      <c r="F2107" t="s">
        <v>509</v>
      </c>
      <c r="G2107">
        <v>1</v>
      </c>
    </row>
    <row r="2108" spans="1:8">
      <c r="A2108" t="str">
        <f t="shared" si="32"/>
        <v>Kopseweg 2</v>
      </c>
      <c r="B2108" t="s">
        <v>508</v>
      </c>
      <c r="C2108" t="s">
        <v>302</v>
      </c>
      <c r="D2108">
        <v>1950</v>
      </c>
      <c r="E2108">
        <v>122</v>
      </c>
      <c r="F2108" t="s">
        <v>509</v>
      </c>
      <c r="G2108">
        <v>2</v>
      </c>
    </row>
    <row r="2109" spans="1:8">
      <c r="A2109" t="str">
        <f t="shared" si="32"/>
        <v>Kopseweg 3</v>
      </c>
      <c r="B2109" t="s">
        <v>508</v>
      </c>
      <c r="C2109" t="s">
        <v>302</v>
      </c>
      <c r="D2109">
        <v>2017</v>
      </c>
      <c r="E2109">
        <v>176</v>
      </c>
      <c r="F2109" t="s">
        <v>509</v>
      </c>
      <c r="G2109">
        <v>3</v>
      </c>
    </row>
    <row r="2110" spans="1:8">
      <c r="A2110" t="str">
        <f t="shared" si="32"/>
        <v>Kopseweg 4</v>
      </c>
      <c r="B2110" t="s">
        <v>508</v>
      </c>
      <c r="C2110" t="s">
        <v>302</v>
      </c>
      <c r="D2110">
        <v>1967</v>
      </c>
      <c r="E2110">
        <v>137</v>
      </c>
      <c r="F2110" t="s">
        <v>509</v>
      </c>
      <c r="G2110">
        <v>4</v>
      </c>
    </row>
    <row r="2111" spans="1:8">
      <c r="A2111" t="str">
        <f t="shared" si="32"/>
        <v>Kopseweg 6</v>
      </c>
      <c r="B2111" t="s">
        <v>508</v>
      </c>
      <c r="C2111" t="s">
        <v>302</v>
      </c>
      <c r="D2111">
        <v>2013</v>
      </c>
      <c r="E2111">
        <v>124</v>
      </c>
      <c r="F2111" t="s">
        <v>509</v>
      </c>
      <c r="G2111">
        <v>6</v>
      </c>
    </row>
    <row r="2112" spans="1:8">
      <c r="A2112" t="str">
        <f t="shared" si="32"/>
        <v>Kopseweg 7</v>
      </c>
      <c r="B2112" t="s">
        <v>508</v>
      </c>
      <c r="C2112" t="s">
        <v>302</v>
      </c>
      <c r="D2112">
        <v>1979</v>
      </c>
      <c r="E2112">
        <v>252</v>
      </c>
      <c r="F2112" t="s">
        <v>509</v>
      </c>
      <c r="G2112">
        <v>7</v>
      </c>
    </row>
    <row r="2113" spans="1:8">
      <c r="A2113" t="str">
        <f t="shared" si="32"/>
        <v>Kopseweg 8</v>
      </c>
      <c r="B2113" t="s">
        <v>508</v>
      </c>
      <c r="C2113" t="s">
        <v>302</v>
      </c>
      <c r="D2113">
        <v>2013</v>
      </c>
      <c r="E2113">
        <v>124</v>
      </c>
      <c r="F2113" t="s">
        <v>509</v>
      </c>
      <c r="G2113">
        <v>8</v>
      </c>
    </row>
    <row r="2114" spans="1:8">
      <c r="A2114" t="str">
        <f t="shared" ref="A2114:A2177" si="33">CONCATENATE(F2114," ",G2114,H2114)</f>
        <v>Kopseweg 9</v>
      </c>
      <c r="B2114" t="s">
        <v>508</v>
      </c>
      <c r="C2114" t="s">
        <v>302</v>
      </c>
      <c r="D2114">
        <v>1976</v>
      </c>
      <c r="E2114">
        <v>170</v>
      </c>
      <c r="F2114" t="s">
        <v>509</v>
      </c>
      <c r="G2114">
        <v>9</v>
      </c>
    </row>
    <row r="2115" spans="1:8">
      <c r="A2115" t="str">
        <f t="shared" si="33"/>
        <v>Kopseweg 10</v>
      </c>
      <c r="B2115" t="s">
        <v>508</v>
      </c>
      <c r="C2115" t="s">
        <v>302</v>
      </c>
      <c r="D2115">
        <v>2013</v>
      </c>
      <c r="E2115">
        <v>124</v>
      </c>
      <c r="F2115" t="s">
        <v>509</v>
      </c>
      <c r="G2115">
        <v>10</v>
      </c>
    </row>
    <row r="2116" spans="1:8">
      <c r="A2116" t="str">
        <f t="shared" si="33"/>
        <v>Kopseweg 11</v>
      </c>
      <c r="B2116" t="s">
        <v>508</v>
      </c>
      <c r="C2116" t="s">
        <v>302</v>
      </c>
      <c r="D2116">
        <v>1979</v>
      </c>
      <c r="E2116">
        <v>294</v>
      </c>
      <c r="F2116" t="s">
        <v>509</v>
      </c>
      <c r="G2116">
        <v>11</v>
      </c>
    </row>
    <row r="2117" spans="1:8">
      <c r="A2117" t="str">
        <f t="shared" si="33"/>
        <v>Kopseweg 12</v>
      </c>
      <c r="B2117" t="s">
        <v>508</v>
      </c>
      <c r="C2117" t="s">
        <v>302</v>
      </c>
      <c r="D2117">
        <v>2019</v>
      </c>
      <c r="E2117">
        <v>194</v>
      </c>
      <c r="F2117" t="s">
        <v>509</v>
      </c>
      <c r="G2117">
        <v>12</v>
      </c>
    </row>
    <row r="2118" spans="1:8">
      <c r="A2118" t="str">
        <f t="shared" si="33"/>
        <v>Kopseweg 13a</v>
      </c>
      <c r="B2118" t="s">
        <v>508</v>
      </c>
      <c r="C2118" t="s">
        <v>302</v>
      </c>
      <c r="D2118">
        <v>1957</v>
      </c>
      <c r="E2118">
        <v>305</v>
      </c>
      <c r="F2118" t="s">
        <v>509</v>
      </c>
      <c r="G2118">
        <v>13</v>
      </c>
      <c r="H2118" t="s">
        <v>304</v>
      </c>
    </row>
    <row r="2119" spans="1:8">
      <c r="A2119" t="str">
        <f t="shared" si="33"/>
        <v>Kopseweg 13</v>
      </c>
      <c r="B2119" t="s">
        <v>508</v>
      </c>
      <c r="C2119" t="s">
        <v>302</v>
      </c>
      <c r="D2119">
        <v>1991</v>
      </c>
      <c r="E2119">
        <v>230</v>
      </c>
      <c r="F2119" t="s">
        <v>509</v>
      </c>
      <c r="G2119">
        <v>13</v>
      </c>
    </row>
    <row r="2120" spans="1:8">
      <c r="A2120" t="str">
        <f t="shared" si="33"/>
        <v>Kopseweg 15a</v>
      </c>
      <c r="B2120" t="s">
        <v>508</v>
      </c>
      <c r="C2120" t="s">
        <v>302</v>
      </c>
      <c r="D2120">
        <v>1936</v>
      </c>
      <c r="E2120">
        <v>158</v>
      </c>
      <c r="F2120" t="s">
        <v>509</v>
      </c>
      <c r="G2120">
        <v>15</v>
      </c>
      <c r="H2120" t="s">
        <v>304</v>
      </c>
    </row>
    <row r="2121" spans="1:8">
      <c r="A2121" t="str">
        <f t="shared" si="33"/>
        <v>Kopseweg 15b</v>
      </c>
      <c r="B2121" t="s">
        <v>508</v>
      </c>
      <c r="C2121" t="s">
        <v>302</v>
      </c>
      <c r="D2121">
        <v>1936</v>
      </c>
      <c r="E2121">
        <v>96</v>
      </c>
      <c r="F2121" t="s">
        <v>509</v>
      </c>
      <c r="G2121">
        <v>15</v>
      </c>
      <c r="H2121" t="s">
        <v>298</v>
      </c>
    </row>
    <row r="2122" spans="1:8">
      <c r="A2122" t="str">
        <f t="shared" si="33"/>
        <v>Kopseweg 15c</v>
      </c>
      <c r="B2122" t="s">
        <v>508</v>
      </c>
      <c r="C2122" t="s">
        <v>302</v>
      </c>
      <c r="D2122">
        <v>2000</v>
      </c>
      <c r="E2122">
        <v>413</v>
      </c>
      <c r="F2122" t="s">
        <v>509</v>
      </c>
      <c r="G2122">
        <v>15</v>
      </c>
      <c r="H2122" t="s">
        <v>299</v>
      </c>
    </row>
    <row r="2123" spans="1:8">
      <c r="A2123" t="str">
        <f t="shared" si="33"/>
        <v>Kopseweg 15d</v>
      </c>
      <c r="B2123" t="s">
        <v>508</v>
      </c>
      <c r="C2123" t="s">
        <v>302</v>
      </c>
      <c r="D2123">
        <v>2008</v>
      </c>
      <c r="E2123">
        <v>336</v>
      </c>
      <c r="F2123" t="s">
        <v>509</v>
      </c>
      <c r="G2123">
        <v>15</v>
      </c>
      <c r="H2123" t="s">
        <v>300</v>
      </c>
    </row>
    <row r="2124" spans="1:8">
      <c r="A2124" t="str">
        <f t="shared" si="33"/>
        <v>Kopseweg 15</v>
      </c>
      <c r="B2124" t="s">
        <v>508</v>
      </c>
      <c r="C2124" t="s">
        <v>302</v>
      </c>
      <c r="D2124">
        <v>1965</v>
      </c>
      <c r="E2124">
        <v>176</v>
      </c>
      <c r="F2124" t="s">
        <v>509</v>
      </c>
      <c r="G2124">
        <v>15</v>
      </c>
    </row>
    <row r="2125" spans="1:8">
      <c r="A2125" t="str">
        <f t="shared" si="33"/>
        <v>Kopseweg 17</v>
      </c>
      <c r="B2125" t="s">
        <v>508</v>
      </c>
      <c r="C2125" t="s">
        <v>302</v>
      </c>
      <c r="D2125">
        <v>1975</v>
      </c>
      <c r="E2125">
        <v>456</v>
      </c>
      <c r="F2125" t="s">
        <v>509</v>
      </c>
      <c r="G2125">
        <v>17</v>
      </c>
    </row>
    <row r="2126" spans="1:8">
      <c r="A2126" t="str">
        <f t="shared" si="33"/>
        <v>Kopseweg 19</v>
      </c>
      <c r="B2126" t="s">
        <v>508</v>
      </c>
      <c r="C2126" t="s">
        <v>302</v>
      </c>
      <c r="D2126">
        <v>1990</v>
      </c>
      <c r="E2126">
        <v>90</v>
      </c>
      <c r="F2126" t="s">
        <v>509</v>
      </c>
      <c r="G2126">
        <v>19</v>
      </c>
    </row>
    <row r="2127" spans="1:8">
      <c r="A2127" t="str">
        <f t="shared" si="33"/>
        <v>Kopseweg 21</v>
      </c>
      <c r="B2127" t="s">
        <v>508</v>
      </c>
      <c r="C2127" t="s">
        <v>302</v>
      </c>
      <c r="D2127">
        <v>1953</v>
      </c>
      <c r="E2127">
        <v>348</v>
      </c>
      <c r="F2127" t="s">
        <v>509</v>
      </c>
      <c r="G2127">
        <v>21</v>
      </c>
    </row>
    <row r="2128" spans="1:8">
      <c r="A2128" t="str">
        <f t="shared" si="33"/>
        <v>Kuilseweg 10</v>
      </c>
      <c r="B2128" t="s">
        <v>510</v>
      </c>
      <c r="C2128" t="s">
        <v>296</v>
      </c>
      <c r="D2128">
        <v>1950</v>
      </c>
      <c r="E2128">
        <v>130</v>
      </c>
      <c r="F2128" t="s">
        <v>511</v>
      </c>
      <c r="G2128">
        <v>10</v>
      </c>
    </row>
    <row r="2129" spans="1:7">
      <c r="A2129" t="str">
        <f t="shared" si="33"/>
        <v>Kuilseweg 16</v>
      </c>
      <c r="B2129" t="s">
        <v>510</v>
      </c>
      <c r="C2129" t="s">
        <v>296</v>
      </c>
      <c r="D2129">
        <v>1935</v>
      </c>
      <c r="E2129">
        <v>221</v>
      </c>
      <c r="F2129" t="s">
        <v>511</v>
      </c>
      <c r="G2129">
        <v>16</v>
      </c>
    </row>
    <row r="2130" spans="1:7">
      <c r="A2130" t="str">
        <f t="shared" si="33"/>
        <v>Kuilseweg 18</v>
      </c>
      <c r="B2130" t="s">
        <v>510</v>
      </c>
      <c r="C2130" t="s">
        <v>296</v>
      </c>
      <c r="D2130">
        <v>2007</v>
      </c>
      <c r="E2130">
        <v>399</v>
      </c>
      <c r="F2130" t="s">
        <v>511</v>
      </c>
      <c r="G2130">
        <v>18</v>
      </c>
    </row>
    <row r="2131" spans="1:7">
      <c r="A2131" t="str">
        <f t="shared" si="33"/>
        <v>Kuilseweg 20</v>
      </c>
      <c r="B2131" t="s">
        <v>510</v>
      </c>
      <c r="C2131" t="s">
        <v>296</v>
      </c>
      <c r="D2131">
        <v>1967</v>
      </c>
      <c r="E2131">
        <v>340</v>
      </c>
      <c r="F2131" t="s">
        <v>511</v>
      </c>
      <c r="G2131">
        <v>20</v>
      </c>
    </row>
    <row r="2132" spans="1:7">
      <c r="A2132" t="str">
        <f t="shared" si="33"/>
        <v>Kuilseweg 22</v>
      </c>
      <c r="B2132" t="s">
        <v>510</v>
      </c>
      <c r="C2132" t="s">
        <v>296</v>
      </c>
      <c r="D2132">
        <v>1964</v>
      </c>
      <c r="E2132">
        <v>179</v>
      </c>
      <c r="F2132" t="s">
        <v>511</v>
      </c>
      <c r="G2132">
        <v>22</v>
      </c>
    </row>
    <row r="2133" spans="1:7">
      <c r="A2133" t="str">
        <f t="shared" si="33"/>
        <v>Kuilseweg 24</v>
      </c>
      <c r="B2133" t="s">
        <v>510</v>
      </c>
      <c r="C2133" t="s">
        <v>296</v>
      </c>
      <c r="D2133">
        <v>1930</v>
      </c>
      <c r="E2133">
        <v>229</v>
      </c>
      <c r="F2133" t="s">
        <v>511</v>
      </c>
      <c r="G2133">
        <v>24</v>
      </c>
    </row>
    <row r="2134" spans="1:7">
      <c r="A2134" t="str">
        <f t="shared" si="33"/>
        <v>Kuilseweg 26</v>
      </c>
      <c r="B2134" t="s">
        <v>510</v>
      </c>
      <c r="C2134" t="s">
        <v>296</v>
      </c>
      <c r="D2134">
        <v>1930</v>
      </c>
      <c r="E2134">
        <v>131</v>
      </c>
      <c r="F2134" t="s">
        <v>511</v>
      </c>
      <c r="G2134">
        <v>26</v>
      </c>
    </row>
    <row r="2135" spans="1:7">
      <c r="A2135" t="str">
        <f t="shared" si="33"/>
        <v>Lambertusweg 15</v>
      </c>
      <c r="B2135" t="s">
        <v>504</v>
      </c>
      <c r="C2135" t="s">
        <v>302</v>
      </c>
      <c r="D2135">
        <v>1955</v>
      </c>
      <c r="E2135">
        <v>300</v>
      </c>
      <c r="F2135" t="s">
        <v>512</v>
      </c>
      <c r="G2135">
        <v>15</v>
      </c>
    </row>
    <row r="2136" spans="1:7">
      <c r="A2136" t="str">
        <f t="shared" si="33"/>
        <v>Leenherenstraat 1</v>
      </c>
      <c r="B2136" t="s">
        <v>513</v>
      </c>
      <c r="C2136" t="s">
        <v>306</v>
      </c>
      <c r="D2136">
        <v>1992</v>
      </c>
      <c r="E2136">
        <v>193</v>
      </c>
      <c r="F2136" t="s">
        <v>514</v>
      </c>
      <c r="G2136">
        <v>1</v>
      </c>
    </row>
    <row r="2137" spans="1:7">
      <c r="A2137" t="str">
        <f t="shared" si="33"/>
        <v>Leenherenstraat 2</v>
      </c>
      <c r="B2137" t="s">
        <v>515</v>
      </c>
      <c r="C2137" t="s">
        <v>306</v>
      </c>
      <c r="D2137">
        <v>1993</v>
      </c>
      <c r="E2137">
        <v>157</v>
      </c>
      <c r="F2137" t="s">
        <v>514</v>
      </c>
      <c r="G2137">
        <v>2</v>
      </c>
    </row>
    <row r="2138" spans="1:7">
      <c r="A2138" t="str">
        <f t="shared" si="33"/>
        <v>Leenherenstraat 3</v>
      </c>
      <c r="B2138" t="s">
        <v>513</v>
      </c>
      <c r="C2138" t="s">
        <v>306</v>
      </c>
      <c r="D2138">
        <v>1992</v>
      </c>
      <c r="E2138">
        <v>110</v>
      </c>
      <c r="F2138" t="s">
        <v>514</v>
      </c>
      <c r="G2138">
        <v>3</v>
      </c>
    </row>
    <row r="2139" spans="1:7">
      <c r="A2139" t="str">
        <f t="shared" si="33"/>
        <v>Leenherenstraat 4</v>
      </c>
      <c r="B2139" t="s">
        <v>515</v>
      </c>
      <c r="C2139" t="s">
        <v>306</v>
      </c>
      <c r="D2139">
        <v>1994</v>
      </c>
      <c r="E2139">
        <v>165</v>
      </c>
      <c r="F2139" t="s">
        <v>514</v>
      </c>
      <c r="G2139">
        <v>4</v>
      </c>
    </row>
    <row r="2140" spans="1:7">
      <c r="A2140" t="str">
        <f t="shared" si="33"/>
        <v>Leenherenstraat 5</v>
      </c>
      <c r="B2140" t="s">
        <v>513</v>
      </c>
      <c r="C2140" t="s">
        <v>306</v>
      </c>
      <c r="D2140">
        <v>1995</v>
      </c>
      <c r="E2140">
        <v>167</v>
      </c>
      <c r="F2140" t="s">
        <v>514</v>
      </c>
      <c r="G2140">
        <v>5</v>
      </c>
    </row>
    <row r="2141" spans="1:7">
      <c r="A2141" t="str">
        <f t="shared" si="33"/>
        <v>Leenherenstraat 6</v>
      </c>
      <c r="B2141" t="s">
        <v>515</v>
      </c>
      <c r="C2141" t="s">
        <v>306</v>
      </c>
      <c r="D2141">
        <v>1993</v>
      </c>
      <c r="E2141">
        <v>137</v>
      </c>
      <c r="F2141" t="s">
        <v>514</v>
      </c>
      <c r="G2141">
        <v>6</v>
      </c>
    </row>
    <row r="2142" spans="1:7">
      <c r="A2142" t="str">
        <f t="shared" si="33"/>
        <v>Leenherenstraat 7</v>
      </c>
      <c r="B2142" t="s">
        <v>513</v>
      </c>
      <c r="C2142" t="s">
        <v>306</v>
      </c>
      <c r="D2142">
        <v>1992</v>
      </c>
      <c r="E2142">
        <v>173</v>
      </c>
      <c r="F2142" t="s">
        <v>514</v>
      </c>
      <c r="G2142">
        <v>7</v>
      </c>
    </row>
    <row r="2143" spans="1:7">
      <c r="A2143" t="str">
        <f t="shared" si="33"/>
        <v>Leenherenstraat 8</v>
      </c>
      <c r="B2143" t="s">
        <v>515</v>
      </c>
      <c r="C2143" t="s">
        <v>306</v>
      </c>
      <c r="D2143">
        <v>1993</v>
      </c>
      <c r="E2143">
        <v>192</v>
      </c>
      <c r="F2143" t="s">
        <v>514</v>
      </c>
      <c r="G2143">
        <v>8</v>
      </c>
    </row>
    <row r="2144" spans="1:7">
      <c r="A2144" t="str">
        <f t="shared" si="33"/>
        <v>Leenherenstraat 9</v>
      </c>
      <c r="B2144" t="s">
        <v>513</v>
      </c>
      <c r="C2144" t="s">
        <v>306</v>
      </c>
      <c r="D2144">
        <v>1992</v>
      </c>
      <c r="E2144">
        <v>160</v>
      </c>
      <c r="F2144" t="s">
        <v>514</v>
      </c>
      <c r="G2144">
        <v>9</v>
      </c>
    </row>
    <row r="2145" spans="1:7">
      <c r="A2145" t="str">
        <f t="shared" si="33"/>
        <v>Leenherenstraat 10</v>
      </c>
      <c r="B2145" t="s">
        <v>515</v>
      </c>
      <c r="C2145" t="s">
        <v>306</v>
      </c>
      <c r="D2145">
        <v>1993</v>
      </c>
      <c r="E2145">
        <v>156</v>
      </c>
      <c r="F2145" t="s">
        <v>514</v>
      </c>
      <c r="G2145">
        <v>10</v>
      </c>
    </row>
    <row r="2146" spans="1:7">
      <c r="A2146" t="str">
        <f t="shared" si="33"/>
        <v>Leenherenstraat 11</v>
      </c>
      <c r="B2146" t="s">
        <v>513</v>
      </c>
      <c r="C2146" t="s">
        <v>306</v>
      </c>
      <c r="D2146">
        <v>1992</v>
      </c>
      <c r="E2146">
        <v>205</v>
      </c>
      <c r="F2146" t="s">
        <v>514</v>
      </c>
      <c r="G2146">
        <v>11</v>
      </c>
    </row>
    <row r="2147" spans="1:7">
      <c r="A2147" t="str">
        <f t="shared" si="33"/>
        <v>Leenherenstraat 12</v>
      </c>
      <c r="B2147" t="s">
        <v>515</v>
      </c>
      <c r="C2147" t="s">
        <v>306</v>
      </c>
      <c r="D2147">
        <v>1993</v>
      </c>
      <c r="E2147">
        <v>121</v>
      </c>
      <c r="F2147" t="s">
        <v>514</v>
      </c>
      <c r="G2147">
        <v>12</v>
      </c>
    </row>
    <row r="2148" spans="1:7">
      <c r="A2148" t="str">
        <f t="shared" si="33"/>
        <v>Leenherenstraat 13</v>
      </c>
      <c r="B2148" t="s">
        <v>513</v>
      </c>
      <c r="C2148" t="s">
        <v>306</v>
      </c>
      <c r="D2148">
        <v>1993</v>
      </c>
      <c r="E2148">
        <v>223</v>
      </c>
      <c r="F2148" t="s">
        <v>514</v>
      </c>
      <c r="G2148">
        <v>13</v>
      </c>
    </row>
    <row r="2149" spans="1:7">
      <c r="A2149" t="str">
        <f t="shared" si="33"/>
        <v>Leenherenstraat 14</v>
      </c>
      <c r="B2149" t="s">
        <v>515</v>
      </c>
      <c r="C2149" t="s">
        <v>306</v>
      </c>
      <c r="D2149">
        <v>1995</v>
      </c>
      <c r="E2149">
        <v>187</v>
      </c>
      <c r="F2149" t="s">
        <v>514</v>
      </c>
      <c r="G2149">
        <v>14</v>
      </c>
    </row>
    <row r="2150" spans="1:7">
      <c r="A2150" t="str">
        <f t="shared" si="33"/>
        <v>Leenherenstraat 15</v>
      </c>
      <c r="B2150" t="s">
        <v>513</v>
      </c>
      <c r="C2150" t="s">
        <v>306</v>
      </c>
      <c r="D2150">
        <v>1992</v>
      </c>
      <c r="E2150">
        <v>195</v>
      </c>
      <c r="F2150" t="s">
        <v>514</v>
      </c>
      <c r="G2150">
        <v>15</v>
      </c>
    </row>
    <row r="2151" spans="1:7">
      <c r="A2151" t="str">
        <f t="shared" si="33"/>
        <v>Leenherenstraat 16</v>
      </c>
      <c r="B2151" t="s">
        <v>515</v>
      </c>
      <c r="C2151" t="s">
        <v>306</v>
      </c>
      <c r="D2151">
        <v>1995</v>
      </c>
      <c r="E2151">
        <v>57</v>
      </c>
      <c r="F2151" t="s">
        <v>514</v>
      </c>
      <c r="G2151">
        <v>16</v>
      </c>
    </row>
    <row r="2152" spans="1:7">
      <c r="A2152" t="str">
        <f t="shared" si="33"/>
        <v>Leenherenstraat 17</v>
      </c>
      <c r="B2152" t="s">
        <v>513</v>
      </c>
      <c r="C2152" t="s">
        <v>306</v>
      </c>
      <c r="D2152">
        <v>1992</v>
      </c>
      <c r="E2152">
        <v>210</v>
      </c>
      <c r="F2152" t="s">
        <v>514</v>
      </c>
      <c r="G2152">
        <v>17</v>
      </c>
    </row>
    <row r="2153" spans="1:7">
      <c r="A2153" t="str">
        <f t="shared" si="33"/>
        <v>Leenherenstraat 18</v>
      </c>
      <c r="B2153" t="s">
        <v>515</v>
      </c>
      <c r="C2153" t="s">
        <v>306</v>
      </c>
      <c r="D2153">
        <v>1995</v>
      </c>
      <c r="E2153">
        <v>57</v>
      </c>
      <c r="F2153" t="s">
        <v>514</v>
      </c>
      <c r="G2153">
        <v>18</v>
      </c>
    </row>
    <row r="2154" spans="1:7">
      <c r="A2154" t="str">
        <f t="shared" si="33"/>
        <v>Leenherenstraat 20</v>
      </c>
      <c r="B2154" t="s">
        <v>515</v>
      </c>
      <c r="C2154" t="s">
        <v>306</v>
      </c>
      <c r="D2154">
        <v>1995</v>
      </c>
      <c r="E2154">
        <v>57</v>
      </c>
      <c r="F2154" t="s">
        <v>514</v>
      </c>
      <c r="G2154">
        <v>20</v>
      </c>
    </row>
    <row r="2155" spans="1:7">
      <c r="A2155" t="str">
        <f t="shared" si="33"/>
        <v>Leenherenstraat 22</v>
      </c>
      <c r="B2155" t="s">
        <v>515</v>
      </c>
      <c r="C2155" t="s">
        <v>306</v>
      </c>
      <c r="D2155">
        <v>1995</v>
      </c>
      <c r="E2155">
        <v>57</v>
      </c>
      <c r="F2155" t="s">
        <v>514</v>
      </c>
      <c r="G2155">
        <v>22</v>
      </c>
    </row>
    <row r="2156" spans="1:7">
      <c r="A2156" t="str">
        <f t="shared" si="33"/>
        <v>Leenherenstraat 24</v>
      </c>
      <c r="B2156" t="s">
        <v>515</v>
      </c>
      <c r="C2156" t="s">
        <v>306</v>
      </c>
      <c r="D2156">
        <v>1995</v>
      </c>
      <c r="E2156">
        <v>57</v>
      </c>
      <c r="F2156" t="s">
        <v>514</v>
      </c>
      <c r="G2156">
        <v>24</v>
      </c>
    </row>
    <row r="2157" spans="1:7">
      <c r="A2157" t="str">
        <f t="shared" si="33"/>
        <v>Leenherenstraat 26</v>
      </c>
      <c r="B2157" t="s">
        <v>515</v>
      </c>
      <c r="C2157" t="s">
        <v>306</v>
      </c>
      <c r="D2157">
        <v>1995</v>
      </c>
      <c r="E2157">
        <v>57</v>
      </c>
      <c r="F2157" t="s">
        <v>514</v>
      </c>
      <c r="G2157">
        <v>26</v>
      </c>
    </row>
    <row r="2158" spans="1:7">
      <c r="A2158" t="str">
        <f t="shared" si="33"/>
        <v>Leenherenstraat 28</v>
      </c>
      <c r="B2158" t="s">
        <v>515</v>
      </c>
      <c r="C2158" t="s">
        <v>306</v>
      </c>
      <c r="D2158">
        <v>1995</v>
      </c>
      <c r="E2158">
        <v>57</v>
      </c>
      <c r="F2158" t="s">
        <v>514</v>
      </c>
      <c r="G2158">
        <v>28</v>
      </c>
    </row>
    <row r="2159" spans="1:7">
      <c r="A2159" t="str">
        <f t="shared" si="33"/>
        <v>Leenherenstraat 30</v>
      </c>
      <c r="B2159" t="s">
        <v>515</v>
      </c>
      <c r="C2159" t="s">
        <v>306</v>
      </c>
      <c r="D2159">
        <v>1995</v>
      </c>
      <c r="E2159">
        <v>57</v>
      </c>
      <c r="F2159" t="s">
        <v>514</v>
      </c>
      <c r="G2159">
        <v>30</v>
      </c>
    </row>
    <row r="2160" spans="1:7">
      <c r="A2160" t="str">
        <f t="shared" si="33"/>
        <v>Leenherenstraat 32</v>
      </c>
      <c r="B2160" t="s">
        <v>515</v>
      </c>
      <c r="C2160" t="s">
        <v>306</v>
      </c>
      <c r="D2160">
        <v>1997</v>
      </c>
      <c r="E2160">
        <v>108</v>
      </c>
      <c r="F2160" t="s">
        <v>514</v>
      </c>
      <c r="G2160">
        <v>32</v>
      </c>
    </row>
    <row r="2161" spans="1:8">
      <c r="A2161" t="str">
        <f t="shared" si="33"/>
        <v>Leenherenstraat 34</v>
      </c>
      <c r="B2161" t="s">
        <v>515</v>
      </c>
      <c r="C2161" t="s">
        <v>306</v>
      </c>
      <c r="D2161">
        <v>1997</v>
      </c>
      <c r="E2161">
        <v>103</v>
      </c>
      <c r="F2161" t="s">
        <v>514</v>
      </c>
      <c r="G2161">
        <v>34</v>
      </c>
    </row>
    <row r="2162" spans="1:8">
      <c r="A2162" t="str">
        <f t="shared" si="33"/>
        <v>Leenherenstraat 36</v>
      </c>
      <c r="B2162" t="s">
        <v>515</v>
      </c>
      <c r="C2162" t="s">
        <v>306</v>
      </c>
      <c r="D2162">
        <v>1997</v>
      </c>
      <c r="E2162">
        <v>102</v>
      </c>
      <c r="F2162" t="s">
        <v>514</v>
      </c>
      <c r="G2162">
        <v>36</v>
      </c>
    </row>
    <row r="2163" spans="1:8">
      <c r="A2163" t="str">
        <f t="shared" si="33"/>
        <v>Leenherenstraat 38</v>
      </c>
      <c r="B2163" t="s">
        <v>515</v>
      </c>
      <c r="C2163" t="s">
        <v>306</v>
      </c>
      <c r="D2163">
        <v>1997</v>
      </c>
      <c r="E2163">
        <v>102</v>
      </c>
      <c r="F2163" t="s">
        <v>514</v>
      </c>
      <c r="G2163">
        <v>38</v>
      </c>
    </row>
    <row r="2164" spans="1:8">
      <c r="A2164" t="str">
        <f t="shared" si="33"/>
        <v>Leenherenstraat 40</v>
      </c>
      <c r="B2164" t="s">
        <v>515</v>
      </c>
      <c r="C2164" t="s">
        <v>306</v>
      </c>
      <c r="D2164">
        <v>1997</v>
      </c>
      <c r="E2164">
        <v>102</v>
      </c>
      <c r="F2164" t="s">
        <v>514</v>
      </c>
      <c r="G2164">
        <v>40</v>
      </c>
    </row>
    <row r="2165" spans="1:8">
      <c r="A2165" t="str">
        <f t="shared" si="33"/>
        <v>Leenherenstraat 42</v>
      </c>
      <c r="B2165" t="s">
        <v>515</v>
      </c>
      <c r="C2165" t="s">
        <v>306</v>
      </c>
      <c r="D2165">
        <v>1997</v>
      </c>
      <c r="E2165">
        <v>310</v>
      </c>
      <c r="F2165" t="s">
        <v>514</v>
      </c>
      <c r="G2165">
        <v>42</v>
      </c>
    </row>
    <row r="2166" spans="1:8">
      <c r="A2166" t="str">
        <f t="shared" si="33"/>
        <v>Lierdwarsweg 2</v>
      </c>
      <c r="B2166" t="s">
        <v>516</v>
      </c>
      <c r="C2166" t="s">
        <v>296</v>
      </c>
      <c r="D2166">
        <v>1970</v>
      </c>
      <c r="E2166">
        <v>120</v>
      </c>
      <c r="F2166" t="s">
        <v>517</v>
      </c>
      <c r="G2166">
        <v>2</v>
      </c>
    </row>
    <row r="2167" spans="1:8">
      <c r="A2167" t="str">
        <f t="shared" si="33"/>
        <v>Lierdwarsweg 4</v>
      </c>
      <c r="B2167" t="s">
        <v>516</v>
      </c>
      <c r="C2167" t="s">
        <v>296</v>
      </c>
      <c r="D2167">
        <v>2012</v>
      </c>
      <c r="E2167">
        <v>819</v>
      </c>
      <c r="F2167" t="s">
        <v>517</v>
      </c>
      <c r="G2167">
        <v>4</v>
      </c>
    </row>
    <row r="2168" spans="1:8">
      <c r="A2168" t="str">
        <f t="shared" si="33"/>
        <v>Lierdwarsweg 6</v>
      </c>
      <c r="B2168" t="s">
        <v>516</v>
      </c>
      <c r="C2168" t="s">
        <v>296</v>
      </c>
      <c r="D2168">
        <v>1908</v>
      </c>
      <c r="E2168">
        <v>204</v>
      </c>
      <c r="F2168" t="s">
        <v>517</v>
      </c>
      <c r="G2168">
        <v>6</v>
      </c>
    </row>
    <row r="2169" spans="1:8">
      <c r="A2169" t="str">
        <f t="shared" si="33"/>
        <v>Lierdwarsweg 20</v>
      </c>
      <c r="B2169" t="s">
        <v>516</v>
      </c>
      <c r="C2169" t="s">
        <v>296</v>
      </c>
      <c r="D2169">
        <v>1999</v>
      </c>
      <c r="E2169">
        <v>61</v>
      </c>
      <c r="F2169" t="s">
        <v>517</v>
      </c>
      <c r="G2169">
        <v>20</v>
      </c>
    </row>
    <row r="2170" spans="1:8">
      <c r="A2170" t="str">
        <f t="shared" si="33"/>
        <v>Lierweg 1</v>
      </c>
      <c r="B2170" t="s">
        <v>518</v>
      </c>
      <c r="C2170" t="s">
        <v>296</v>
      </c>
      <c r="D2170">
        <v>1978</v>
      </c>
      <c r="E2170">
        <v>9</v>
      </c>
      <c r="F2170" t="s">
        <v>519</v>
      </c>
      <c r="G2170">
        <v>1</v>
      </c>
    </row>
    <row r="2171" spans="1:8">
      <c r="A2171" t="str">
        <f t="shared" si="33"/>
        <v>Lierweg 2a</v>
      </c>
      <c r="B2171" t="s">
        <v>518</v>
      </c>
      <c r="C2171" t="s">
        <v>296</v>
      </c>
      <c r="D2171">
        <v>1978</v>
      </c>
      <c r="E2171">
        <v>153</v>
      </c>
      <c r="F2171" t="s">
        <v>519</v>
      </c>
      <c r="G2171">
        <v>2</v>
      </c>
      <c r="H2171" t="s">
        <v>304</v>
      </c>
    </row>
    <row r="2172" spans="1:8">
      <c r="A2172" t="str">
        <f t="shared" si="33"/>
        <v>Lierweg 2b</v>
      </c>
      <c r="B2172" t="s">
        <v>518</v>
      </c>
      <c r="C2172" t="s">
        <v>296</v>
      </c>
      <c r="D2172">
        <v>1982</v>
      </c>
      <c r="E2172">
        <v>110</v>
      </c>
      <c r="F2172" t="s">
        <v>519</v>
      </c>
      <c r="G2172">
        <v>2</v>
      </c>
      <c r="H2172" t="s">
        <v>298</v>
      </c>
    </row>
    <row r="2173" spans="1:8">
      <c r="A2173" t="str">
        <f t="shared" si="33"/>
        <v>Lierweg 2c</v>
      </c>
      <c r="B2173" t="s">
        <v>518</v>
      </c>
      <c r="C2173" t="s">
        <v>296</v>
      </c>
      <c r="D2173">
        <v>2006</v>
      </c>
      <c r="E2173">
        <v>203</v>
      </c>
      <c r="F2173" t="s">
        <v>519</v>
      </c>
      <c r="G2173">
        <v>2</v>
      </c>
      <c r="H2173" t="s">
        <v>299</v>
      </c>
    </row>
    <row r="2174" spans="1:8">
      <c r="A2174" t="str">
        <f t="shared" si="33"/>
        <v>Lierweg 2</v>
      </c>
      <c r="B2174" t="s">
        <v>518</v>
      </c>
      <c r="C2174" t="s">
        <v>296</v>
      </c>
      <c r="D2174">
        <v>1978</v>
      </c>
      <c r="E2174">
        <v>4071</v>
      </c>
      <c r="F2174" t="s">
        <v>519</v>
      </c>
      <c r="G2174">
        <v>2</v>
      </c>
    </row>
    <row r="2175" spans="1:8">
      <c r="A2175" t="str">
        <f t="shared" si="33"/>
        <v>Lierweg 3</v>
      </c>
      <c r="B2175" t="s">
        <v>510</v>
      </c>
      <c r="C2175" t="s">
        <v>296</v>
      </c>
      <c r="D2175">
        <v>1920</v>
      </c>
      <c r="E2175">
        <v>154</v>
      </c>
      <c r="F2175" t="s">
        <v>519</v>
      </c>
      <c r="G2175">
        <v>3</v>
      </c>
    </row>
    <row r="2176" spans="1:8">
      <c r="A2176" t="str">
        <f t="shared" si="33"/>
        <v>Lierweg 5</v>
      </c>
      <c r="B2176" t="s">
        <v>510</v>
      </c>
      <c r="C2176" t="s">
        <v>296</v>
      </c>
      <c r="D2176">
        <v>1920</v>
      </c>
      <c r="E2176">
        <v>1270</v>
      </c>
      <c r="F2176" t="s">
        <v>519</v>
      </c>
      <c r="G2176">
        <v>5</v>
      </c>
    </row>
    <row r="2177" spans="1:8">
      <c r="A2177" t="str">
        <f t="shared" si="33"/>
        <v>Lierweg 6</v>
      </c>
      <c r="B2177" t="s">
        <v>518</v>
      </c>
      <c r="C2177" t="s">
        <v>296</v>
      </c>
      <c r="D2177">
        <v>2020</v>
      </c>
      <c r="E2177">
        <v>198</v>
      </c>
      <c r="F2177" t="s">
        <v>519</v>
      </c>
      <c r="G2177">
        <v>6</v>
      </c>
    </row>
    <row r="2178" spans="1:8">
      <c r="A2178" t="str">
        <f t="shared" ref="A2178:A2241" si="34">CONCATENATE(F2178," ",G2178,H2178)</f>
        <v>Lierweg 8</v>
      </c>
      <c r="B2178" t="s">
        <v>518</v>
      </c>
      <c r="C2178" t="s">
        <v>296</v>
      </c>
      <c r="D2178">
        <v>2020</v>
      </c>
      <c r="E2178">
        <v>193</v>
      </c>
      <c r="F2178" t="s">
        <v>519</v>
      </c>
      <c r="G2178">
        <v>8</v>
      </c>
    </row>
    <row r="2179" spans="1:8">
      <c r="A2179" t="str">
        <f t="shared" si="34"/>
        <v>Lierweg 10</v>
      </c>
      <c r="B2179" t="s">
        <v>518</v>
      </c>
      <c r="C2179" t="s">
        <v>296</v>
      </c>
      <c r="D2179">
        <v>2020</v>
      </c>
      <c r="E2179">
        <v>244</v>
      </c>
      <c r="F2179" t="s">
        <v>519</v>
      </c>
      <c r="G2179">
        <v>10</v>
      </c>
    </row>
    <row r="2180" spans="1:8">
      <c r="A2180" t="str">
        <f t="shared" si="34"/>
        <v>Lierweg 12</v>
      </c>
      <c r="B2180" t="s">
        <v>518</v>
      </c>
      <c r="C2180" t="s">
        <v>296</v>
      </c>
      <c r="D2180">
        <v>2020</v>
      </c>
      <c r="E2180">
        <v>173</v>
      </c>
      <c r="F2180" t="s">
        <v>519</v>
      </c>
      <c r="G2180">
        <v>12</v>
      </c>
    </row>
    <row r="2181" spans="1:8">
      <c r="A2181" t="str">
        <f t="shared" si="34"/>
        <v>Lierweg 14</v>
      </c>
      <c r="B2181" t="s">
        <v>518</v>
      </c>
      <c r="C2181" t="s">
        <v>296</v>
      </c>
      <c r="D2181">
        <v>2020</v>
      </c>
      <c r="E2181">
        <v>216</v>
      </c>
      <c r="F2181" t="s">
        <v>519</v>
      </c>
      <c r="G2181">
        <v>14</v>
      </c>
    </row>
    <row r="2182" spans="1:8">
      <c r="A2182" t="str">
        <f t="shared" si="34"/>
        <v>Lierweg 16</v>
      </c>
      <c r="B2182" t="s">
        <v>518</v>
      </c>
      <c r="C2182" t="s">
        <v>296</v>
      </c>
      <c r="D2182">
        <v>2020</v>
      </c>
      <c r="E2182">
        <v>152</v>
      </c>
      <c r="F2182" t="s">
        <v>519</v>
      </c>
      <c r="G2182">
        <v>16</v>
      </c>
    </row>
    <row r="2183" spans="1:8">
      <c r="A2183" t="str">
        <f t="shared" si="34"/>
        <v>Lierweg 18</v>
      </c>
      <c r="B2183" t="s">
        <v>518</v>
      </c>
      <c r="C2183" t="s">
        <v>296</v>
      </c>
      <c r="D2183">
        <v>2020</v>
      </c>
      <c r="E2183">
        <v>168</v>
      </c>
      <c r="F2183" t="s">
        <v>519</v>
      </c>
      <c r="G2183">
        <v>18</v>
      </c>
    </row>
    <row r="2184" spans="1:8">
      <c r="A2184" t="str">
        <f t="shared" si="34"/>
        <v>Lierweg 20</v>
      </c>
      <c r="B2184" t="s">
        <v>518</v>
      </c>
      <c r="C2184" t="s">
        <v>296</v>
      </c>
      <c r="D2184">
        <v>2020</v>
      </c>
      <c r="E2184">
        <v>202</v>
      </c>
      <c r="F2184" t="s">
        <v>519</v>
      </c>
      <c r="G2184">
        <v>20</v>
      </c>
    </row>
    <row r="2185" spans="1:8">
      <c r="A2185" t="str">
        <f t="shared" si="34"/>
        <v>Lijsterbeshof 2</v>
      </c>
      <c r="B2185" t="s">
        <v>520</v>
      </c>
      <c r="C2185" t="s">
        <v>296</v>
      </c>
      <c r="D2185">
        <v>1969</v>
      </c>
      <c r="E2185">
        <v>132</v>
      </c>
      <c r="F2185" t="s">
        <v>521</v>
      </c>
      <c r="G2185">
        <v>2</v>
      </c>
    </row>
    <row r="2186" spans="1:8">
      <c r="A2186" t="str">
        <f t="shared" si="34"/>
        <v>Lijsterbeshof 4</v>
      </c>
      <c r="B2186" t="s">
        <v>520</v>
      </c>
      <c r="C2186" t="s">
        <v>296</v>
      </c>
      <c r="D2186">
        <v>1969</v>
      </c>
      <c r="E2186">
        <v>131</v>
      </c>
      <c r="F2186" t="s">
        <v>521</v>
      </c>
      <c r="G2186">
        <v>4</v>
      </c>
    </row>
    <row r="2187" spans="1:8">
      <c r="A2187" t="str">
        <f t="shared" si="34"/>
        <v>Lijsterbeshof 6a</v>
      </c>
      <c r="B2187" t="s">
        <v>520</v>
      </c>
      <c r="C2187" t="s">
        <v>296</v>
      </c>
      <c r="D2187">
        <v>1972</v>
      </c>
      <c r="E2187">
        <v>18</v>
      </c>
      <c r="F2187" t="s">
        <v>521</v>
      </c>
      <c r="G2187">
        <v>6</v>
      </c>
      <c r="H2187" t="s">
        <v>304</v>
      </c>
    </row>
    <row r="2188" spans="1:8">
      <c r="A2188" t="str">
        <f t="shared" si="34"/>
        <v>Lijsterbeshof 6b</v>
      </c>
      <c r="B2188" t="s">
        <v>520</v>
      </c>
      <c r="C2188" t="s">
        <v>296</v>
      </c>
      <c r="D2188">
        <v>1972</v>
      </c>
      <c r="E2188">
        <v>18</v>
      </c>
      <c r="F2188" t="s">
        <v>521</v>
      </c>
      <c r="G2188">
        <v>6</v>
      </c>
      <c r="H2188" t="s">
        <v>298</v>
      </c>
    </row>
    <row r="2189" spans="1:8">
      <c r="A2189" t="str">
        <f t="shared" si="34"/>
        <v>Lijsterbeshof 6c</v>
      </c>
      <c r="B2189" t="s">
        <v>520</v>
      </c>
      <c r="C2189" t="s">
        <v>296</v>
      </c>
      <c r="D2189">
        <v>1972</v>
      </c>
      <c r="E2189">
        <v>19</v>
      </c>
      <c r="F2189" t="s">
        <v>521</v>
      </c>
      <c r="G2189">
        <v>6</v>
      </c>
      <c r="H2189" t="s">
        <v>299</v>
      </c>
    </row>
    <row r="2190" spans="1:8">
      <c r="A2190" t="str">
        <f t="shared" si="34"/>
        <v>Lijsterbeshof 6d</v>
      </c>
      <c r="B2190" t="s">
        <v>520</v>
      </c>
      <c r="C2190" t="s">
        <v>296</v>
      </c>
      <c r="D2190">
        <v>1972</v>
      </c>
      <c r="E2190">
        <v>18</v>
      </c>
      <c r="F2190" t="s">
        <v>521</v>
      </c>
      <c r="G2190">
        <v>6</v>
      </c>
      <c r="H2190" t="s">
        <v>300</v>
      </c>
    </row>
    <row r="2191" spans="1:8">
      <c r="A2191" t="str">
        <f t="shared" si="34"/>
        <v>Lijsterbeshof 6</v>
      </c>
      <c r="B2191" t="s">
        <v>520</v>
      </c>
      <c r="C2191" t="s">
        <v>296</v>
      </c>
      <c r="D2191">
        <v>1969</v>
      </c>
      <c r="E2191">
        <v>131</v>
      </c>
      <c r="F2191" t="s">
        <v>521</v>
      </c>
      <c r="G2191">
        <v>6</v>
      </c>
    </row>
    <row r="2192" spans="1:8">
      <c r="A2192" t="str">
        <f t="shared" si="34"/>
        <v>Lijsterbeshof 8</v>
      </c>
      <c r="B2192" t="s">
        <v>520</v>
      </c>
      <c r="C2192" t="s">
        <v>296</v>
      </c>
      <c r="D2192">
        <v>1970</v>
      </c>
      <c r="E2192">
        <v>98</v>
      </c>
      <c r="F2192" t="s">
        <v>521</v>
      </c>
      <c r="G2192">
        <v>8</v>
      </c>
    </row>
    <row r="2193" spans="1:7">
      <c r="A2193" t="str">
        <f t="shared" si="34"/>
        <v>Lijsterbeshof 10</v>
      </c>
      <c r="B2193" t="s">
        <v>520</v>
      </c>
      <c r="C2193" t="s">
        <v>296</v>
      </c>
      <c r="D2193">
        <v>1970</v>
      </c>
      <c r="E2193">
        <v>97</v>
      </c>
      <c r="F2193" t="s">
        <v>521</v>
      </c>
      <c r="G2193">
        <v>10</v>
      </c>
    </row>
    <row r="2194" spans="1:7">
      <c r="A2194" t="str">
        <f t="shared" si="34"/>
        <v>Lijsterbeshof 12</v>
      </c>
      <c r="B2194" t="s">
        <v>520</v>
      </c>
      <c r="C2194" t="s">
        <v>296</v>
      </c>
      <c r="D2194">
        <v>1970</v>
      </c>
      <c r="E2194">
        <v>97</v>
      </c>
      <c r="F2194" t="s">
        <v>521</v>
      </c>
      <c r="G2194">
        <v>12</v>
      </c>
    </row>
    <row r="2195" spans="1:7">
      <c r="A2195" t="str">
        <f t="shared" si="34"/>
        <v>Lijsterbeshof 14</v>
      </c>
      <c r="B2195" t="s">
        <v>520</v>
      </c>
      <c r="C2195" t="s">
        <v>296</v>
      </c>
      <c r="D2195">
        <v>1970</v>
      </c>
      <c r="E2195">
        <v>97</v>
      </c>
      <c r="F2195" t="s">
        <v>521</v>
      </c>
      <c r="G2195">
        <v>14</v>
      </c>
    </row>
    <row r="2196" spans="1:7">
      <c r="A2196" t="str">
        <f t="shared" si="34"/>
        <v>Lijsterbeshof 16</v>
      </c>
      <c r="B2196" t="s">
        <v>520</v>
      </c>
      <c r="C2196" t="s">
        <v>296</v>
      </c>
      <c r="D2196">
        <v>1970</v>
      </c>
      <c r="E2196">
        <v>98</v>
      </c>
      <c r="F2196" t="s">
        <v>521</v>
      </c>
      <c r="G2196">
        <v>16</v>
      </c>
    </row>
    <row r="2197" spans="1:7">
      <c r="A2197" t="str">
        <f t="shared" si="34"/>
        <v>Lijsterbeshof 18</v>
      </c>
      <c r="B2197" t="s">
        <v>520</v>
      </c>
      <c r="C2197" t="s">
        <v>296</v>
      </c>
      <c r="D2197">
        <v>1970</v>
      </c>
      <c r="E2197">
        <v>97</v>
      </c>
      <c r="F2197" t="s">
        <v>521</v>
      </c>
      <c r="G2197">
        <v>18</v>
      </c>
    </row>
    <row r="2198" spans="1:7">
      <c r="A2198" t="str">
        <f t="shared" si="34"/>
        <v>Lijsterbeshof 20</v>
      </c>
      <c r="B2198" t="s">
        <v>520</v>
      </c>
      <c r="C2198" t="s">
        <v>296</v>
      </c>
      <c r="D2198">
        <v>1970</v>
      </c>
      <c r="E2198">
        <v>97</v>
      </c>
      <c r="F2198" t="s">
        <v>521</v>
      </c>
      <c r="G2198">
        <v>20</v>
      </c>
    </row>
    <row r="2199" spans="1:7">
      <c r="A2199" t="str">
        <f t="shared" si="34"/>
        <v>Lindeboom 1</v>
      </c>
      <c r="B2199" t="s">
        <v>522</v>
      </c>
      <c r="C2199" t="s">
        <v>306</v>
      </c>
      <c r="D2199">
        <v>1971</v>
      </c>
      <c r="E2199">
        <v>98</v>
      </c>
      <c r="F2199" t="s">
        <v>523</v>
      </c>
      <c r="G2199">
        <v>1</v>
      </c>
    </row>
    <row r="2200" spans="1:7">
      <c r="A2200" t="str">
        <f t="shared" si="34"/>
        <v>Lindeboom 2</v>
      </c>
      <c r="B2200" t="s">
        <v>524</v>
      </c>
      <c r="C2200" t="s">
        <v>306</v>
      </c>
      <c r="D2200">
        <v>1975</v>
      </c>
      <c r="E2200">
        <v>152</v>
      </c>
      <c r="F2200" t="s">
        <v>523</v>
      </c>
      <c r="G2200">
        <v>2</v>
      </c>
    </row>
    <row r="2201" spans="1:7">
      <c r="A2201" t="str">
        <f t="shared" si="34"/>
        <v>Lindeboom 3</v>
      </c>
      <c r="B2201" t="s">
        <v>522</v>
      </c>
      <c r="C2201" t="s">
        <v>306</v>
      </c>
      <c r="D2201">
        <v>1971</v>
      </c>
      <c r="E2201">
        <v>98</v>
      </c>
      <c r="F2201" t="s">
        <v>523</v>
      </c>
      <c r="G2201">
        <v>3</v>
      </c>
    </row>
    <row r="2202" spans="1:7">
      <c r="A2202" t="str">
        <f t="shared" si="34"/>
        <v>Lindeboom 4</v>
      </c>
      <c r="B2202" t="s">
        <v>524</v>
      </c>
      <c r="C2202" t="s">
        <v>306</v>
      </c>
      <c r="D2202">
        <v>1975</v>
      </c>
      <c r="E2202">
        <v>151</v>
      </c>
      <c r="F2202" t="s">
        <v>523</v>
      </c>
      <c r="G2202">
        <v>4</v>
      </c>
    </row>
    <row r="2203" spans="1:7">
      <c r="A2203" t="str">
        <f t="shared" si="34"/>
        <v>Lindeboom 5</v>
      </c>
      <c r="B2203" t="s">
        <v>522</v>
      </c>
      <c r="C2203" t="s">
        <v>306</v>
      </c>
      <c r="D2203">
        <v>1971</v>
      </c>
      <c r="E2203">
        <v>98</v>
      </c>
      <c r="F2203" t="s">
        <v>523</v>
      </c>
      <c r="G2203">
        <v>5</v>
      </c>
    </row>
    <row r="2204" spans="1:7">
      <c r="A2204" t="str">
        <f t="shared" si="34"/>
        <v>Lindeboom 6</v>
      </c>
      <c r="B2204" t="s">
        <v>524</v>
      </c>
      <c r="C2204" t="s">
        <v>306</v>
      </c>
      <c r="D2204">
        <v>1975</v>
      </c>
      <c r="E2204">
        <v>152</v>
      </c>
      <c r="F2204" t="s">
        <v>523</v>
      </c>
      <c r="G2204">
        <v>6</v>
      </c>
    </row>
    <row r="2205" spans="1:7">
      <c r="A2205" t="str">
        <f t="shared" si="34"/>
        <v>Lindeboom 7</v>
      </c>
      <c r="B2205" t="s">
        <v>522</v>
      </c>
      <c r="C2205" t="s">
        <v>306</v>
      </c>
      <c r="D2205">
        <v>1971</v>
      </c>
      <c r="E2205">
        <v>98</v>
      </c>
      <c r="F2205" t="s">
        <v>523</v>
      </c>
      <c r="G2205">
        <v>7</v>
      </c>
    </row>
    <row r="2206" spans="1:7">
      <c r="A2206" t="str">
        <f t="shared" si="34"/>
        <v>Lindeboom 8</v>
      </c>
      <c r="B2206" t="s">
        <v>524</v>
      </c>
      <c r="C2206" t="s">
        <v>306</v>
      </c>
      <c r="D2206">
        <v>1975</v>
      </c>
      <c r="E2206">
        <v>152</v>
      </c>
      <c r="F2206" t="s">
        <v>523</v>
      </c>
      <c r="G2206">
        <v>8</v>
      </c>
    </row>
    <row r="2207" spans="1:7">
      <c r="A2207" t="str">
        <f t="shared" si="34"/>
        <v>Lindeboom 9</v>
      </c>
      <c r="B2207" t="s">
        <v>522</v>
      </c>
      <c r="C2207" t="s">
        <v>306</v>
      </c>
      <c r="D2207">
        <v>1971</v>
      </c>
      <c r="E2207">
        <v>98</v>
      </c>
      <c r="F2207" t="s">
        <v>523</v>
      </c>
      <c r="G2207">
        <v>9</v>
      </c>
    </row>
    <row r="2208" spans="1:7">
      <c r="A2208" t="str">
        <f t="shared" si="34"/>
        <v>Lindeboom 10</v>
      </c>
      <c r="B2208" t="s">
        <v>524</v>
      </c>
      <c r="C2208" t="s">
        <v>306</v>
      </c>
      <c r="D2208">
        <v>1975</v>
      </c>
      <c r="E2208">
        <v>152</v>
      </c>
      <c r="F2208" t="s">
        <v>523</v>
      </c>
      <c r="G2208">
        <v>10</v>
      </c>
    </row>
    <row r="2209" spans="1:7">
      <c r="A2209" t="str">
        <f t="shared" si="34"/>
        <v>Lindeboom 11</v>
      </c>
      <c r="B2209" t="s">
        <v>522</v>
      </c>
      <c r="C2209" t="s">
        <v>306</v>
      </c>
      <c r="D2209">
        <v>1971</v>
      </c>
      <c r="E2209">
        <v>98</v>
      </c>
      <c r="F2209" t="s">
        <v>523</v>
      </c>
      <c r="G2209">
        <v>11</v>
      </c>
    </row>
    <row r="2210" spans="1:7">
      <c r="A2210" t="str">
        <f t="shared" si="34"/>
        <v>Lindeboom 12</v>
      </c>
      <c r="B2210" t="s">
        <v>524</v>
      </c>
      <c r="C2210" t="s">
        <v>306</v>
      </c>
      <c r="D2210">
        <v>1975</v>
      </c>
      <c r="E2210">
        <v>141</v>
      </c>
      <c r="F2210" t="s">
        <v>523</v>
      </c>
      <c r="G2210">
        <v>12</v>
      </c>
    </row>
    <row r="2211" spans="1:7">
      <c r="A2211" t="str">
        <f t="shared" si="34"/>
        <v>Lindeboom 13</v>
      </c>
      <c r="B2211" t="s">
        <v>522</v>
      </c>
      <c r="C2211" t="s">
        <v>306</v>
      </c>
      <c r="D2211">
        <v>1971</v>
      </c>
      <c r="E2211">
        <v>98</v>
      </c>
      <c r="F2211" t="s">
        <v>523</v>
      </c>
      <c r="G2211">
        <v>13</v>
      </c>
    </row>
    <row r="2212" spans="1:7">
      <c r="A2212" t="str">
        <f t="shared" si="34"/>
        <v>Lindeboom 14</v>
      </c>
      <c r="B2212" t="s">
        <v>524</v>
      </c>
      <c r="C2212" t="s">
        <v>306</v>
      </c>
      <c r="D2212">
        <v>1975</v>
      </c>
      <c r="E2212">
        <v>153</v>
      </c>
      <c r="F2212" t="s">
        <v>523</v>
      </c>
      <c r="G2212">
        <v>14</v>
      </c>
    </row>
    <row r="2213" spans="1:7">
      <c r="A2213" t="str">
        <f t="shared" si="34"/>
        <v>Lindeboom 15</v>
      </c>
      <c r="B2213" t="s">
        <v>522</v>
      </c>
      <c r="C2213" t="s">
        <v>306</v>
      </c>
      <c r="D2213">
        <v>1971</v>
      </c>
      <c r="E2213">
        <v>98</v>
      </c>
      <c r="F2213" t="s">
        <v>523</v>
      </c>
      <c r="G2213">
        <v>15</v>
      </c>
    </row>
    <row r="2214" spans="1:7">
      <c r="A2214" t="str">
        <f t="shared" si="34"/>
        <v>Lindeboom 16</v>
      </c>
      <c r="B2214" t="s">
        <v>524</v>
      </c>
      <c r="C2214" t="s">
        <v>306</v>
      </c>
      <c r="D2214">
        <v>1975</v>
      </c>
      <c r="E2214">
        <v>140</v>
      </c>
      <c r="F2214" t="s">
        <v>523</v>
      </c>
      <c r="G2214">
        <v>16</v>
      </c>
    </row>
    <row r="2215" spans="1:7">
      <c r="A2215" t="str">
        <f t="shared" si="34"/>
        <v>Lindeboom 17</v>
      </c>
      <c r="B2215" t="s">
        <v>522</v>
      </c>
      <c r="C2215" t="s">
        <v>306</v>
      </c>
      <c r="D2215">
        <v>1971</v>
      </c>
      <c r="E2215">
        <v>98</v>
      </c>
      <c r="F2215" t="s">
        <v>523</v>
      </c>
      <c r="G2215">
        <v>17</v>
      </c>
    </row>
    <row r="2216" spans="1:7">
      <c r="A2216" t="str">
        <f t="shared" si="34"/>
        <v>Lindeboom 18</v>
      </c>
      <c r="B2216" t="s">
        <v>524</v>
      </c>
      <c r="C2216" t="s">
        <v>306</v>
      </c>
      <c r="D2216">
        <v>1975</v>
      </c>
      <c r="E2216">
        <v>152</v>
      </c>
      <c r="F2216" t="s">
        <v>523</v>
      </c>
      <c r="G2216">
        <v>18</v>
      </c>
    </row>
    <row r="2217" spans="1:7">
      <c r="A2217" t="str">
        <f t="shared" si="34"/>
        <v>Lindeboom 19</v>
      </c>
      <c r="B2217" t="s">
        <v>522</v>
      </c>
      <c r="C2217" t="s">
        <v>306</v>
      </c>
      <c r="D2217">
        <v>1971</v>
      </c>
      <c r="E2217">
        <v>98</v>
      </c>
      <c r="F2217" t="s">
        <v>523</v>
      </c>
      <c r="G2217">
        <v>19</v>
      </c>
    </row>
    <row r="2218" spans="1:7">
      <c r="A2218" t="str">
        <f t="shared" si="34"/>
        <v>Lindeboom 20</v>
      </c>
      <c r="B2218" t="s">
        <v>524</v>
      </c>
      <c r="C2218" t="s">
        <v>306</v>
      </c>
      <c r="D2218">
        <v>1975</v>
      </c>
      <c r="E2218">
        <v>139</v>
      </c>
      <c r="F2218" t="s">
        <v>523</v>
      </c>
      <c r="G2218">
        <v>20</v>
      </c>
    </row>
    <row r="2219" spans="1:7">
      <c r="A2219" t="str">
        <f t="shared" si="34"/>
        <v>Lindeboom 21</v>
      </c>
      <c r="B2219" t="s">
        <v>522</v>
      </c>
      <c r="C2219" t="s">
        <v>306</v>
      </c>
      <c r="D2219">
        <v>1971</v>
      </c>
      <c r="E2219">
        <v>98</v>
      </c>
      <c r="F2219" t="s">
        <v>523</v>
      </c>
      <c r="G2219">
        <v>21</v>
      </c>
    </row>
    <row r="2220" spans="1:7">
      <c r="A2220" t="str">
        <f t="shared" si="34"/>
        <v>Lindeboom 22</v>
      </c>
      <c r="B2220" t="s">
        <v>524</v>
      </c>
      <c r="C2220" t="s">
        <v>306</v>
      </c>
      <c r="D2220">
        <v>1975</v>
      </c>
      <c r="E2220">
        <v>151</v>
      </c>
      <c r="F2220" t="s">
        <v>523</v>
      </c>
      <c r="G2220">
        <v>22</v>
      </c>
    </row>
    <row r="2221" spans="1:7">
      <c r="A2221" t="str">
        <f t="shared" si="34"/>
        <v>Lindeboom 23</v>
      </c>
      <c r="B2221" t="s">
        <v>522</v>
      </c>
      <c r="C2221" t="s">
        <v>306</v>
      </c>
      <c r="D2221">
        <v>1971</v>
      </c>
      <c r="E2221">
        <v>98</v>
      </c>
      <c r="F2221" t="s">
        <v>523</v>
      </c>
      <c r="G2221">
        <v>23</v>
      </c>
    </row>
    <row r="2222" spans="1:7">
      <c r="A2222" t="str">
        <f t="shared" si="34"/>
        <v>Lindeboom 24</v>
      </c>
      <c r="B2222" t="s">
        <v>524</v>
      </c>
      <c r="C2222" t="s">
        <v>306</v>
      </c>
      <c r="D2222">
        <v>1975</v>
      </c>
      <c r="E2222">
        <v>140</v>
      </c>
      <c r="F2222" t="s">
        <v>523</v>
      </c>
      <c r="G2222">
        <v>24</v>
      </c>
    </row>
    <row r="2223" spans="1:7">
      <c r="A2223" t="str">
        <f t="shared" si="34"/>
        <v>Lindeboom 25</v>
      </c>
      <c r="B2223" t="s">
        <v>522</v>
      </c>
      <c r="C2223" t="s">
        <v>306</v>
      </c>
      <c r="D2223">
        <v>1971</v>
      </c>
      <c r="E2223">
        <v>98</v>
      </c>
      <c r="F2223" t="s">
        <v>523</v>
      </c>
      <c r="G2223">
        <v>25</v>
      </c>
    </row>
    <row r="2224" spans="1:7">
      <c r="A2224" t="str">
        <f t="shared" si="34"/>
        <v>Lindeboom 26</v>
      </c>
      <c r="B2224" t="s">
        <v>525</v>
      </c>
      <c r="C2224" t="s">
        <v>306</v>
      </c>
      <c r="D2224">
        <v>1975</v>
      </c>
      <c r="E2224">
        <v>141</v>
      </c>
      <c r="F2224" t="s">
        <v>523</v>
      </c>
      <c r="G2224">
        <v>26</v>
      </c>
    </row>
    <row r="2225" spans="1:8">
      <c r="A2225" t="str">
        <f t="shared" si="34"/>
        <v>Lindeboom 27</v>
      </c>
      <c r="B2225" t="s">
        <v>522</v>
      </c>
      <c r="C2225" t="s">
        <v>306</v>
      </c>
      <c r="D2225">
        <v>1971</v>
      </c>
      <c r="E2225">
        <v>98</v>
      </c>
      <c r="F2225" t="s">
        <v>523</v>
      </c>
      <c r="G2225">
        <v>27</v>
      </c>
    </row>
    <row r="2226" spans="1:8">
      <c r="A2226" t="str">
        <f t="shared" si="34"/>
        <v>Lindeboom 28</v>
      </c>
      <c r="B2226" t="s">
        <v>525</v>
      </c>
      <c r="C2226" t="s">
        <v>306</v>
      </c>
      <c r="D2226">
        <v>1975</v>
      </c>
      <c r="E2226">
        <v>152</v>
      </c>
      <c r="F2226" t="s">
        <v>523</v>
      </c>
      <c r="G2226">
        <v>28</v>
      </c>
    </row>
    <row r="2227" spans="1:8">
      <c r="A2227" t="str">
        <f t="shared" si="34"/>
        <v>Lindeboom 29</v>
      </c>
      <c r="B2227" t="s">
        <v>522</v>
      </c>
      <c r="C2227" t="s">
        <v>306</v>
      </c>
      <c r="D2227">
        <v>1971</v>
      </c>
      <c r="E2227">
        <v>98</v>
      </c>
      <c r="F2227" t="s">
        <v>523</v>
      </c>
      <c r="G2227">
        <v>29</v>
      </c>
    </row>
    <row r="2228" spans="1:8">
      <c r="A2228" t="str">
        <f t="shared" si="34"/>
        <v>Lindeboom 30</v>
      </c>
      <c r="B2228" t="s">
        <v>525</v>
      </c>
      <c r="C2228" t="s">
        <v>306</v>
      </c>
      <c r="D2228">
        <v>1975</v>
      </c>
      <c r="E2228">
        <v>140</v>
      </c>
      <c r="F2228" t="s">
        <v>523</v>
      </c>
      <c r="G2228">
        <v>30</v>
      </c>
    </row>
    <row r="2229" spans="1:8">
      <c r="A2229" t="str">
        <f t="shared" si="34"/>
        <v>Lindeboom 31</v>
      </c>
      <c r="B2229" t="s">
        <v>526</v>
      </c>
      <c r="C2229" t="s">
        <v>306</v>
      </c>
      <c r="D2229">
        <v>1971</v>
      </c>
      <c r="E2229">
        <v>133</v>
      </c>
      <c r="F2229" t="s">
        <v>523</v>
      </c>
      <c r="G2229">
        <v>31</v>
      </c>
    </row>
    <row r="2230" spans="1:8">
      <c r="A2230" t="str">
        <f t="shared" si="34"/>
        <v>Lindeboom 32</v>
      </c>
      <c r="B2230" t="s">
        <v>525</v>
      </c>
      <c r="C2230" t="s">
        <v>306</v>
      </c>
      <c r="D2230">
        <v>1975</v>
      </c>
      <c r="E2230">
        <v>152</v>
      </c>
      <c r="F2230" t="s">
        <v>523</v>
      </c>
      <c r="G2230">
        <v>32</v>
      </c>
    </row>
    <row r="2231" spans="1:8">
      <c r="A2231" t="str">
        <f t="shared" si="34"/>
        <v>Lindeboom 33</v>
      </c>
      <c r="B2231" t="s">
        <v>526</v>
      </c>
      <c r="C2231" t="s">
        <v>306</v>
      </c>
      <c r="D2231">
        <v>1975</v>
      </c>
      <c r="E2231">
        <v>69</v>
      </c>
      <c r="F2231" t="s">
        <v>523</v>
      </c>
      <c r="G2231">
        <v>33</v>
      </c>
    </row>
    <row r="2232" spans="1:8">
      <c r="A2232" t="str">
        <f t="shared" si="34"/>
        <v>Lindeboom 34</v>
      </c>
      <c r="B2232" t="s">
        <v>525</v>
      </c>
      <c r="C2232" t="s">
        <v>306</v>
      </c>
      <c r="D2232">
        <v>1975</v>
      </c>
      <c r="E2232">
        <v>142</v>
      </c>
      <c r="F2232" t="s">
        <v>523</v>
      </c>
      <c r="G2232">
        <v>34</v>
      </c>
    </row>
    <row r="2233" spans="1:8">
      <c r="A2233" t="str">
        <f t="shared" si="34"/>
        <v>Lindeboom 35</v>
      </c>
      <c r="B2233" t="s">
        <v>526</v>
      </c>
      <c r="C2233" t="s">
        <v>306</v>
      </c>
      <c r="D2233">
        <v>1975</v>
      </c>
      <c r="E2233">
        <v>69</v>
      </c>
      <c r="F2233" t="s">
        <v>523</v>
      </c>
      <c r="G2233">
        <v>35</v>
      </c>
    </row>
    <row r="2234" spans="1:8">
      <c r="A2234" t="str">
        <f t="shared" si="34"/>
        <v>Lindeboom 36</v>
      </c>
      <c r="B2234" t="s">
        <v>525</v>
      </c>
      <c r="C2234" t="s">
        <v>306</v>
      </c>
      <c r="D2234">
        <v>1975</v>
      </c>
      <c r="E2234">
        <v>162</v>
      </c>
      <c r="F2234" t="s">
        <v>523</v>
      </c>
      <c r="G2234">
        <v>36</v>
      </c>
    </row>
    <row r="2235" spans="1:8">
      <c r="A2235" t="str">
        <f t="shared" si="34"/>
        <v>Lindeboom 37</v>
      </c>
      <c r="B2235" t="s">
        <v>526</v>
      </c>
      <c r="C2235" t="s">
        <v>306</v>
      </c>
      <c r="D2235">
        <v>1975</v>
      </c>
      <c r="E2235">
        <v>69</v>
      </c>
      <c r="F2235" t="s">
        <v>523</v>
      </c>
      <c r="G2235">
        <v>37</v>
      </c>
    </row>
    <row r="2236" spans="1:8">
      <c r="A2236" t="str">
        <f t="shared" si="34"/>
        <v>Lindeboom 38a</v>
      </c>
      <c r="B2236" t="s">
        <v>525</v>
      </c>
      <c r="C2236" t="s">
        <v>306</v>
      </c>
      <c r="D2236">
        <v>1998</v>
      </c>
      <c r="E2236">
        <v>24</v>
      </c>
      <c r="F2236" t="s">
        <v>523</v>
      </c>
      <c r="G2236">
        <v>38</v>
      </c>
      <c r="H2236" t="s">
        <v>304</v>
      </c>
    </row>
    <row r="2237" spans="1:8">
      <c r="A2237" t="str">
        <f t="shared" si="34"/>
        <v>Lindeboom 38b</v>
      </c>
      <c r="B2237" t="s">
        <v>525</v>
      </c>
      <c r="C2237" t="s">
        <v>306</v>
      </c>
      <c r="D2237">
        <v>1998</v>
      </c>
      <c r="E2237">
        <v>23</v>
      </c>
      <c r="F2237" t="s">
        <v>523</v>
      </c>
      <c r="G2237">
        <v>38</v>
      </c>
      <c r="H2237" t="s">
        <v>298</v>
      </c>
    </row>
    <row r="2238" spans="1:8">
      <c r="A2238" t="str">
        <f t="shared" si="34"/>
        <v>Lindeboom 38c</v>
      </c>
      <c r="B2238" t="s">
        <v>525</v>
      </c>
      <c r="C2238" t="s">
        <v>306</v>
      </c>
      <c r="D2238">
        <v>1998</v>
      </c>
      <c r="E2238">
        <v>23</v>
      </c>
      <c r="F2238" t="s">
        <v>523</v>
      </c>
      <c r="G2238">
        <v>38</v>
      </c>
      <c r="H2238" t="s">
        <v>299</v>
      </c>
    </row>
    <row r="2239" spans="1:8">
      <c r="A2239" t="str">
        <f t="shared" si="34"/>
        <v>Lindeboom 38d</v>
      </c>
      <c r="B2239" t="s">
        <v>525</v>
      </c>
      <c r="C2239" t="s">
        <v>306</v>
      </c>
      <c r="D2239">
        <v>1998</v>
      </c>
      <c r="E2239">
        <v>23</v>
      </c>
      <c r="F2239" t="s">
        <v>523</v>
      </c>
      <c r="G2239">
        <v>38</v>
      </c>
      <c r="H2239" t="s">
        <v>300</v>
      </c>
    </row>
    <row r="2240" spans="1:8">
      <c r="A2240" t="str">
        <f t="shared" si="34"/>
        <v>Lindeboom 38e</v>
      </c>
      <c r="B2240" t="s">
        <v>525</v>
      </c>
      <c r="C2240" t="s">
        <v>306</v>
      </c>
      <c r="D2240">
        <v>1998</v>
      </c>
      <c r="E2240">
        <v>24</v>
      </c>
      <c r="F2240" t="s">
        <v>523</v>
      </c>
      <c r="G2240">
        <v>38</v>
      </c>
      <c r="H2240" t="s">
        <v>319</v>
      </c>
    </row>
    <row r="2241" spans="1:8">
      <c r="A2241" t="str">
        <f t="shared" si="34"/>
        <v>Lindeboom 38f</v>
      </c>
      <c r="B2241" t="s">
        <v>525</v>
      </c>
      <c r="C2241" t="s">
        <v>306</v>
      </c>
      <c r="D2241">
        <v>1971</v>
      </c>
      <c r="E2241">
        <v>21</v>
      </c>
      <c r="F2241" t="s">
        <v>523</v>
      </c>
      <c r="G2241">
        <v>38</v>
      </c>
      <c r="H2241" t="s">
        <v>329</v>
      </c>
    </row>
    <row r="2242" spans="1:8">
      <c r="A2242" t="str">
        <f t="shared" ref="A2242:A2305" si="35">CONCATENATE(F2242," ",G2242,H2242)</f>
        <v>Lindeboom 38g</v>
      </c>
      <c r="B2242" t="s">
        <v>525</v>
      </c>
      <c r="C2242" t="s">
        <v>306</v>
      </c>
      <c r="D2242">
        <v>1971</v>
      </c>
      <c r="E2242">
        <v>21</v>
      </c>
      <c r="F2242" t="s">
        <v>523</v>
      </c>
      <c r="G2242">
        <v>38</v>
      </c>
      <c r="H2242" t="s">
        <v>330</v>
      </c>
    </row>
    <row r="2243" spans="1:8">
      <c r="A2243" t="str">
        <f t="shared" si="35"/>
        <v>Lindeboom 38h</v>
      </c>
      <c r="B2243" t="s">
        <v>525</v>
      </c>
      <c r="C2243" t="s">
        <v>306</v>
      </c>
      <c r="D2243">
        <v>1971</v>
      </c>
      <c r="E2243">
        <v>20</v>
      </c>
      <c r="F2243" t="s">
        <v>523</v>
      </c>
      <c r="G2243">
        <v>38</v>
      </c>
      <c r="H2243" t="s">
        <v>397</v>
      </c>
    </row>
    <row r="2244" spans="1:8">
      <c r="A2244" t="str">
        <f t="shared" si="35"/>
        <v>Lindeboom 38i</v>
      </c>
      <c r="B2244" t="s">
        <v>525</v>
      </c>
      <c r="C2244" t="s">
        <v>306</v>
      </c>
      <c r="D2244">
        <v>1971</v>
      </c>
      <c r="E2244">
        <v>21</v>
      </c>
      <c r="F2244" t="s">
        <v>523</v>
      </c>
      <c r="G2244">
        <v>38</v>
      </c>
      <c r="H2244" t="s">
        <v>527</v>
      </c>
    </row>
    <row r="2245" spans="1:8">
      <c r="A2245" t="str">
        <f t="shared" si="35"/>
        <v>Lindeboom 38j</v>
      </c>
      <c r="B2245" t="s">
        <v>525</v>
      </c>
      <c r="C2245" t="s">
        <v>306</v>
      </c>
      <c r="D2245">
        <v>1971</v>
      </c>
      <c r="E2245">
        <v>25</v>
      </c>
      <c r="F2245" t="s">
        <v>523</v>
      </c>
      <c r="G2245">
        <v>38</v>
      </c>
      <c r="H2245" t="s">
        <v>528</v>
      </c>
    </row>
    <row r="2246" spans="1:8">
      <c r="A2246" t="str">
        <f t="shared" si="35"/>
        <v>Lindeboom 38</v>
      </c>
      <c r="B2246" t="s">
        <v>525</v>
      </c>
      <c r="C2246" t="s">
        <v>306</v>
      </c>
      <c r="D2246">
        <v>1975</v>
      </c>
      <c r="E2246">
        <v>172</v>
      </c>
      <c r="F2246" t="s">
        <v>523</v>
      </c>
      <c r="G2246">
        <v>38</v>
      </c>
    </row>
    <row r="2247" spans="1:8">
      <c r="A2247" t="str">
        <f t="shared" si="35"/>
        <v>Lindeboom 39</v>
      </c>
      <c r="B2247" t="s">
        <v>526</v>
      </c>
      <c r="C2247" t="s">
        <v>306</v>
      </c>
      <c r="D2247">
        <v>1975</v>
      </c>
      <c r="E2247">
        <v>69</v>
      </c>
      <c r="F2247" t="s">
        <v>523</v>
      </c>
      <c r="G2247">
        <v>39</v>
      </c>
    </row>
    <row r="2248" spans="1:8">
      <c r="A2248" t="str">
        <f t="shared" si="35"/>
        <v>Lindeboom 40</v>
      </c>
      <c r="B2248" t="s">
        <v>525</v>
      </c>
      <c r="C2248" t="s">
        <v>306</v>
      </c>
      <c r="D2248">
        <v>1975</v>
      </c>
      <c r="E2248">
        <v>153</v>
      </c>
      <c r="F2248" t="s">
        <v>523</v>
      </c>
      <c r="G2248">
        <v>40</v>
      </c>
    </row>
    <row r="2249" spans="1:8">
      <c r="A2249" t="str">
        <f t="shared" si="35"/>
        <v>Lindeboom 41</v>
      </c>
      <c r="B2249" t="s">
        <v>526</v>
      </c>
      <c r="C2249" t="s">
        <v>306</v>
      </c>
      <c r="D2249">
        <v>1971</v>
      </c>
      <c r="E2249">
        <v>98</v>
      </c>
      <c r="F2249" t="s">
        <v>523</v>
      </c>
      <c r="G2249">
        <v>41</v>
      </c>
    </row>
    <row r="2250" spans="1:8">
      <c r="A2250" t="str">
        <f t="shared" si="35"/>
        <v>Lindeboom 42</v>
      </c>
      <c r="B2250" t="s">
        <v>525</v>
      </c>
      <c r="C2250" t="s">
        <v>306</v>
      </c>
      <c r="D2250">
        <v>1975</v>
      </c>
      <c r="E2250">
        <v>140</v>
      </c>
      <c r="F2250" t="s">
        <v>523</v>
      </c>
      <c r="G2250">
        <v>42</v>
      </c>
    </row>
    <row r="2251" spans="1:8">
      <c r="A2251" t="str">
        <f t="shared" si="35"/>
        <v>Lindeboom 43</v>
      </c>
      <c r="B2251" t="s">
        <v>526</v>
      </c>
      <c r="C2251" t="s">
        <v>306</v>
      </c>
      <c r="D2251">
        <v>1971</v>
      </c>
      <c r="E2251">
        <v>98</v>
      </c>
      <c r="F2251" t="s">
        <v>523</v>
      </c>
      <c r="G2251">
        <v>43</v>
      </c>
    </row>
    <row r="2252" spans="1:8">
      <c r="A2252" t="str">
        <f t="shared" si="35"/>
        <v>Lindeboom 44</v>
      </c>
      <c r="B2252" t="s">
        <v>525</v>
      </c>
      <c r="C2252" t="s">
        <v>306</v>
      </c>
      <c r="D2252">
        <v>1975</v>
      </c>
      <c r="E2252">
        <v>152</v>
      </c>
      <c r="F2252" t="s">
        <v>523</v>
      </c>
      <c r="G2252">
        <v>44</v>
      </c>
    </row>
    <row r="2253" spans="1:8">
      <c r="A2253" t="str">
        <f t="shared" si="35"/>
        <v>Lindeboom 45</v>
      </c>
      <c r="B2253" t="s">
        <v>526</v>
      </c>
      <c r="C2253" t="s">
        <v>306</v>
      </c>
      <c r="D2253">
        <v>1971</v>
      </c>
      <c r="E2253">
        <v>98</v>
      </c>
      <c r="F2253" t="s">
        <v>523</v>
      </c>
      <c r="G2253">
        <v>45</v>
      </c>
    </row>
    <row r="2254" spans="1:8">
      <c r="A2254" t="str">
        <f t="shared" si="35"/>
        <v>Lindeboom 46</v>
      </c>
      <c r="B2254" t="s">
        <v>525</v>
      </c>
      <c r="C2254" t="s">
        <v>306</v>
      </c>
      <c r="D2254">
        <v>1975</v>
      </c>
      <c r="E2254">
        <v>140</v>
      </c>
      <c r="F2254" t="s">
        <v>523</v>
      </c>
      <c r="G2254">
        <v>46</v>
      </c>
    </row>
    <row r="2255" spans="1:8">
      <c r="A2255" t="str">
        <f t="shared" si="35"/>
        <v>Lindeboom 47</v>
      </c>
      <c r="B2255" t="s">
        <v>526</v>
      </c>
      <c r="C2255" t="s">
        <v>306</v>
      </c>
      <c r="D2255">
        <v>1971</v>
      </c>
      <c r="E2255">
        <v>98</v>
      </c>
      <c r="F2255" t="s">
        <v>523</v>
      </c>
      <c r="G2255">
        <v>47</v>
      </c>
    </row>
    <row r="2256" spans="1:8">
      <c r="A2256" t="str">
        <f t="shared" si="35"/>
        <v>Lindeboom 48</v>
      </c>
      <c r="B2256" t="s">
        <v>525</v>
      </c>
      <c r="C2256" t="s">
        <v>306</v>
      </c>
      <c r="D2256">
        <v>1975</v>
      </c>
      <c r="E2256">
        <v>151</v>
      </c>
      <c r="F2256" t="s">
        <v>523</v>
      </c>
      <c r="G2256">
        <v>48</v>
      </c>
    </row>
    <row r="2257" spans="1:7">
      <c r="A2257" t="str">
        <f t="shared" si="35"/>
        <v>Lindeboom 49</v>
      </c>
      <c r="B2257" t="s">
        <v>526</v>
      </c>
      <c r="C2257" t="s">
        <v>306</v>
      </c>
      <c r="D2257">
        <v>1971</v>
      </c>
      <c r="E2257">
        <v>98</v>
      </c>
      <c r="F2257" t="s">
        <v>523</v>
      </c>
      <c r="G2257">
        <v>49</v>
      </c>
    </row>
    <row r="2258" spans="1:7">
      <c r="A2258" t="str">
        <f t="shared" si="35"/>
        <v>Lindeboom 50</v>
      </c>
      <c r="B2258" t="s">
        <v>525</v>
      </c>
      <c r="C2258" t="s">
        <v>306</v>
      </c>
      <c r="D2258">
        <v>1977</v>
      </c>
      <c r="E2258">
        <v>91</v>
      </c>
      <c r="F2258" t="s">
        <v>523</v>
      </c>
      <c r="G2258">
        <v>50</v>
      </c>
    </row>
    <row r="2259" spans="1:7">
      <c r="A2259" t="str">
        <f t="shared" si="35"/>
        <v>Lindeboom 51</v>
      </c>
      <c r="B2259" t="s">
        <v>526</v>
      </c>
      <c r="C2259" t="s">
        <v>306</v>
      </c>
      <c r="D2259">
        <v>1971</v>
      </c>
      <c r="E2259">
        <v>98</v>
      </c>
      <c r="F2259" t="s">
        <v>523</v>
      </c>
      <c r="G2259">
        <v>51</v>
      </c>
    </row>
    <row r="2260" spans="1:7">
      <c r="A2260" t="str">
        <f t="shared" si="35"/>
        <v>Lindeboom 52</v>
      </c>
      <c r="B2260" t="s">
        <v>525</v>
      </c>
      <c r="C2260" t="s">
        <v>306</v>
      </c>
      <c r="D2260">
        <v>1977</v>
      </c>
      <c r="E2260">
        <v>91</v>
      </c>
      <c r="F2260" t="s">
        <v>523</v>
      </c>
      <c r="G2260">
        <v>52</v>
      </c>
    </row>
    <row r="2261" spans="1:7">
      <c r="A2261" t="str">
        <f t="shared" si="35"/>
        <v>Lindeboom 53</v>
      </c>
      <c r="B2261" t="s">
        <v>526</v>
      </c>
      <c r="C2261" t="s">
        <v>306</v>
      </c>
      <c r="D2261">
        <v>1971</v>
      </c>
      <c r="E2261">
        <v>98</v>
      </c>
      <c r="F2261" t="s">
        <v>523</v>
      </c>
      <c r="G2261">
        <v>53</v>
      </c>
    </row>
    <row r="2262" spans="1:7">
      <c r="A2262" t="str">
        <f t="shared" si="35"/>
        <v>Lindeboom 54</v>
      </c>
      <c r="B2262" t="s">
        <v>525</v>
      </c>
      <c r="C2262" t="s">
        <v>306</v>
      </c>
      <c r="D2262">
        <v>1977</v>
      </c>
      <c r="E2262">
        <v>91</v>
      </c>
      <c r="F2262" t="s">
        <v>523</v>
      </c>
      <c r="G2262">
        <v>54</v>
      </c>
    </row>
    <row r="2263" spans="1:7">
      <c r="A2263" t="str">
        <f t="shared" si="35"/>
        <v>Lindeboom 55</v>
      </c>
      <c r="B2263" t="s">
        <v>526</v>
      </c>
      <c r="C2263" t="s">
        <v>306</v>
      </c>
      <c r="D2263">
        <v>1971</v>
      </c>
      <c r="E2263">
        <v>98</v>
      </c>
      <c r="F2263" t="s">
        <v>523</v>
      </c>
      <c r="G2263">
        <v>55</v>
      </c>
    </row>
    <row r="2264" spans="1:7">
      <c r="A2264" t="str">
        <f t="shared" si="35"/>
        <v>Lindeboom 56</v>
      </c>
      <c r="B2264" t="s">
        <v>525</v>
      </c>
      <c r="C2264" t="s">
        <v>306</v>
      </c>
      <c r="D2264">
        <v>1977</v>
      </c>
      <c r="E2264">
        <v>123</v>
      </c>
      <c r="F2264" t="s">
        <v>523</v>
      </c>
      <c r="G2264">
        <v>56</v>
      </c>
    </row>
    <row r="2265" spans="1:7">
      <c r="A2265" t="str">
        <f t="shared" si="35"/>
        <v>Lindeboom 57</v>
      </c>
      <c r="B2265" t="s">
        <v>526</v>
      </c>
      <c r="C2265" t="s">
        <v>306</v>
      </c>
      <c r="D2265">
        <v>1971</v>
      </c>
      <c r="E2265">
        <v>113</v>
      </c>
      <c r="F2265" t="s">
        <v>523</v>
      </c>
      <c r="G2265">
        <v>57</v>
      </c>
    </row>
    <row r="2266" spans="1:7">
      <c r="A2266" t="str">
        <f t="shared" si="35"/>
        <v>Lindeboom 58</v>
      </c>
      <c r="B2266" t="s">
        <v>525</v>
      </c>
      <c r="C2266" t="s">
        <v>306</v>
      </c>
      <c r="D2266">
        <v>1977</v>
      </c>
      <c r="E2266">
        <v>90</v>
      </c>
      <c r="F2266" t="s">
        <v>523</v>
      </c>
      <c r="G2266">
        <v>58</v>
      </c>
    </row>
    <row r="2267" spans="1:7">
      <c r="A2267" t="str">
        <f t="shared" si="35"/>
        <v>Lindeboom 59</v>
      </c>
      <c r="B2267" t="s">
        <v>529</v>
      </c>
      <c r="C2267" t="s">
        <v>306</v>
      </c>
      <c r="D2267">
        <v>1971</v>
      </c>
      <c r="E2267">
        <v>98</v>
      </c>
      <c r="F2267" t="s">
        <v>523</v>
      </c>
      <c r="G2267">
        <v>59</v>
      </c>
    </row>
    <row r="2268" spans="1:7">
      <c r="A2268" t="str">
        <f t="shared" si="35"/>
        <v>Lindeboom 60</v>
      </c>
      <c r="B2268" t="s">
        <v>525</v>
      </c>
      <c r="C2268" t="s">
        <v>306</v>
      </c>
      <c r="D2268">
        <v>1977</v>
      </c>
      <c r="E2268">
        <v>92</v>
      </c>
      <c r="F2268" t="s">
        <v>523</v>
      </c>
      <c r="G2268">
        <v>60</v>
      </c>
    </row>
    <row r="2269" spans="1:7">
      <c r="A2269" t="str">
        <f t="shared" si="35"/>
        <v>Lindeboom 61</v>
      </c>
      <c r="B2269" t="s">
        <v>529</v>
      </c>
      <c r="C2269" t="s">
        <v>306</v>
      </c>
      <c r="D2269">
        <v>1971</v>
      </c>
      <c r="E2269">
        <v>98</v>
      </c>
      <c r="F2269" t="s">
        <v>523</v>
      </c>
      <c r="G2269">
        <v>61</v>
      </c>
    </row>
    <row r="2270" spans="1:7">
      <c r="A2270" t="str">
        <f t="shared" si="35"/>
        <v>Lindeboom 62</v>
      </c>
      <c r="B2270" t="s">
        <v>525</v>
      </c>
      <c r="C2270" t="s">
        <v>306</v>
      </c>
      <c r="D2270">
        <v>1977</v>
      </c>
      <c r="E2270">
        <v>97</v>
      </c>
      <c r="F2270" t="s">
        <v>523</v>
      </c>
      <c r="G2270">
        <v>62</v>
      </c>
    </row>
    <row r="2271" spans="1:7">
      <c r="A2271" t="str">
        <f t="shared" si="35"/>
        <v>Lindeboom 63</v>
      </c>
      <c r="B2271" t="s">
        <v>529</v>
      </c>
      <c r="C2271" t="s">
        <v>306</v>
      </c>
      <c r="D2271">
        <v>1971</v>
      </c>
      <c r="E2271">
        <v>101</v>
      </c>
      <c r="F2271" t="s">
        <v>523</v>
      </c>
      <c r="G2271">
        <v>63</v>
      </c>
    </row>
    <row r="2272" spans="1:7">
      <c r="A2272" t="str">
        <f t="shared" si="35"/>
        <v>Lindeboom 64</v>
      </c>
      <c r="B2272" t="s">
        <v>525</v>
      </c>
      <c r="C2272" t="s">
        <v>306</v>
      </c>
      <c r="D2272">
        <v>1977</v>
      </c>
      <c r="E2272">
        <v>90</v>
      </c>
      <c r="F2272" t="s">
        <v>523</v>
      </c>
      <c r="G2272">
        <v>64</v>
      </c>
    </row>
    <row r="2273" spans="1:8">
      <c r="A2273" t="str">
        <f t="shared" si="35"/>
        <v>Lindeboom 65</v>
      </c>
      <c r="B2273" t="s">
        <v>529</v>
      </c>
      <c r="C2273" t="s">
        <v>306</v>
      </c>
      <c r="D2273">
        <v>1971</v>
      </c>
      <c r="E2273">
        <v>98</v>
      </c>
      <c r="F2273" t="s">
        <v>523</v>
      </c>
      <c r="G2273">
        <v>65</v>
      </c>
    </row>
    <row r="2274" spans="1:8">
      <c r="A2274" t="str">
        <f t="shared" si="35"/>
        <v>Lindeboom 66</v>
      </c>
      <c r="B2274" t="s">
        <v>525</v>
      </c>
      <c r="C2274" t="s">
        <v>306</v>
      </c>
      <c r="D2274">
        <v>1977</v>
      </c>
      <c r="E2274">
        <v>89</v>
      </c>
      <c r="F2274" t="s">
        <v>523</v>
      </c>
      <c r="G2274">
        <v>66</v>
      </c>
    </row>
    <row r="2275" spans="1:8">
      <c r="A2275" t="str">
        <f t="shared" si="35"/>
        <v>Lindeboom 67</v>
      </c>
      <c r="B2275" t="s">
        <v>529</v>
      </c>
      <c r="C2275" t="s">
        <v>306</v>
      </c>
      <c r="D2275">
        <v>1971</v>
      </c>
      <c r="E2275">
        <v>98</v>
      </c>
      <c r="F2275" t="s">
        <v>523</v>
      </c>
      <c r="G2275">
        <v>67</v>
      </c>
    </row>
    <row r="2276" spans="1:8">
      <c r="A2276" t="str">
        <f t="shared" si="35"/>
        <v>Lindeboom 68</v>
      </c>
      <c r="B2276" t="s">
        <v>525</v>
      </c>
      <c r="C2276" t="s">
        <v>306</v>
      </c>
      <c r="D2276">
        <v>1977</v>
      </c>
      <c r="E2276">
        <v>93</v>
      </c>
      <c r="F2276" t="s">
        <v>523</v>
      </c>
      <c r="G2276">
        <v>68</v>
      </c>
    </row>
    <row r="2277" spans="1:8">
      <c r="A2277" t="str">
        <f t="shared" si="35"/>
        <v>Lindeboom 69</v>
      </c>
      <c r="B2277" t="s">
        <v>529</v>
      </c>
      <c r="C2277" t="s">
        <v>306</v>
      </c>
      <c r="D2277">
        <v>1971</v>
      </c>
      <c r="E2277">
        <v>98</v>
      </c>
      <c r="F2277" t="s">
        <v>523</v>
      </c>
      <c r="G2277">
        <v>69</v>
      </c>
    </row>
    <row r="2278" spans="1:8">
      <c r="A2278" t="str">
        <f t="shared" si="35"/>
        <v>Lindeboom 70</v>
      </c>
      <c r="B2278" t="s">
        <v>525</v>
      </c>
      <c r="C2278" t="s">
        <v>306</v>
      </c>
      <c r="D2278">
        <v>1977</v>
      </c>
      <c r="E2278">
        <v>93</v>
      </c>
      <c r="F2278" t="s">
        <v>523</v>
      </c>
      <c r="G2278">
        <v>70</v>
      </c>
    </row>
    <row r="2279" spans="1:8">
      <c r="A2279" t="str">
        <f t="shared" si="35"/>
        <v>Lindeboom 71</v>
      </c>
      <c r="B2279" t="s">
        <v>529</v>
      </c>
      <c r="C2279" t="s">
        <v>306</v>
      </c>
      <c r="D2279">
        <v>1971</v>
      </c>
      <c r="E2279">
        <v>115</v>
      </c>
      <c r="F2279" t="s">
        <v>523</v>
      </c>
      <c r="G2279">
        <v>71</v>
      </c>
    </row>
    <row r="2280" spans="1:8">
      <c r="A2280" t="str">
        <f t="shared" si="35"/>
        <v>Lindeboom 72a</v>
      </c>
      <c r="B2280" t="s">
        <v>525</v>
      </c>
      <c r="C2280" t="s">
        <v>306</v>
      </c>
      <c r="D2280">
        <v>1971</v>
      </c>
      <c r="E2280">
        <v>22</v>
      </c>
      <c r="F2280" t="s">
        <v>523</v>
      </c>
      <c r="G2280">
        <v>72</v>
      </c>
      <c r="H2280" t="s">
        <v>304</v>
      </c>
    </row>
    <row r="2281" spans="1:8">
      <c r="A2281" t="str">
        <f t="shared" si="35"/>
        <v>Lindeboom 72b</v>
      </c>
      <c r="B2281" t="s">
        <v>525</v>
      </c>
      <c r="C2281" t="s">
        <v>306</v>
      </c>
      <c r="D2281">
        <v>1971</v>
      </c>
      <c r="E2281">
        <v>22</v>
      </c>
      <c r="F2281" t="s">
        <v>523</v>
      </c>
      <c r="G2281">
        <v>72</v>
      </c>
      <c r="H2281" t="s">
        <v>298</v>
      </c>
    </row>
    <row r="2282" spans="1:8">
      <c r="A2282" t="str">
        <f t="shared" si="35"/>
        <v>Lindeboom 72c</v>
      </c>
      <c r="B2282" t="s">
        <v>525</v>
      </c>
      <c r="C2282" t="s">
        <v>306</v>
      </c>
      <c r="D2282">
        <v>1971</v>
      </c>
      <c r="E2282">
        <v>20</v>
      </c>
      <c r="F2282" t="s">
        <v>523</v>
      </c>
      <c r="G2282">
        <v>72</v>
      </c>
      <c r="H2282" t="s">
        <v>299</v>
      </c>
    </row>
    <row r="2283" spans="1:8">
      <c r="A2283" t="str">
        <f t="shared" si="35"/>
        <v>Lindeboom 72d</v>
      </c>
      <c r="B2283" t="s">
        <v>525</v>
      </c>
      <c r="C2283" t="s">
        <v>306</v>
      </c>
      <c r="D2283">
        <v>1971</v>
      </c>
      <c r="E2283">
        <v>21</v>
      </c>
      <c r="F2283" t="s">
        <v>523</v>
      </c>
      <c r="G2283">
        <v>72</v>
      </c>
      <c r="H2283" t="s">
        <v>300</v>
      </c>
    </row>
    <row r="2284" spans="1:8">
      <c r="A2284" t="str">
        <f t="shared" si="35"/>
        <v>Lindeboom 72e</v>
      </c>
      <c r="B2284" t="s">
        <v>525</v>
      </c>
      <c r="C2284" t="s">
        <v>306</v>
      </c>
      <c r="D2284">
        <v>1971</v>
      </c>
      <c r="E2284">
        <v>24</v>
      </c>
      <c r="F2284" t="s">
        <v>523</v>
      </c>
      <c r="G2284">
        <v>72</v>
      </c>
      <c r="H2284" t="s">
        <v>319</v>
      </c>
    </row>
    <row r="2285" spans="1:8">
      <c r="A2285" t="str">
        <f t="shared" si="35"/>
        <v>Lindeboom 72f</v>
      </c>
      <c r="B2285" t="s">
        <v>525</v>
      </c>
      <c r="C2285" t="s">
        <v>306</v>
      </c>
      <c r="D2285">
        <v>1971</v>
      </c>
      <c r="E2285">
        <v>26</v>
      </c>
      <c r="F2285" t="s">
        <v>523</v>
      </c>
      <c r="G2285">
        <v>72</v>
      </c>
      <c r="H2285" t="s">
        <v>329</v>
      </c>
    </row>
    <row r="2286" spans="1:8">
      <c r="A2286" t="str">
        <f t="shared" si="35"/>
        <v>Lindeboom 72g</v>
      </c>
      <c r="B2286" t="s">
        <v>525</v>
      </c>
      <c r="C2286" t="s">
        <v>306</v>
      </c>
      <c r="D2286">
        <v>1992</v>
      </c>
      <c r="E2286">
        <v>23</v>
      </c>
      <c r="F2286" t="s">
        <v>523</v>
      </c>
      <c r="G2286">
        <v>72</v>
      </c>
      <c r="H2286" t="s">
        <v>330</v>
      </c>
    </row>
    <row r="2287" spans="1:8">
      <c r="A2287" t="str">
        <f t="shared" si="35"/>
        <v>Lindeboom 72h</v>
      </c>
      <c r="B2287" t="s">
        <v>525</v>
      </c>
      <c r="C2287" t="s">
        <v>306</v>
      </c>
      <c r="D2287">
        <v>1992</v>
      </c>
      <c r="E2287">
        <v>23</v>
      </c>
      <c r="F2287" t="s">
        <v>523</v>
      </c>
      <c r="G2287">
        <v>72</v>
      </c>
      <c r="H2287" t="s">
        <v>397</v>
      </c>
    </row>
    <row r="2288" spans="1:8">
      <c r="A2288" t="str">
        <f t="shared" si="35"/>
        <v>Lindeboom 72i</v>
      </c>
      <c r="B2288" t="s">
        <v>525</v>
      </c>
      <c r="C2288" t="s">
        <v>306</v>
      </c>
      <c r="D2288">
        <v>1971</v>
      </c>
      <c r="E2288">
        <v>26</v>
      </c>
      <c r="F2288" t="s">
        <v>523</v>
      </c>
      <c r="G2288">
        <v>72</v>
      </c>
      <c r="H2288" t="s">
        <v>527</v>
      </c>
    </row>
    <row r="2289" spans="1:7">
      <c r="A2289" t="str">
        <f t="shared" si="35"/>
        <v>Lindeboom 72</v>
      </c>
      <c r="B2289" t="s">
        <v>525</v>
      </c>
      <c r="C2289" t="s">
        <v>306</v>
      </c>
      <c r="D2289">
        <v>1977</v>
      </c>
      <c r="E2289">
        <v>93</v>
      </c>
      <c r="F2289" t="s">
        <v>523</v>
      </c>
      <c r="G2289">
        <v>72</v>
      </c>
    </row>
    <row r="2290" spans="1:7">
      <c r="A2290" t="str">
        <f t="shared" si="35"/>
        <v>Lindeboom 73</v>
      </c>
      <c r="B2290" t="s">
        <v>529</v>
      </c>
      <c r="C2290" t="s">
        <v>306</v>
      </c>
      <c r="D2290">
        <v>1971</v>
      </c>
      <c r="E2290">
        <v>98</v>
      </c>
      <c r="F2290" t="s">
        <v>523</v>
      </c>
      <c r="G2290">
        <v>73</v>
      </c>
    </row>
    <row r="2291" spans="1:7">
      <c r="A2291" t="str">
        <f t="shared" si="35"/>
        <v>Lindeboom 74</v>
      </c>
      <c r="B2291" t="s">
        <v>530</v>
      </c>
      <c r="C2291" t="s">
        <v>306</v>
      </c>
      <c r="D2291">
        <v>1977</v>
      </c>
      <c r="E2291">
        <v>122</v>
      </c>
      <c r="F2291" t="s">
        <v>523</v>
      </c>
      <c r="G2291">
        <v>74</v>
      </c>
    </row>
    <row r="2292" spans="1:7">
      <c r="A2292" t="str">
        <f t="shared" si="35"/>
        <v>Lindeboom 75</v>
      </c>
      <c r="B2292" t="s">
        <v>529</v>
      </c>
      <c r="C2292" t="s">
        <v>306</v>
      </c>
      <c r="D2292">
        <v>1971</v>
      </c>
      <c r="E2292">
        <v>98</v>
      </c>
      <c r="F2292" t="s">
        <v>523</v>
      </c>
      <c r="G2292">
        <v>75</v>
      </c>
    </row>
    <row r="2293" spans="1:7">
      <c r="A2293" t="str">
        <f t="shared" si="35"/>
        <v>Lindeboom 76</v>
      </c>
      <c r="B2293" t="s">
        <v>530</v>
      </c>
      <c r="C2293" t="s">
        <v>306</v>
      </c>
      <c r="D2293">
        <v>1977</v>
      </c>
      <c r="E2293">
        <v>121</v>
      </c>
      <c r="F2293" t="s">
        <v>523</v>
      </c>
      <c r="G2293">
        <v>76</v>
      </c>
    </row>
    <row r="2294" spans="1:7">
      <c r="A2294" t="str">
        <f t="shared" si="35"/>
        <v>Lindeboom 77</v>
      </c>
      <c r="B2294" t="s">
        <v>529</v>
      </c>
      <c r="C2294" t="s">
        <v>306</v>
      </c>
      <c r="D2294">
        <v>1971</v>
      </c>
      <c r="E2294">
        <v>98</v>
      </c>
      <c r="F2294" t="s">
        <v>523</v>
      </c>
      <c r="G2294">
        <v>77</v>
      </c>
    </row>
    <row r="2295" spans="1:7">
      <c r="A2295" t="str">
        <f t="shared" si="35"/>
        <v>Lindeboom 78</v>
      </c>
      <c r="B2295" t="s">
        <v>530</v>
      </c>
      <c r="C2295" t="s">
        <v>306</v>
      </c>
      <c r="D2295">
        <v>1977</v>
      </c>
      <c r="E2295">
        <v>144</v>
      </c>
      <c r="F2295" t="s">
        <v>523</v>
      </c>
      <c r="G2295">
        <v>78</v>
      </c>
    </row>
    <row r="2296" spans="1:7">
      <c r="A2296" t="str">
        <f t="shared" si="35"/>
        <v>Lindeboom 79</v>
      </c>
      <c r="B2296" t="s">
        <v>529</v>
      </c>
      <c r="C2296" t="s">
        <v>306</v>
      </c>
      <c r="D2296">
        <v>1971</v>
      </c>
      <c r="E2296">
        <v>98</v>
      </c>
      <c r="F2296" t="s">
        <v>523</v>
      </c>
      <c r="G2296">
        <v>79</v>
      </c>
    </row>
    <row r="2297" spans="1:7">
      <c r="A2297" t="str">
        <f t="shared" si="35"/>
        <v>Lindeboom 80</v>
      </c>
      <c r="B2297" t="s">
        <v>530</v>
      </c>
      <c r="C2297" t="s">
        <v>306</v>
      </c>
      <c r="D2297">
        <v>1977</v>
      </c>
      <c r="E2297">
        <v>124</v>
      </c>
      <c r="F2297" t="s">
        <v>523</v>
      </c>
      <c r="G2297">
        <v>80</v>
      </c>
    </row>
    <row r="2298" spans="1:7">
      <c r="A2298" t="str">
        <f t="shared" si="35"/>
        <v>Lindeboom 81</v>
      </c>
      <c r="B2298" t="s">
        <v>531</v>
      </c>
      <c r="C2298" t="s">
        <v>306</v>
      </c>
      <c r="D2298">
        <v>1971</v>
      </c>
      <c r="E2298">
        <v>98</v>
      </c>
      <c r="F2298" t="s">
        <v>523</v>
      </c>
      <c r="G2298">
        <v>81</v>
      </c>
    </row>
    <row r="2299" spans="1:7">
      <c r="A2299" t="str">
        <f t="shared" si="35"/>
        <v>Lindeboom 82</v>
      </c>
      <c r="B2299" t="s">
        <v>530</v>
      </c>
      <c r="C2299" t="s">
        <v>306</v>
      </c>
      <c r="D2299">
        <v>1977</v>
      </c>
      <c r="E2299">
        <v>127</v>
      </c>
      <c r="F2299" t="s">
        <v>523</v>
      </c>
      <c r="G2299">
        <v>82</v>
      </c>
    </row>
    <row r="2300" spans="1:7">
      <c r="A2300" t="str">
        <f t="shared" si="35"/>
        <v>Lindeboom 83</v>
      </c>
      <c r="B2300" t="s">
        <v>531</v>
      </c>
      <c r="C2300" t="s">
        <v>306</v>
      </c>
      <c r="D2300">
        <v>1971</v>
      </c>
      <c r="E2300">
        <v>98</v>
      </c>
      <c r="F2300" t="s">
        <v>523</v>
      </c>
      <c r="G2300">
        <v>83</v>
      </c>
    </row>
    <row r="2301" spans="1:7">
      <c r="A2301" t="str">
        <f t="shared" si="35"/>
        <v>Lindeboom 84</v>
      </c>
      <c r="B2301" t="s">
        <v>530</v>
      </c>
      <c r="C2301" t="s">
        <v>306</v>
      </c>
      <c r="D2301">
        <v>1977</v>
      </c>
      <c r="E2301">
        <v>126</v>
      </c>
      <c r="F2301" t="s">
        <v>523</v>
      </c>
      <c r="G2301">
        <v>84</v>
      </c>
    </row>
    <row r="2302" spans="1:7">
      <c r="A2302" t="str">
        <f t="shared" si="35"/>
        <v>Lindeboom 85</v>
      </c>
      <c r="B2302" t="s">
        <v>531</v>
      </c>
      <c r="C2302" t="s">
        <v>306</v>
      </c>
      <c r="D2302">
        <v>1971</v>
      </c>
      <c r="E2302">
        <v>98</v>
      </c>
      <c r="F2302" t="s">
        <v>523</v>
      </c>
      <c r="G2302">
        <v>85</v>
      </c>
    </row>
    <row r="2303" spans="1:7">
      <c r="A2303" t="str">
        <f t="shared" si="35"/>
        <v>Lindeboom 86</v>
      </c>
      <c r="B2303" t="s">
        <v>530</v>
      </c>
      <c r="C2303" t="s">
        <v>306</v>
      </c>
      <c r="D2303">
        <v>1977</v>
      </c>
      <c r="E2303">
        <v>128</v>
      </c>
      <c r="F2303" t="s">
        <v>523</v>
      </c>
      <c r="G2303">
        <v>86</v>
      </c>
    </row>
    <row r="2304" spans="1:7">
      <c r="A2304" t="str">
        <f t="shared" si="35"/>
        <v>Lindeboom 87</v>
      </c>
      <c r="B2304" t="s">
        <v>531</v>
      </c>
      <c r="C2304" t="s">
        <v>306</v>
      </c>
      <c r="D2304">
        <v>1971</v>
      </c>
      <c r="E2304">
        <v>98</v>
      </c>
      <c r="F2304" t="s">
        <v>523</v>
      </c>
      <c r="G2304">
        <v>87</v>
      </c>
    </row>
    <row r="2305" spans="1:7">
      <c r="A2305" t="str">
        <f t="shared" si="35"/>
        <v>Lindeboom 88</v>
      </c>
      <c r="B2305" t="s">
        <v>530</v>
      </c>
      <c r="C2305" t="s">
        <v>306</v>
      </c>
      <c r="D2305">
        <v>1977</v>
      </c>
      <c r="E2305">
        <v>126</v>
      </c>
      <c r="F2305" t="s">
        <v>523</v>
      </c>
      <c r="G2305">
        <v>88</v>
      </c>
    </row>
    <row r="2306" spans="1:7">
      <c r="A2306" t="str">
        <f t="shared" ref="A2306:A2369" si="36">CONCATENATE(F2306," ",G2306,H2306)</f>
        <v>Lindeboom 89</v>
      </c>
      <c r="B2306" t="s">
        <v>531</v>
      </c>
      <c r="C2306" t="s">
        <v>306</v>
      </c>
      <c r="D2306">
        <v>1971</v>
      </c>
      <c r="E2306">
        <v>98</v>
      </c>
      <c r="F2306" t="s">
        <v>523</v>
      </c>
      <c r="G2306">
        <v>89</v>
      </c>
    </row>
    <row r="2307" spans="1:7">
      <c r="A2307" t="str">
        <f t="shared" si="36"/>
        <v>Lindeboom 90</v>
      </c>
      <c r="B2307" t="s">
        <v>530</v>
      </c>
      <c r="C2307" t="s">
        <v>306</v>
      </c>
      <c r="D2307">
        <v>1977</v>
      </c>
      <c r="E2307">
        <v>101</v>
      </c>
      <c r="F2307" t="s">
        <v>523</v>
      </c>
      <c r="G2307">
        <v>90</v>
      </c>
    </row>
    <row r="2308" spans="1:7">
      <c r="A2308" t="str">
        <f t="shared" si="36"/>
        <v>Lindeboom 91</v>
      </c>
      <c r="B2308" t="s">
        <v>531</v>
      </c>
      <c r="C2308" t="s">
        <v>306</v>
      </c>
      <c r="D2308">
        <v>1975</v>
      </c>
      <c r="E2308">
        <v>73</v>
      </c>
      <c r="F2308" t="s">
        <v>523</v>
      </c>
      <c r="G2308">
        <v>91</v>
      </c>
    </row>
    <row r="2309" spans="1:7">
      <c r="A2309" t="str">
        <f t="shared" si="36"/>
        <v>Lindeboom 92</v>
      </c>
      <c r="B2309" t="s">
        <v>530</v>
      </c>
      <c r="C2309" t="s">
        <v>306</v>
      </c>
      <c r="D2309">
        <v>1977</v>
      </c>
      <c r="E2309">
        <v>128</v>
      </c>
      <c r="F2309" t="s">
        <v>523</v>
      </c>
      <c r="G2309">
        <v>92</v>
      </c>
    </row>
    <row r="2310" spans="1:7">
      <c r="A2310" t="str">
        <f t="shared" si="36"/>
        <v>Lindeboom 93</v>
      </c>
      <c r="B2310" t="s">
        <v>531</v>
      </c>
      <c r="C2310" t="s">
        <v>306</v>
      </c>
      <c r="D2310">
        <v>1975</v>
      </c>
      <c r="E2310">
        <v>69</v>
      </c>
      <c r="F2310" t="s">
        <v>523</v>
      </c>
      <c r="G2310">
        <v>93</v>
      </c>
    </row>
    <row r="2311" spans="1:7">
      <c r="A2311" t="str">
        <f t="shared" si="36"/>
        <v>Lindeboom 94</v>
      </c>
      <c r="B2311" t="s">
        <v>530</v>
      </c>
      <c r="C2311" t="s">
        <v>306</v>
      </c>
      <c r="D2311">
        <v>1977</v>
      </c>
      <c r="E2311">
        <v>126</v>
      </c>
      <c r="F2311" t="s">
        <v>523</v>
      </c>
      <c r="G2311">
        <v>94</v>
      </c>
    </row>
    <row r="2312" spans="1:7">
      <c r="A2312" t="str">
        <f t="shared" si="36"/>
        <v>Lindeboom 95</v>
      </c>
      <c r="B2312" t="s">
        <v>531</v>
      </c>
      <c r="C2312" t="s">
        <v>306</v>
      </c>
      <c r="D2312">
        <v>1975</v>
      </c>
      <c r="E2312">
        <v>69</v>
      </c>
      <c r="F2312" t="s">
        <v>523</v>
      </c>
      <c r="G2312">
        <v>95</v>
      </c>
    </row>
    <row r="2313" spans="1:7">
      <c r="A2313" t="str">
        <f t="shared" si="36"/>
        <v>Lindeboom 96</v>
      </c>
      <c r="B2313" t="s">
        <v>530</v>
      </c>
      <c r="C2313" t="s">
        <v>306</v>
      </c>
      <c r="D2313">
        <v>1977</v>
      </c>
      <c r="E2313">
        <v>123</v>
      </c>
      <c r="F2313" t="s">
        <v>523</v>
      </c>
      <c r="G2313">
        <v>96</v>
      </c>
    </row>
    <row r="2314" spans="1:7">
      <c r="A2314" t="str">
        <f t="shared" si="36"/>
        <v>Lindeboom 97</v>
      </c>
      <c r="B2314" t="s">
        <v>531</v>
      </c>
      <c r="C2314" t="s">
        <v>306</v>
      </c>
      <c r="D2314">
        <v>1975</v>
      </c>
      <c r="E2314">
        <v>69</v>
      </c>
      <c r="F2314" t="s">
        <v>523</v>
      </c>
      <c r="G2314">
        <v>97</v>
      </c>
    </row>
    <row r="2315" spans="1:7">
      <c r="A2315" t="str">
        <f t="shared" si="36"/>
        <v>Lindeboom 98</v>
      </c>
      <c r="B2315" t="s">
        <v>530</v>
      </c>
      <c r="C2315" t="s">
        <v>306</v>
      </c>
      <c r="D2315">
        <v>1977</v>
      </c>
      <c r="E2315">
        <v>123</v>
      </c>
      <c r="F2315" t="s">
        <v>523</v>
      </c>
      <c r="G2315">
        <v>98</v>
      </c>
    </row>
    <row r="2316" spans="1:7">
      <c r="A2316" t="str">
        <f t="shared" si="36"/>
        <v>Lindeboom 99</v>
      </c>
      <c r="B2316" t="s">
        <v>531</v>
      </c>
      <c r="C2316" t="s">
        <v>306</v>
      </c>
      <c r="D2316">
        <v>1971</v>
      </c>
      <c r="E2316">
        <v>98</v>
      </c>
      <c r="F2316" t="s">
        <v>523</v>
      </c>
      <c r="G2316">
        <v>99</v>
      </c>
    </row>
    <row r="2317" spans="1:7">
      <c r="A2317" t="str">
        <f t="shared" si="36"/>
        <v>Lindeboom 100</v>
      </c>
      <c r="B2317" t="s">
        <v>530</v>
      </c>
      <c r="C2317" t="s">
        <v>306</v>
      </c>
      <c r="D2317">
        <v>1977</v>
      </c>
      <c r="E2317">
        <v>122</v>
      </c>
      <c r="F2317" t="s">
        <v>523</v>
      </c>
      <c r="G2317">
        <v>100</v>
      </c>
    </row>
    <row r="2318" spans="1:7">
      <c r="A2318" t="str">
        <f t="shared" si="36"/>
        <v>Lindeboom 101</v>
      </c>
      <c r="B2318" t="s">
        <v>531</v>
      </c>
      <c r="C2318" t="s">
        <v>306</v>
      </c>
      <c r="D2318">
        <v>1971</v>
      </c>
      <c r="E2318">
        <v>98</v>
      </c>
      <c r="F2318" t="s">
        <v>523</v>
      </c>
      <c r="G2318">
        <v>101</v>
      </c>
    </row>
    <row r="2319" spans="1:7">
      <c r="A2319" t="str">
        <f t="shared" si="36"/>
        <v>Lindeboom 102</v>
      </c>
      <c r="B2319" t="s">
        <v>530</v>
      </c>
      <c r="C2319" t="s">
        <v>306</v>
      </c>
      <c r="D2319">
        <v>1977</v>
      </c>
      <c r="E2319">
        <v>122</v>
      </c>
      <c r="F2319" t="s">
        <v>523</v>
      </c>
      <c r="G2319">
        <v>102</v>
      </c>
    </row>
    <row r="2320" spans="1:7">
      <c r="A2320" t="str">
        <f t="shared" si="36"/>
        <v>Lindeboom 103</v>
      </c>
      <c r="B2320" t="s">
        <v>531</v>
      </c>
      <c r="C2320" t="s">
        <v>306</v>
      </c>
      <c r="D2320">
        <v>1971</v>
      </c>
      <c r="E2320">
        <v>98</v>
      </c>
      <c r="F2320" t="s">
        <v>523</v>
      </c>
      <c r="G2320">
        <v>103</v>
      </c>
    </row>
    <row r="2321" spans="1:8">
      <c r="A2321" t="str">
        <f t="shared" si="36"/>
        <v>Lindeboom 104</v>
      </c>
      <c r="B2321" t="s">
        <v>530</v>
      </c>
      <c r="C2321" t="s">
        <v>306</v>
      </c>
      <c r="D2321">
        <v>1977</v>
      </c>
      <c r="E2321">
        <v>129</v>
      </c>
      <c r="F2321" t="s">
        <v>523</v>
      </c>
      <c r="G2321">
        <v>104</v>
      </c>
    </row>
    <row r="2322" spans="1:8">
      <c r="A2322" t="str">
        <f t="shared" si="36"/>
        <v>Lindeboom 105</v>
      </c>
      <c r="B2322" t="s">
        <v>531</v>
      </c>
      <c r="C2322" t="s">
        <v>306</v>
      </c>
      <c r="D2322">
        <v>1971</v>
      </c>
      <c r="E2322">
        <v>98</v>
      </c>
      <c r="F2322" t="s">
        <v>523</v>
      </c>
      <c r="G2322">
        <v>105</v>
      </c>
    </row>
    <row r="2323" spans="1:8">
      <c r="A2323" t="str">
        <f t="shared" si="36"/>
        <v>Lindeboom 106</v>
      </c>
      <c r="B2323" t="s">
        <v>530</v>
      </c>
      <c r="C2323" t="s">
        <v>306</v>
      </c>
      <c r="D2323">
        <v>1977</v>
      </c>
      <c r="E2323">
        <v>120</v>
      </c>
      <c r="F2323" t="s">
        <v>523</v>
      </c>
      <c r="G2323">
        <v>106</v>
      </c>
    </row>
    <row r="2324" spans="1:8">
      <c r="A2324" t="str">
        <f t="shared" si="36"/>
        <v>Lindeboom 107</v>
      </c>
      <c r="B2324" t="s">
        <v>532</v>
      </c>
      <c r="C2324" t="s">
        <v>306</v>
      </c>
      <c r="D2324">
        <v>1971</v>
      </c>
      <c r="E2324">
        <v>98</v>
      </c>
      <c r="F2324" t="s">
        <v>523</v>
      </c>
      <c r="G2324">
        <v>107</v>
      </c>
    </row>
    <row r="2325" spans="1:8">
      <c r="A2325" t="str">
        <f t="shared" si="36"/>
        <v>Lindeboom 108</v>
      </c>
      <c r="B2325" t="s">
        <v>530</v>
      </c>
      <c r="C2325" t="s">
        <v>306</v>
      </c>
      <c r="D2325">
        <v>1977</v>
      </c>
      <c r="E2325">
        <v>123</v>
      </c>
      <c r="F2325" t="s">
        <v>523</v>
      </c>
      <c r="G2325">
        <v>108</v>
      </c>
    </row>
    <row r="2326" spans="1:8">
      <c r="A2326" t="str">
        <f t="shared" si="36"/>
        <v>Lindeboom 109</v>
      </c>
      <c r="B2326" t="s">
        <v>532</v>
      </c>
      <c r="C2326" t="s">
        <v>306</v>
      </c>
      <c r="D2326">
        <v>1971</v>
      </c>
      <c r="E2326">
        <v>98</v>
      </c>
      <c r="F2326" t="s">
        <v>523</v>
      </c>
      <c r="G2326">
        <v>109</v>
      </c>
    </row>
    <row r="2327" spans="1:8">
      <c r="A2327" t="str">
        <f t="shared" si="36"/>
        <v>Lindeboom 110</v>
      </c>
      <c r="B2327" t="s">
        <v>530</v>
      </c>
      <c r="C2327" t="s">
        <v>306</v>
      </c>
      <c r="D2327">
        <v>1977</v>
      </c>
      <c r="E2327">
        <v>122</v>
      </c>
      <c r="F2327" t="s">
        <v>523</v>
      </c>
      <c r="G2327">
        <v>110</v>
      </c>
    </row>
    <row r="2328" spans="1:8">
      <c r="A2328" t="str">
        <f t="shared" si="36"/>
        <v>Lindeboom 111</v>
      </c>
      <c r="B2328" t="s">
        <v>532</v>
      </c>
      <c r="C2328" t="s">
        <v>306</v>
      </c>
      <c r="D2328">
        <v>1971</v>
      </c>
      <c r="E2328">
        <v>98</v>
      </c>
      <c r="F2328" t="s">
        <v>523</v>
      </c>
      <c r="G2328">
        <v>111</v>
      </c>
    </row>
    <row r="2329" spans="1:8">
      <c r="A2329" t="str">
        <f t="shared" si="36"/>
        <v>Lindeboom 112</v>
      </c>
      <c r="B2329" t="s">
        <v>530</v>
      </c>
      <c r="C2329" t="s">
        <v>306</v>
      </c>
      <c r="D2329">
        <v>1977</v>
      </c>
      <c r="E2329">
        <v>103</v>
      </c>
      <c r="F2329" t="s">
        <v>523</v>
      </c>
      <c r="G2329">
        <v>112</v>
      </c>
    </row>
    <row r="2330" spans="1:8">
      <c r="A2330" t="str">
        <f t="shared" si="36"/>
        <v>Lindeboom 113</v>
      </c>
      <c r="B2330" t="s">
        <v>532</v>
      </c>
      <c r="C2330" t="s">
        <v>306</v>
      </c>
      <c r="D2330">
        <v>1971</v>
      </c>
      <c r="E2330">
        <v>98</v>
      </c>
      <c r="F2330" t="s">
        <v>523</v>
      </c>
      <c r="G2330">
        <v>113</v>
      </c>
    </row>
    <row r="2331" spans="1:8">
      <c r="A2331" t="str">
        <f t="shared" si="36"/>
        <v>Lindeboom 114a</v>
      </c>
      <c r="B2331" t="s">
        <v>530</v>
      </c>
      <c r="C2331" t="s">
        <v>306</v>
      </c>
      <c r="D2331">
        <v>1992</v>
      </c>
      <c r="E2331">
        <v>49</v>
      </c>
      <c r="F2331" t="s">
        <v>523</v>
      </c>
      <c r="G2331">
        <v>114</v>
      </c>
      <c r="H2331" t="s">
        <v>304</v>
      </c>
    </row>
    <row r="2332" spans="1:8">
      <c r="A2332" t="str">
        <f t="shared" si="36"/>
        <v>Lindeboom 114b</v>
      </c>
      <c r="B2332" t="s">
        <v>530</v>
      </c>
      <c r="C2332" t="s">
        <v>306</v>
      </c>
      <c r="D2332">
        <v>1971</v>
      </c>
      <c r="E2332">
        <v>23</v>
      </c>
      <c r="F2332" t="s">
        <v>523</v>
      </c>
      <c r="G2332">
        <v>114</v>
      </c>
      <c r="H2332" t="s">
        <v>298</v>
      </c>
    </row>
    <row r="2333" spans="1:8">
      <c r="A2333" t="str">
        <f t="shared" si="36"/>
        <v>Lindeboom 114c</v>
      </c>
      <c r="B2333" t="s">
        <v>530</v>
      </c>
      <c r="C2333" t="s">
        <v>306</v>
      </c>
      <c r="D2333">
        <v>1971</v>
      </c>
      <c r="E2333">
        <v>23</v>
      </c>
      <c r="F2333" t="s">
        <v>523</v>
      </c>
      <c r="G2333">
        <v>114</v>
      </c>
      <c r="H2333" t="s">
        <v>299</v>
      </c>
    </row>
    <row r="2334" spans="1:8">
      <c r="A2334" t="str">
        <f t="shared" si="36"/>
        <v>Lindeboom 114d</v>
      </c>
      <c r="B2334" t="s">
        <v>530</v>
      </c>
      <c r="C2334" t="s">
        <v>306</v>
      </c>
      <c r="D2334">
        <v>1971</v>
      </c>
      <c r="E2334">
        <v>24</v>
      </c>
      <c r="F2334" t="s">
        <v>523</v>
      </c>
      <c r="G2334">
        <v>114</v>
      </c>
      <c r="H2334" t="s">
        <v>300</v>
      </c>
    </row>
    <row r="2335" spans="1:8">
      <c r="A2335" t="str">
        <f t="shared" si="36"/>
        <v>Lindeboom 114e</v>
      </c>
      <c r="B2335" t="s">
        <v>530</v>
      </c>
      <c r="C2335" t="s">
        <v>306</v>
      </c>
      <c r="D2335">
        <v>1971</v>
      </c>
      <c r="E2335">
        <v>20</v>
      </c>
      <c r="F2335" t="s">
        <v>523</v>
      </c>
      <c r="G2335">
        <v>114</v>
      </c>
      <c r="H2335" t="s">
        <v>319</v>
      </c>
    </row>
    <row r="2336" spans="1:8">
      <c r="A2336" t="str">
        <f t="shared" si="36"/>
        <v>Lindeboom 114f</v>
      </c>
      <c r="B2336" t="s">
        <v>530</v>
      </c>
      <c r="C2336" t="s">
        <v>306</v>
      </c>
      <c r="D2336">
        <v>1971</v>
      </c>
      <c r="E2336">
        <v>18</v>
      </c>
      <c r="F2336" t="s">
        <v>523</v>
      </c>
      <c r="G2336">
        <v>114</v>
      </c>
      <c r="H2336" t="s">
        <v>329</v>
      </c>
    </row>
    <row r="2337" spans="1:8">
      <c r="A2337" t="str">
        <f t="shared" si="36"/>
        <v>Lindeboom 114g</v>
      </c>
      <c r="B2337" t="s">
        <v>530</v>
      </c>
      <c r="C2337" t="s">
        <v>306</v>
      </c>
      <c r="D2337">
        <v>1971</v>
      </c>
      <c r="E2337">
        <v>19</v>
      </c>
      <c r="F2337" t="s">
        <v>523</v>
      </c>
      <c r="G2337">
        <v>114</v>
      </c>
      <c r="H2337" t="s">
        <v>330</v>
      </c>
    </row>
    <row r="2338" spans="1:8">
      <c r="A2338" t="str">
        <f t="shared" si="36"/>
        <v>Lindeboom 114h</v>
      </c>
      <c r="B2338" t="s">
        <v>530</v>
      </c>
      <c r="C2338" t="s">
        <v>306</v>
      </c>
      <c r="D2338">
        <v>1971</v>
      </c>
      <c r="E2338">
        <v>18</v>
      </c>
      <c r="F2338" t="s">
        <v>523</v>
      </c>
      <c r="G2338">
        <v>114</v>
      </c>
      <c r="H2338" t="s">
        <v>397</v>
      </c>
    </row>
    <row r="2339" spans="1:8">
      <c r="A2339" t="str">
        <f t="shared" si="36"/>
        <v>Lindeboom 114i</v>
      </c>
      <c r="B2339" t="s">
        <v>530</v>
      </c>
      <c r="C2339" t="s">
        <v>306</v>
      </c>
      <c r="D2339">
        <v>1971</v>
      </c>
      <c r="E2339">
        <v>19</v>
      </c>
      <c r="F2339" t="s">
        <v>523</v>
      </c>
      <c r="G2339">
        <v>114</v>
      </c>
      <c r="H2339" t="s">
        <v>527</v>
      </c>
    </row>
    <row r="2340" spans="1:8">
      <c r="A2340" t="str">
        <f t="shared" si="36"/>
        <v>Lindeboom 114j</v>
      </c>
      <c r="B2340" t="s">
        <v>530</v>
      </c>
      <c r="C2340" t="s">
        <v>306</v>
      </c>
      <c r="D2340">
        <v>1971</v>
      </c>
      <c r="E2340">
        <v>22</v>
      </c>
      <c r="F2340" t="s">
        <v>523</v>
      </c>
      <c r="G2340">
        <v>114</v>
      </c>
      <c r="H2340" t="s">
        <v>528</v>
      </c>
    </row>
    <row r="2341" spans="1:8">
      <c r="A2341" t="str">
        <f t="shared" si="36"/>
        <v>Lindeboom 114</v>
      </c>
      <c r="B2341" t="s">
        <v>530</v>
      </c>
      <c r="C2341" t="s">
        <v>306</v>
      </c>
      <c r="D2341">
        <v>1977</v>
      </c>
      <c r="E2341">
        <v>102</v>
      </c>
      <c r="F2341" t="s">
        <v>523</v>
      </c>
      <c r="G2341">
        <v>114</v>
      </c>
    </row>
    <row r="2342" spans="1:8">
      <c r="A2342" t="str">
        <f t="shared" si="36"/>
        <v>Lindeboom 115</v>
      </c>
      <c r="B2342" t="s">
        <v>532</v>
      </c>
      <c r="C2342" t="s">
        <v>306</v>
      </c>
      <c r="D2342">
        <v>1971</v>
      </c>
      <c r="E2342">
        <v>98</v>
      </c>
      <c r="F2342" t="s">
        <v>523</v>
      </c>
      <c r="G2342">
        <v>115</v>
      </c>
    </row>
    <row r="2343" spans="1:8">
      <c r="A2343" t="str">
        <f t="shared" si="36"/>
        <v>Lindeboom 117</v>
      </c>
      <c r="B2343" t="s">
        <v>532</v>
      </c>
      <c r="C2343" t="s">
        <v>306</v>
      </c>
      <c r="D2343">
        <v>1971</v>
      </c>
      <c r="E2343">
        <v>98</v>
      </c>
      <c r="F2343" t="s">
        <v>523</v>
      </c>
      <c r="G2343">
        <v>117</v>
      </c>
    </row>
    <row r="2344" spans="1:8">
      <c r="A2344" t="str">
        <f t="shared" si="36"/>
        <v>Lindeboom 119</v>
      </c>
      <c r="B2344" t="s">
        <v>532</v>
      </c>
      <c r="C2344" t="s">
        <v>306</v>
      </c>
      <c r="D2344">
        <v>1971</v>
      </c>
      <c r="E2344">
        <v>98</v>
      </c>
      <c r="F2344" t="s">
        <v>523</v>
      </c>
      <c r="G2344">
        <v>119</v>
      </c>
    </row>
    <row r="2345" spans="1:8">
      <c r="A2345" t="str">
        <f t="shared" si="36"/>
        <v>Lindeboom 121</v>
      </c>
      <c r="B2345" t="s">
        <v>532</v>
      </c>
      <c r="C2345" t="s">
        <v>306</v>
      </c>
      <c r="D2345">
        <v>1971</v>
      </c>
      <c r="E2345">
        <v>98</v>
      </c>
      <c r="F2345" t="s">
        <v>523</v>
      </c>
      <c r="G2345">
        <v>121</v>
      </c>
    </row>
    <row r="2346" spans="1:8">
      <c r="A2346" t="str">
        <f t="shared" si="36"/>
        <v>Lindeboom 123</v>
      </c>
      <c r="B2346" t="s">
        <v>532</v>
      </c>
      <c r="C2346" t="s">
        <v>306</v>
      </c>
      <c r="D2346">
        <v>1971</v>
      </c>
      <c r="E2346">
        <v>98</v>
      </c>
      <c r="F2346" t="s">
        <v>523</v>
      </c>
      <c r="G2346">
        <v>123</v>
      </c>
    </row>
    <row r="2347" spans="1:8">
      <c r="A2347" t="str">
        <f t="shared" si="36"/>
        <v>Lindeboom 125</v>
      </c>
      <c r="B2347" t="s">
        <v>532</v>
      </c>
      <c r="C2347" t="s">
        <v>306</v>
      </c>
      <c r="D2347">
        <v>1971</v>
      </c>
      <c r="E2347">
        <v>98</v>
      </c>
      <c r="F2347" t="s">
        <v>523</v>
      </c>
      <c r="G2347">
        <v>125</v>
      </c>
    </row>
    <row r="2348" spans="1:8">
      <c r="A2348" t="str">
        <f t="shared" si="36"/>
        <v>Lindeboom 127</v>
      </c>
      <c r="B2348" t="s">
        <v>532</v>
      </c>
      <c r="C2348" t="s">
        <v>306</v>
      </c>
      <c r="D2348">
        <v>1971</v>
      </c>
      <c r="E2348">
        <v>98</v>
      </c>
      <c r="F2348" t="s">
        <v>523</v>
      </c>
      <c r="G2348">
        <v>127</v>
      </c>
    </row>
    <row r="2349" spans="1:8">
      <c r="A2349" t="str">
        <f t="shared" si="36"/>
        <v>Lindeboom 129</v>
      </c>
      <c r="B2349" t="s">
        <v>533</v>
      </c>
      <c r="C2349" t="s">
        <v>306</v>
      </c>
      <c r="D2349">
        <v>1971</v>
      </c>
      <c r="E2349">
        <v>98</v>
      </c>
      <c r="F2349" t="s">
        <v>523</v>
      </c>
      <c r="G2349">
        <v>129</v>
      </c>
    </row>
    <row r="2350" spans="1:8">
      <c r="A2350" t="str">
        <f t="shared" si="36"/>
        <v>Lindeboom 131</v>
      </c>
      <c r="B2350" t="s">
        <v>533</v>
      </c>
      <c r="C2350" t="s">
        <v>306</v>
      </c>
      <c r="D2350">
        <v>1971</v>
      </c>
      <c r="E2350">
        <v>98</v>
      </c>
      <c r="F2350" t="s">
        <v>523</v>
      </c>
      <c r="G2350">
        <v>131</v>
      </c>
    </row>
    <row r="2351" spans="1:8">
      <c r="A2351" t="str">
        <f t="shared" si="36"/>
        <v>Lindeboom 133</v>
      </c>
      <c r="B2351" t="s">
        <v>533</v>
      </c>
      <c r="C2351" t="s">
        <v>306</v>
      </c>
      <c r="D2351">
        <v>1971</v>
      </c>
      <c r="E2351">
        <v>98</v>
      </c>
      <c r="F2351" t="s">
        <v>523</v>
      </c>
      <c r="G2351">
        <v>133</v>
      </c>
    </row>
    <row r="2352" spans="1:8">
      <c r="A2352" t="str">
        <f t="shared" si="36"/>
        <v>Lindeboom 135</v>
      </c>
      <c r="B2352" t="s">
        <v>533</v>
      </c>
      <c r="C2352" t="s">
        <v>306</v>
      </c>
      <c r="D2352">
        <v>1971</v>
      </c>
      <c r="E2352">
        <v>98</v>
      </c>
      <c r="F2352" t="s">
        <v>523</v>
      </c>
      <c r="G2352">
        <v>135</v>
      </c>
    </row>
    <row r="2353" spans="1:8">
      <c r="A2353" t="str">
        <f t="shared" si="36"/>
        <v>Lindeboom 137</v>
      </c>
      <c r="B2353" t="s">
        <v>533</v>
      </c>
      <c r="C2353" t="s">
        <v>306</v>
      </c>
      <c r="D2353">
        <v>1971</v>
      </c>
      <c r="E2353">
        <v>98</v>
      </c>
      <c r="F2353" t="s">
        <v>523</v>
      </c>
      <c r="G2353">
        <v>137</v>
      </c>
    </row>
    <row r="2354" spans="1:8">
      <c r="A2354" t="str">
        <f t="shared" si="36"/>
        <v>Lindeboom 139</v>
      </c>
      <c r="B2354" t="s">
        <v>533</v>
      </c>
      <c r="C2354" t="s">
        <v>306</v>
      </c>
      <c r="D2354">
        <v>1971</v>
      </c>
      <c r="E2354">
        <v>98</v>
      </c>
      <c r="F2354" t="s">
        <v>523</v>
      </c>
      <c r="G2354">
        <v>139</v>
      </c>
    </row>
    <row r="2355" spans="1:8">
      <c r="A2355" t="str">
        <f t="shared" si="36"/>
        <v>Lindeboom 141</v>
      </c>
      <c r="B2355" t="s">
        <v>533</v>
      </c>
      <c r="C2355" t="s">
        <v>306</v>
      </c>
      <c r="D2355">
        <v>1971</v>
      </c>
      <c r="E2355">
        <v>98</v>
      </c>
      <c r="F2355" t="s">
        <v>523</v>
      </c>
      <c r="G2355">
        <v>141</v>
      </c>
    </row>
    <row r="2356" spans="1:8">
      <c r="A2356" t="str">
        <f t="shared" si="36"/>
        <v>Lindeboom 143</v>
      </c>
      <c r="B2356" t="s">
        <v>533</v>
      </c>
      <c r="C2356" t="s">
        <v>306</v>
      </c>
      <c r="D2356">
        <v>1971</v>
      </c>
      <c r="E2356">
        <v>98</v>
      </c>
      <c r="F2356" t="s">
        <v>523</v>
      </c>
      <c r="G2356">
        <v>143</v>
      </c>
    </row>
    <row r="2357" spans="1:8">
      <c r="A2357" t="str">
        <f t="shared" si="36"/>
        <v>Lindeboom 145</v>
      </c>
      <c r="B2357" t="s">
        <v>533</v>
      </c>
      <c r="C2357" t="s">
        <v>306</v>
      </c>
      <c r="D2357">
        <v>1971</v>
      </c>
      <c r="E2357">
        <v>98</v>
      </c>
      <c r="F2357" t="s">
        <v>523</v>
      </c>
      <c r="G2357">
        <v>145</v>
      </c>
    </row>
    <row r="2358" spans="1:8">
      <c r="A2358" t="str">
        <f t="shared" si="36"/>
        <v>Lindeboom 147</v>
      </c>
      <c r="B2358" t="s">
        <v>533</v>
      </c>
      <c r="C2358" t="s">
        <v>306</v>
      </c>
      <c r="D2358">
        <v>1971</v>
      </c>
      <c r="E2358">
        <v>98</v>
      </c>
      <c r="F2358" t="s">
        <v>523</v>
      </c>
      <c r="G2358">
        <v>147</v>
      </c>
    </row>
    <row r="2359" spans="1:8">
      <c r="A2359" t="str">
        <f t="shared" si="36"/>
        <v>Lindeboom 149</v>
      </c>
      <c r="B2359" t="s">
        <v>534</v>
      </c>
      <c r="C2359" t="s">
        <v>306</v>
      </c>
      <c r="D2359">
        <v>1975</v>
      </c>
      <c r="E2359">
        <v>72</v>
      </c>
      <c r="F2359" t="s">
        <v>523</v>
      </c>
      <c r="G2359">
        <v>149</v>
      </c>
    </row>
    <row r="2360" spans="1:8">
      <c r="A2360" t="str">
        <f t="shared" si="36"/>
        <v>Lindeboom 151a</v>
      </c>
      <c r="B2360" t="s">
        <v>534</v>
      </c>
      <c r="C2360" t="s">
        <v>306</v>
      </c>
      <c r="D2360">
        <v>1971</v>
      </c>
      <c r="E2360">
        <v>22</v>
      </c>
      <c r="F2360" t="s">
        <v>523</v>
      </c>
      <c r="G2360">
        <v>151</v>
      </c>
      <c r="H2360" t="s">
        <v>304</v>
      </c>
    </row>
    <row r="2361" spans="1:8">
      <c r="A2361" t="str">
        <f t="shared" si="36"/>
        <v>Lindeboom 151b</v>
      </c>
      <c r="B2361" t="s">
        <v>534</v>
      </c>
      <c r="C2361" t="s">
        <v>306</v>
      </c>
      <c r="D2361">
        <v>1971</v>
      </c>
      <c r="E2361">
        <v>21</v>
      </c>
      <c r="F2361" t="s">
        <v>523</v>
      </c>
      <c r="G2361">
        <v>151</v>
      </c>
      <c r="H2361" t="s">
        <v>298</v>
      </c>
    </row>
    <row r="2362" spans="1:8">
      <c r="A2362" t="str">
        <f t="shared" si="36"/>
        <v>Lindeboom 151c</v>
      </c>
      <c r="B2362" t="s">
        <v>534</v>
      </c>
      <c r="C2362" t="s">
        <v>306</v>
      </c>
      <c r="D2362">
        <v>1971</v>
      </c>
      <c r="E2362">
        <v>21</v>
      </c>
      <c r="F2362" t="s">
        <v>523</v>
      </c>
      <c r="G2362">
        <v>151</v>
      </c>
      <c r="H2362" t="s">
        <v>299</v>
      </c>
    </row>
    <row r="2363" spans="1:8">
      <c r="A2363" t="str">
        <f t="shared" si="36"/>
        <v>Lindeboom 151d</v>
      </c>
      <c r="B2363" t="s">
        <v>534</v>
      </c>
      <c r="C2363" t="s">
        <v>306</v>
      </c>
      <c r="D2363">
        <v>1971</v>
      </c>
      <c r="E2363">
        <v>20</v>
      </c>
      <c r="F2363" t="s">
        <v>523</v>
      </c>
      <c r="G2363">
        <v>151</v>
      </c>
      <c r="H2363" t="s">
        <v>300</v>
      </c>
    </row>
    <row r="2364" spans="1:8">
      <c r="A2364" t="str">
        <f t="shared" si="36"/>
        <v>Lindeboom 151e</v>
      </c>
      <c r="B2364" t="s">
        <v>534</v>
      </c>
      <c r="C2364" t="s">
        <v>306</v>
      </c>
      <c r="D2364">
        <v>1971</v>
      </c>
      <c r="E2364">
        <v>19</v>
      </c>
      <c r="F2364" t="s">
        <v>523</v>
      </c>
      <c r="G2364">
        <v>151</v>
      </c>
      <c r="H2364" t="s">
        <v>319</v>
      </c>
    </row>
    <row r="2365" spans="1:8">
      <c r="A2365" t="str">
        <f t="shared" si="36"/>
        <v>Lindeboom 151f</v>
      </c>
      <c r="B2365" t="s">
        <v>534</v>
      </c>
      <c r="C2365" t="s">
        <v>306</v>
      </c>
      <c r="D2365">
        <v>1971</v>
      </c>
      <c r="E2365">
        <v>18</v>
      </c>
      <c r="F2365" t="s">
        <v>523</v>
      </c>
      <c r="G2365">
        <v>151</v>
      </c>
      <c r="H2365" t="s">
        <v>329</v>
      </c>
    </row>
    <row r="2366" spans="1:8">
      <c r="A2366" t="str">
        <f t="shared" si="36"/>
        <v>Lindeboom 151g</v>
      </c>
      <c r="B2366" t="s">
        <v>534</v>
      </c>
      <c r="C2366" t="s">
        <v>306</v>
      </c>
      <c r="D2366">
        <v>1971</v>
      </c>
      <c r="E2366">
        <v>18</v>
      </c>
      <c r="F2366" t="s">
        <v>523</v>
      </c>
      <c r="G2366">
        <v>151</v>
      </c>
      <c r="H2366" t="s">
        <v>330</v>
      </c>
    </row>
    <row r="2367" spans="1:8">
      <c r="A2367" t="str">
        <f t="shared" si="36"/>
        <v>Lindeboom 151h</v>
      </c>
      <c r="B2367" t="s">
        <v>534</v>
      </c>
      <c r="C2367" t="s">
        <v>306</v>
      </c>
      <c r="D2367">
        <v>1971</v>
      </c>
      <c r="E2367">
        <v>18</v>
      </c>
      <c r="F2367" t="s">
        <v>523</v>
      </c>
      <c r="G2367">
        <v>151</v>
      </c>
      <c r="H2367" t="s">
        <v>397</v>
      </c>
    </row>
    <row r="2368" spans="1:8">
      <c r="A2368" t="str">
        <f t="shared" si="36"/>
        <v>Lindeboom 151i</v>
      </c>
      <c r="B2368" t="s">
        <v>534</v>
      </c>
      <c r="C2368" t="s">
        <v>306</v>
      </c>
      <c r="D2368">
        <v>1971</v>
      </c>
      <c r="E2368">
        <v>18</v>
      </c>
      <c r="F2368" t="s">
        <v>523</v>
      </c>
      <c r="G2368">
        <v>151</v>
      </c>
      <c r="H2368" t="s">
        <v>527</v>
      </c>
    </row>
    <row r="2369" spans="1:8">
      <c r="A2369" t="str">
        <f t="shared" si="36"/>
        <v>Lindeboom 151j</v>
      </c>
      <c r="B2369" t="s">
        <v>534</v>
      </c>
      <c r="C2369" t="s">
        <v>306</v>
      </c>
      <c r="D2369">
        <v>1971</v>
      </c>
      <c r="E2369">
        <v>18</v>
      </c>
      <c r="F2369" t="s">
        <v>523</v>
      </c>
      <c r="G2369">
        <v>151</v>
      </c>
      <c r="H2369" t="s">
        <v>528</v>
      </c>
    </row>
    <row r="2370" spans="1:8">
      <c r="A2370" t="str">
        <f t="shared" ref="A2370:A2433" si="37">CONCATENATE(F2370," ",G2370,H2370)</f>
        <v>Lindeboom 151k</v>
      </c>
      <c r="B2370" t="s">
        <v>534</v>
      </c>
      <c r="C2370" t="s">
        <v>306</v>
      </c>
      <c r="D2370">
        <v>1971</v>
      </c>
      <c r="E2370">
        <v>20</v>
      </c>
      <c r="F2370" t="s">
        <v>523</v>
      </c>
      <c r="G2370">
        <v>151</v>
      </c>
      <c r="H2370" t="s">
        <v>308</v>
      </c>
    </row>
    <row r="2371" spans="1:8">
      <c r="A2371" t="str">
        <f t="shared" si="37"/>
        <v>Lindeboom 151</v>
      </c>
      <c r="B2371" t="s">
        <v>534</v>
      </c>
      <c r="C2371" t="s">
        <v>306</v>
      </c>
      <c r="D2371">
        <v>1975</v>
      </c>
      <c r="E2371">
        <v>69</v>
      </c>
      <c r="F2371" t="s">
        <v>523</v>
      </c>
      <c r="G2371">
        <v>151</v>
      </c>
    </row>
    <row r="2372" spans="1:8">
      <c r="A2372" t="str">
        <f t="shared" si="37"/>
        <v>Lindeboom 153</v>
      </c>
      <c r="B2372" t="s">
        <v>534</v>
      </c>
      <c r="C2372" t="s">
        <v>306</v>
      </c>
      <c r="D2372">
        <v>1975</v>
      </c>
      <c r="E2372">
        <v>69</v>
      </c>
      <c r="F2372" t="s">
        <v>523</v>
      </c>
      <c r="G2372">
        <v>153</v>
      </c>
    </row>
    <row r="2373" spans="1:8">
      <c r="A2373" t="str">
        <f t="shared" si="37"/>
        <v>Lindeboom 155</v>
      </c>
      <c r="B2373" t="s">
        <v>534</v>
      </c>
      <c r="C2373" t="s">
        <v>306</v>
      </c>
      <c r="D2373">
        <v>1975</v>
      </c>
      <c r="E2373">
        <v>69</v>
      </c>
      <c r="F2373" t="s">
        <v>523</v>
      </c>
      <c r="G2373">
        <v>155</v>
      </c>
    </row>
    <row r="2374" spans="1:8">
      <c r="A2374" t="str">
        <f t="shared" si="37"/>
        <v>Lindeboom 157</v>
      </c>
      <c r="B2374" t="s">
        <v>534</v>
      </c>
      <c r="C2374" t="s">
        <v>306</v>
      </c>
      <c r="D2374">
        <v>1971</v>
      </c>
      <c r="E2374">
        <v>98</v>
      </c>
      <c r="F2374" t="s">
        <v>523</v>
      </c>
      <c r="G2374">
        <v>157</v>
      </c>
    </row>
    <row r="2375" spans="1:8">
      <c r="A2375" t="str">
        <f t="shared" si="37"/>
        <v>Lindeboom 159</v>
      </c>
      <c r="B2375" t="s">
        <v>534</v>
      </c>
      <c r="C2375" t="s">
        <v>306</v>
      </c>
      <c r="D2375">
        <v>1971</v>
      </c>
      <c r="E2375">
        <v>98</v>
      </c>
      <c r="F2375" t="s">
        <v>523</v>
      </c>
      <c r="G2375">
        <v>159</v>
      </c>
    </row>
    <row r="2376" spans="1:8">
      <c r="A2376" t="str">
        <f t="shared" si="37"/>
        <v>Lindeboom 161</v>
      </c>
      <c r="B2376" t="s">
        <v>534</v>
      </c>
      <c r="C2376" t="s">
        <v>306</v>
      </c>
      <c r="D2376">
        <v>1971</v>
      </c>
      <c r="E2376">
        <v>98</v>
      </c>
      <c r="F2376" t="s">
        <v>523</v>
      </c>
      <c r="G2376">
        <v>161</v>
      </c>
    </row>
    <row r="2377" spans="1:8">
      <c r="A2377" t="str">
        <f t="shared" si="37"/>
        <v>Lindeboom 163</v>
      </c>
      <c r="B2377" t="s">
        <v>534</v>
      </c>
      <c r="C2377" t="s">
        <v>306</v>
      </c>
      <c r="D2377">
        <v>1971</v>
      </c>
      <c r="E2377">
        <v>98</v>
      </c>
      <c r="F2377" t="s">
        <v>523</v>
      </c>
      <c r="G2377">
        <v>163</v>
      </c>
    </row>
    <row r="2378" spans="1:8">
      <c r="A2378" t="str">
        <f t="shared" si="37"/>
        <v>Lindeboom 165</v>
      </c>
      <c r="B2378" t="s">
        <v>534</v>
      </c>
      <c r="C2378" t="s">
        <v>306</v>
      </c>
      <c r="D2378">
        <v>1971</v>
      </c>
      <c r="E2378">
        <v>98</v>
      </c>
      <c r="F2378" t="s">
        <v>523</v>
      </c>
      <c r="G2378">
        <v>165</v>
      </c>
    </row>
    <row r="2379" spans="1:8">
      <c r="A2379" t="str">
        <f t="shared" si="37"/>
        <v>Lindeboom 167</v>
      </c>
      <c r="B2379" t="s">
        <v>535</v>
      </c>
      <c r="C2379" t="s">
        <v>306</v>
      </c>
      <c r="D2379">
        <v>1971</v>
      </c>
      <c r="E2379">
        <v>98</v>
      </c>
      <c r="F2379" t="s">
        <v>523</v>
      </c>
      <c r="G2379">
        <v>167</v>
      </c>
    </row>
    <row r="2380" spans="1:8">
      <c r="A2380" t="str">
        <f t="shared" si="37"/>
        <v>Lindeboom 169</v>
      </c>
      <c r="B2380" t="s">
        <v>535</v>
      </c>
      <c r="C2380" t="s">
        <v>306</v>
      </c>
      <c r="D2380">
        <v>1971</v>
      </c>
      <c r="E2380">
        <v>98</v>
      </c>
      <c r="F2380" t="s">
        <v>523</v>
      </c>
      <c r="G2380">
        <v>169</v>
      </c>
    </row>
    <row r="2381" spans="1:8">
      <c r="A2381" t="str">
        <f t="shared" si="37"/>
        <v>Lindeboom 171</v>
      </c>
      <c r="B2381" t="s">
        <v>535</v>
      </c>
      <c r="C2381" t="s">
        <v>306</v>
      </c>
      <c r="D2381">
        <v>1971</v>
      </c>
      <c r="E2381">
        <v>98</v>
      </c>
      <c r="F2381" t="s">
        <v>523</v>
      </c>
      <c r="G2381">
        <v>171</v>
      </c>
    </row>
    <row r="2382" spans="1:8">
      <c r="A2382" t="str">
        <f t="shared" si="37"/>
        <v>Lindeboom 173</v>
      </c>
      <c r="B2382" t="s">
        <v>535</v>
      </c>
      <c r="C2382" t="s">
        <v>306</v>
      </c>
      <c r="D2382">
        <v>1971</v>
      </c>
      <c r="E2382">
        <v>98</v>
      </c>
      <c r="F2382" t="s">
        <v>523</v>
      </c>
      <c r="G2382">
        <v>173</v>
      </c>
    </row>
    <row r="2383" spans="1:8">
      <c r="A2383" t="str">
        <f t="shared" si="37"/>
        <v>Lindeboom 175</v>
      </c>
      <c r="B2383" t="s">
        <v>535</v>
      </c>
      <c r="C2383" t="s">
        <v>306</v>
      </c>
      <c r="D2383">
        <v>1971</v>
      </c>
      <c r="E2383">
        <v>98</v>
      </c>
      <c r="F2383" t="s">
        <v>523</v>
      </c>
      <c r="G2383">
        <v>175</v>
      </c>
    </row>
    <row r="2384" spans="1:8">
      <c r="A2384" t="str">
        <f t="shared" si="37"/>
        <v>Lindeboom 177</v>
      </c>
      <c r="B2384" t="s">
        <v>535</v>
      </c>
      <c r="C2384" t="s">
        <v>306</v>
      </c>
      <c r="D2384">
        <v>1971</v>
      </c>
      <c r="E2384">
        <v>98</v>
      </c>
      <c r="F2384" t="s">
        <v>523</v>
      </c>
      <c r="G2384">
        <v>177</v>
      </c>
    </row>
    <row r="2385" spans="1:7">
      <c r="A2385" t="str">
        <f t="shared" si="37"/>
        <v>Lindeboom 179</v>
      </c>
      <c r="B2385" t="s">
        <v>535</v>
      </c>
      <c r="C2385" t="s">
        <v>306</v>
      </c>
      <c r="D2385">
        <v>1971</v>
      </c>
      <c r="E2385">
        <v>98</v>
      </c>
      <c r="F2385" t="s">
        <v>523</v>
      </c>
      <c r="G2385">
        <v>179</v>
      </c>
    </row>
    <row r="2386" spans="1:7">
      <c r="A2386" t="str">
        <f t="shared" si="37"/>
        <v>Lindeboom 181</v>
      </c>
      <c r="B2386" t="s">
        <v>535</v>
      </c>
      <c r="C2386" t="s">
        <v>306</v>
      </c>
      <c r="D2386">
        <v>1971</v>
      </c>
      <c r="E2386">
        <v>98</v>
      </c>
      <c r="F2386" t="s">
        <v>523</v>
      </c>
      <c r="G2386">
        <v>181</v>
      </c>
    </row>
    <row r="2387" spans="1:7">
      <c r="A2387" t="str">
        <f t="shared" si="37"/>
        <v>Lindeboom 183</v>
      </c>
      <c r="B2387" t="s">
        <v>535</v>
      </c>
      <c r="C2387" t="s">
        <v>306</v>
      </c>
      <c r="D2387">
        <v>1971</v>
      </c>
      <c r="E2387">
        <v>98</v>
      </c>
      <c r="F2387" t="s">
        <v>523</v>
      </c>
      <c r="G2387">
        <v>183</v>
      </c>
    </row>
    <row r="2388" spans="1:7">
      <c r="A2388" t="str">
        <f t="shared" si="37"/>
        <v>Lindeboom 185</v>
      </c>
      <c r="B2388" t="s">
        <v>536</v>
      </c>
      <c r="C2388" t="s">
        <v>306</v>
      </c>
      <c r="D2388">
        <v>1971</v>
      </c>
      <c r="E2388">
        <v>98</v>
      </c>
      <c r="F2388" t="s">
        <v>523</v>
      </c>
      <c r="G2388">
        <v>185</v>
      </c>
    </row>
    <row r="2389" spans="1:7">
      <c r="A2389" t="str">
        <f t="shared" si="37"/>
        <v>Lindeboom 187</v>
      </c>
      <c r="B2389" t="s">
        <v>536</v>
      </c>
      <c r="C2389" t="s">
        <v>306</v>
      </c>
      <c r="D2389">
        <v>1971</v>
      </c>
      <c r="E2389">
        <v>98</v>
      </c>
      <c r="F2389" t="s">
        <v>523</v>
      </c>
      <c r="G2389">
        <v>187</v>
      </c>
    </row>
    <row r="2390" spans="1:7">
      <c r="A2390" t="str">
        <f t="shared" si="37"/>
        <v>Lindeboom 189</v>
      </c>
      <c r="B2390" t="s">
        <v>536</v>
      </c>
      <c r="C2390" t="s">
        <v>306</v>
      </c>
      <c r="D2390">
        <v>1971</v>
      </c>
      <c r="E2390">
        <v>98</v>
      </c>
      <c r="F2390" t="s">
        <v>523</v>
      </c>
      <c r="G2390">
        <v>189</v>
      </c>
    </row>
    <row r="2391" spans="1:7">
      <c r="A2391" t="str">
        <f t="shared" si="37"/>
        <v>Lindeboom 191</v>
      </c>
      <c r="B2391" t="s">
        <v>536</v>
      </c>
      <c r="C2391" t="s">
        <v>306</v>
      </c>
      <c r="D2391">
        <v>1971</v>
      </c>
      <c r="E2391">
        <v>98</v>
      </c>
      <c r="F2391" t="s">
        <v>523</v>
      </c>
      <c r="G2391">
        <v>191</v>
      </c>
    </row>
    <row r="2392" spans="1:7">
      <c r="A2392" t="str">
        <f t="shared" si="37"/>
        <v>Lindeboom 193</v>
      </c>
      <c r="B2392" t="s">
        <v>536</v>
      </c>
      <c r="C2392" t="s">
        <v>306</v>
      </c>
      <c r="D2392">
        <v>1971</v>
      </c>
      <c r="E2392">
        <v>98</v>
      </c>
      <c r="F2392" t="s">
        <v>523</v>
      </c>
      <c r="G2392">
        <v>193</v>
      </c>
    </row>
    <row r="2393" spans="1:7">
      <c r="A2393" t="str">
        <f t="shared" si="37"/>
        <v>Lindeboom 195</v>
      </c>
      <c r="B2393" t="s">
        <v>536</v>
      </c>
      <c r="C2393" t="s">
        <v>306</v>
      </c>
      <c r="D2393">
        <v>1971</v>
      </c>
      <c r="E2393">
        <v>98</v>
      </c>
      <c r="F2393" t="s">
        <v>523</v>
      </c>
      <c r="G2393">
        <v>195</v>
      </c>
    </row>
    <row r="2394" spans="1:7">
      <c r="A2394" t="str">
        <f t="shared" si="37"/>
        <v>Lindeboom 197</v>
      </c>
      <c r="B2394" t="s">
        <v>536</v>
      </c>
      <c r="C2394" t="s">
        <v>306</v>
      </c>
      <c r="D2394">
        <v>1971</v>
      </c>
      <c r="E2394">
        <v>98</v>
      </c>
      <c r="F2394" t="s">
        <v>523</v>
      </c>
      <c r="G2394">
        <v>197</v>
      </c>
    </row>
    <row r="2395" spans="1:7">
      <c r="A2395" t="str">
        <f t="shared" si="37"/>
        <v>Lindeboom 199</v>
      </c>
      <c r="B2395" t="s">
        <v>536</v>
      </c>
      <c r="C2395" t="s">
        <v>306</v>
      </c>
      <c r="D2395">
        <v>1971</v>
      </c>
      <c r="E2395">
        <v>98</v>
      </c>
      <c r="F2395" t="s">
        <v>523</v>
      </c>
      <c r="G2395">
        <v>199</v>
      </c>
    </row>
    <row r="2396" spans="1:7">
      <c r="A2396" t="str">
        <f t="shared" si="37"/>
        <v>Lindeboom 201</v>
      </c>
      <c r="B2396" t="s">
        <v>536</v>
      </c>
      <c r="C2396" t="s">
        <v>306</v>
      </c>
      <c r="D2396">
        <v>1971</v>
      </c>
      <c r="E2396">
        <v>98</v>
      </c>
      <c r="F2396" t="s">
        <v>523</v>
      </c>
      <c r="G2396">
        <v>201</v>
      </c>
    </row>
    <row r="2397" spans="1:7">
      <c r="A2397" t="str">
        <f t="shared" si="37"/>
        <v>Lindeboom 203</v>
      </c>
      <c r="B2397" t="s">
        <v>536</v>
      </c>
      <c r="C2397" t="s">
        <v>306</v>
      </c>
      <c r="D2397">
        <v>1971</v>
      </c>
      <c r="E2397">
        <v>98</v>
      </c>
      <c r="F2397" t="s">
        <v>523</v>
      </c>
      <c r="G2397">
        <v>203</v>
      </c>
    </row>
    <row r="2398" spans="1:7">
      <c r="A2398" t="str">
        <f t="shared" si="37"/>
        <v>Lindeboom 205</v>
      </c>
      <c r="B2398" t="s">
        <v>537</v>
      </c>
      <c r="C2398" t="s">
        <v>306</v>
      </c>
      <c r="D2398">
        <v>1971</v>
      </c>
      <c r="E2398">
        <v>98</v>
      </c>
      <c r="F2398" t="s">
        <v>523</v>
      </c>
      <c r="G2398">
        <v>205</v>
      </c>
    </row>
    <row r="2399" spans="1:7">
      <c r="A2399" t="str">
        <f t="shared" si="37"/>
        <v>Lindeboom 207</v>
      </c>
      <c r="B2399" t="s">
        <v>537</v>
      </c>
      <c r="C2399" t="s">
        <v>306</v>
      </c>
      <c r="D2399">
        <v>1975</v>
      </c>
      <c r="E2399">
        <v>69</v>
      </c>
      <c r="F2399" t="s">
        <v>523</v>
      </c>
      <c r="G2399">
        <v>207</v>
      </c>
    </row>
    <row r="2400" spans="1:7">
      <c r="A2400" t="str">
        <f t="shared" si="37"/>
        <v>Lindeboom 209</v>
      </c>
      <c r="B2400" t="s">
        <v>537</v>
      </c>
      <c r="C2400" t="s">
        <v>306</v>
      </c>
      <c r="D2400">
        <v>1975</v>
      </c>
      <c r="E2400">
        <v>71</v>
      </c>
      <c r="F2400" t="s">
        <v>523</v>
      </c>
      <c r="G2400">
        <v>209</v>
      </c>
    </row>
    <row r="2401" spans="1:8">
      <c r="A2401" t="str">
        <f t="shared" si="37"/>
        <v>Lindeboom 211</v>
      </c>
      <c r="B2401" t="s">
        <v>537</v>
      </c>
      <c r="C2401" t="s">
        <v>306</v>
      </c>
      <c r="D2401">
        <v>1975</v>
      </c>
      <c r="E2401">
        <v>76</v>
      </c>
      <c r="F2401" t="s">
        <v>523</v>
      </c>
      <c r="G2401">
        <v>211</v>
      </c>
    </row>
    <row r="2402" spans="1:8">
      <c r="A2402" t="str">
        <f t="shared" si="37"/>
        <v>Lindeboom 213</v>
      </c>
      <c r="B2402" t="s">
        <v>537</v>
      </c>
      <c r="C2402" t="s">
        <v>306</v>
      </c>
      <c r="D2402">
        <v>1975</v>
      </c>
      <c r="E2402">
        <v>80</v>
      </c>
      <c r="F2402" t="s">
        <v>523</v>
      </c>
      <c r="G2402">
        <v>213</v>
      </c>
    </row>
    <row r="2403" spans="1:8">
      <c r="A2403" t="str">
        <f t="shared" si="37"/>
        <v>Lindeboom 215</v>
      </c>
      <c r="B2403" t="s">
        <v>537</v>
      </c>
      <c r="C2403" t="s">
        <v>306</v>
      </c>
      <c r="D2403">
        <v>1971</v>
      </c>
      <c r="E2403">
        <v>98</v>
      </c>
      <c r="F2403" t="s">
        <v>523</v>
      </c>
      <c r="G2403">
        <v>215</v>
      </c>
    </row>
    <row r="2404" spans="1:8">
      <c r="A2404" t="str">
        <f t="shared" si="37"/>
        <v>Lindeboom 217</v>
      </c>
      <c r="B2404" t="s">
        <v>537</v>
      </c>
      <c r="C2404" t="s">
        <v>306</v>
      </c>
      <c r="D2404">
        <v>1971</v>
      </c>
      <c r="E2404">
        <v>98</v>
      </c>
      <c r="F2404" t="s">
        <v>523</v>
      </c>
      <c r="G2404">
        <v>217</v>
      </c>
    </row>
    <row r="2405" spans="1:8">
      <c r="A2405" t="str">
        <f t="shared" si="37"/>
        <v>Lindeboom 219</v>
      </c>
      <c r="B2405" t="s">
        <v>537</v>
      </c>
      <c r="C2405" t="s">
        <v>306</v>
      </c>
      <c r="D2405">
        <v>1971</v>
      </c>
      <c r="E2405">
        <v>98</v>
      </c>
      <c r="F2405" t="s">
        <v>523</v>
      </c>
      <c r="G2405">
        <v>219</v>
      </c>
    </row>
    <row r="2406" spans="1:8">
      <c r="A2406" t="str">
        <f t="shared" si="37"/>
        <v>Lindeboom 221</v>
      </c>
      <c r="B2406" t="s">
        <v>537</v>
      </c>
      <c r="C2406" t="s">
        <v>306</v>
      </c>
      <c r="D2406">
        <v>1971</v>
      </c>
      <c r="E2406">
        <v>98</v>
      </c>
      <c r="F2406" t="s">
        <v>523</v>
      </c>
      <c r="G2406">
        <v>221</v>
      </c>
    </row>
    <row r="2407" spans="1:8">
      <c r="A2407" t="str">
        <f t="shared" si="37"/>
        <v>Lindeboom 223</v>
      </c>
      <c r="B2407" t="s">
        <v>537</v>
      </c>
      <c r="C2407" t="s">
        <v>306</v>
      </c>
      <c r="D2407">
        <v>1971</v>
      </c>
      <c r="E2407">
        <v>98</v>
      </c>
      <c r="F2407" t="s">
        <v>523</v>
      </c>
      <c r="G2407">
        <v>223</v>
      </c>
    </row>
    <row r="2408" spans="1:8">
      <c r="A2408" t="str">
        <f t="shared" si="37"/>
        <v>Lindeboom 225</v>
      </c>
      <c r="B2408" t="s">
        <v>537</v>
      </c>
      <c r="C2408" t="s">
        <v>306</v>
      </c>
      <c r="D2408">
        <v>1971</v>
      </c>
      <c r="E2408">
        <v>98</v>
      </c>
      <c r="F2408" t="s">
        <v>523</v>
      </c>
      <c r="G2408">
        <v>225</v>
      </c>
    </row>
    <row r="2409" spans="1:8">
      <c r="A2409" t="str">
        <f t="shared" si="37"/>
        <v>Lindeboom 227</v>
      </c>
      <c r="B2409" t="s">
        <v>537</v>
      </c>
      <c r="C2409" t="s">
        <v>306</v>
      </c>
      <c r="D2409">
        <v>1971</v>
      </c>
      <c r="E2409">
        <v>98</v>
      </c>
      <c r="F2409" t="s">
        <v>523</v>
      </c>
      <c r="G2409">
        <v>227</v>
      </c>
    </row>
    <row r="2410" spans="1:8">
      <c r="A2410" t="str">
        <f t="shared" si="37"/>
        <v>Lindeboom 229</v>
      </c>
      <c r="B2410" t="s">
        <v>537</v>
      </c>
      <c r="C2410" t="s">
        <v>306</v>
      </c>
      <c r="D2410">
        <v>1971</v>
      </c>
      <c r="E2410">
        <v>98</v>
      </c>
      <c r="F2410" t="s">
        <v>523</v>
      </c>
      <c r="G2410">
        <v>229</v>
      </c>
    </row>
    <row r="2411" spans="1:8">
      <c r="A2411" t="str">
        <f t="shared" si="37"/>
        <v>Lindeboom 231</v>
      </c>
      <c r="B2411" t="s">
        <v>537</v>
      </c>
      <c r="C2411" t="s">
        <v>306</v>
      </c>
      <c r="D2411">
        <v>1971</v>
      </c>
      <c r="E2411">
        <v>98</v>
      </c>
      <c r="F2411" t="s">
        <v>523</v>
      </c>
      <c r="G2411">
        <v>231</v>
      </c>
    </row>
    <row r="2412" spans="1:8">
      <c r="A2412" t="str">
        <f t="shared" si="37"/>
        <v>Lindenlaan 1</v>
      </c>
      <c r="B2412" t="s">
        <v>433</v>
      </c>
      <c r="C2412" t="s">
        <v>296</v>
      </c>
      <c r="D2412">
        <v>1980</v>
      </c>
      <c r="E2412">
        <v>268</v>
      </c>
      <c r="F2412" t="s">
        <v>538</v>
      </c>
      <c r="G2412">
        <v>1</v>
      </c>
    </row>
    <row r="2413" spans="1:8">
      <c r="A2413" t="str">
        <f t="shared" si="37"/>
        <v>Lindenlaan 3a</v>
      </c>
      <c r="C2413" t="s">
        <v>296</v>
      </c>
      <c r="D2413">
        <v>2022</v>
      </c>
      <c r="E2413">
        <v>78</v>
      </c>
      <c r="F2413" t="s">
        <v>538</v>
      </c>
      <c r="G2413">
        <v>3</v>
      </c>
      <c r="H2413" t="s">
        <v>304</v>
      </c>
    </row>
    <row r="2414" spans="1:8">
      <c r="A2414" t="str">
        <f t="shared" si="37"/>
        <v>Lindenlaan 3b</v>
      </c>
      <c r="C2414" t="s">
        <v>296</v>
      </c>
      <c r="D2414">
        <v>2022</v>
      </c>
      <c r="E2414">
        <v>132</v>
      </c>
      <c r="F2414" t="s">
        <v>538</v>
      </c>
      <c r="G2414">
        <v>3</v>
      </c>
      <c r="H2414" t="s">
        <v>298</v>
      </c>
    </row>
    <row r="2415" spans="1:8">
      <c r="A2415" t="str">
        <f t="shared" si="37"/>
        <v>Lindenlaan 3c</v>
      </c>
      <c r="C2415" t="s">
        <v>296</v>
      </c>
      <c r="D2415">
        <v>2022</v>
      </c>
      <c r="E2415">
        <v>132</v>
      </c>
      <c r="F2415" t="s">
        <v>538</v>
      </c>
      <c r="G2415">
        <v>3</v>
      </c>
      <c r="H2415" t="s">
        <v>299</v>
      </c>
    </row>
    <row r="2416" spans="1:8">
      <c r="A2416" t="str">
        <f t="shared" si="37"/>
        <v>Lindenlaan 3</v>
      </c>
      <c r="C2416" t="s">
        <v>296</v>
      </c>
      <c r="D2416">
        <v>2022</v>
      </c>
      <c r="E2416">
        <v>78</v>
      </c>
      <c r="F2416" t="s">
        <v>538</v>
      </c>
      <c r="G2416">
        <v>3</v>
      </c>
    </row>
    <row r="2417" spans="1:8">
      <c r="A2417" t="str">
        <f t="shared" si="37"/>
        <v>Lindenlaan 4</v>
      </c>
      <c r="C2417" t="s">
        <v>306</v>
      </c>
      <c r="D2417">
        <v>2018</v>
      </c>
      <c r="E2417">
        <v>63</v>
      </c>
      <c r="F2417" t="s">
        <v>538</v>
      </c>
      <c r="G2417">
        <v>4</v>
      </c>
    </row>
    <row r="2418" spans="1:8">
      <c r="A2418" t="str">
        <f t="shared" si="37"/>
        <v>Lindenlaan 5</v>
      </c>
      <c r="B2418" t="s">
        <v>433</v>
      </c>
      <c r="C2418" t="s">
        <v>296</v>
      </c>
      <c r="D2418">
        <v>1960</v>
      </c>
      <c r="E2418">
        <v>173</v>
      </c>
      <c r="F2418" t="s">
        <v>538</v>
      </c>
      <c r="G2418">
        <v>5</v>
      </c>
    </row>
    <row r="2419" spans="1:8">
      <c r="A2419" t="str">
        <f t="shared" si="37"/>
        <v>Lindenlaan 7</v>
      </c>
      <c r="B2419" t="s">
        <v>433</v>
      </c>
      <c r="C2419" t="s">
        <v>296</v>
      </c>
      <c r="D2419">
        <v>1947</v>
      </c>
      <c r="E2419">
        <v>131</v>
      </c>
      <c r="F2419" t="s">
        <v>538</v>
      </c>
      <c r="G2419">
        <v>7</v>
      </c>
    </row>
    <row r="2420" spans="1:8">
      <c r="A2420" t="str">
        <f t="shared" si="37"/>
        <v>Lindenlaan 9</v>
      </c>
      <c r="B2420" t="s">
        <v>433</v>
      </c>
      <c r="C2420" t="s">
        <v>296</v>
      </c>
      <c r="D2420">
        <v>1947</v>
      </c>
      <c r="E2420">
        <v>135</v>
      </c>
      <c r="F2420" t="s">
        <v>538</v>
      </c>
      <c r="G2420">
        <v>9</v>
      </c>
    </row>
    <row r="2421" spans="1:8">
      <c r="A2421" t="str">
        <f t="shared" si="37"/>
        <v>Lindenlaan 11</v>
      </c>
      <c r="B2421" t="s">
        <v>433</v>
      </c>
      <c r="C2421" t="s">
        <v>296</v>
      </c>
      <c r="D2421">
        <v>1948</v>
      </c>
      <c r="E2421">
        <v>143</v>
      </c>
      <c r="F2421" t="s">
        <v>538</v>
      </c>
      <c r="G2421">
        <v>11</v>
      </c>
    </row>
    <row r="2422" spans="1:8">
      <c r="A2422" t="str">
        <f t="shared" si="37"/>
        <v>Lindenlaan 13</v>
      </c>
      <c r="B2422" t="s">
        <v>433</v>
      </c>
      <c r="C2422" t="s">
        <v>296</v>
      </c>
      <c r="D2422">
        <v>1947</v>
      </c>
      <c r="E2422">
        <v>221</v>
      </c>
      <c r="F2422" t="s">
        <v>538</v>
      </c>
      <c r="G2422">
        <v>13</v>
      </c>
    </row>
    <row r="2423" spans="1:8">
      <c r="A2423" t="str">
        <f t="shared" si="37"/>
        <v>Lindenlaan 15</v>
      </c>
      <c r="B2423" t="s">
        <v>433</v>
      </c>
      <c r="C2423" t="s">
        <v>296</v>
      </c>
      <c r="D2423">
        <v>1948</v>
      </c>
      <c r="E2423">
        <v>129</v>
      </c>
      <c r="F2423" t="s">
        <v>538</v>
      </c>
      <c r="G2423">
        <v>15</v>
      </c>
    </row>
    <row r="2424" spans="1:8">
      <c r="A2424" t="str">
        <f t="shared" si="37"/>
        <v>Lindenlaan 17</v>
      </c>
      <c r="B2424" t="s">
        <v>433</v>
      </c>
      <c r="C2424" t="s">
        <v>296</v>
      </c>
      <c r="D2424">
        <v>1947</v>
      </c>
      <c r="E2424">
        <v>182</v>
      </c>
      <c r="F2424" t="s">
        <v>538</v>
      </c>
      <c r="G2424">
        <v>17</v>
      </c>
    </row>
    <row r="2425" spans="1:8">
      <c r="A2425" t="str">
        <f t="shared" si="37"/>
        <v>Lindenlaan 19</v>
      </c>
      <c r="B2425" t="s">
        <v>433</v>
      </c>
      <c r="C2425" t="s">
        <v>296</v>
      </c>
      <c r="D2425">
        <v>1947</v>
      </c>
      <c r="E2425">
        <v>212</v>
      </c>
      <c r="F2425" t="s">
        <v>538</v>
      </c>
      <c r="G2425">
        <v>19</v>
      </c>
    </row>
    <row r="2426" spans="1:8">
      <c r="A2426" t="str">
        <f t="shared" si="37"/>
        <v>Lindenlaan 21</v>
      </c>
      <c r="B2426" t="s">
        <v>433</v>
      </c>
      <c r="C2426" t="s">
        <v>296</v>
      </c>
      <c r="D2426">
        <v>1947</v>
      </c>
      <c r="E2426">
        <v>183</v>
      </c>
      <c r="F2426" t="s">
        <v>538</v>
      </c>
      <c r="G2426">
        <v>21</v>
      </c>
    </row>
    <row r="2427" spans="1:8">
      <c r="A2427" t="str">
        <f t="shared" si="37"/>
        <v>Lindenlaan 23</v>
      </c>
      <c r="B2427" t="s">
        <v>433</v>
      </c>
      <c r="C2427" t="s">
        <v>296</v>
      </c>
      <c r="D2427">
        <v>1947</v>
      </c>
      <c r="E2427">
        <v>168</v>
      </c>
      <c r="F2427" t="s">
        <v>538</v>
      </c>
      <c r="G2427">
        <v>23</v>
      </c>
    </row>
    <row r="2428" spans="1:8">
      <c r="A2428" t="str">
        <f t="shared" si="37"/>
        <v>Lindenlaan 25a</v>
      </c>
      <c r="B2428" t="s">
        <v>433</v>
      </c>
      <c r="C2428" t="s">
        <v>296</v>
      </c>
      <c r="D2428">
        <v>2010</v>
      </c>
      <c r="E2428">
        <v>302</v>
      </c>
      <c r="F2428" t="s">
        <v>538</v>
      </c>
      <c r="G2428">
        <v>25</v>
      </c>
      <c r="H2428" t="s">
        <v>304</v>
      </c>
    </row>
    <row r="2429" spans="1:8">
      <c r="A2429" t="str">
        <f t="shared" si="37"/>
        <v>Lindenlaan 25</v>
      </c>
      <c r="B2429" t="s">
        <v>433</v>
      </c>
      <c r="C2429" t="s">
        <v>296</v>
      </c>
      <c r="D2429">
        <v>1955</v>
      </c>
      <c r="E2429">
        <v>141</v>
      </c>
      <c r="F2429" t="s">
        <v>538</v>
      </c>
      <c r="G2429">
        <v>25</v>
      </c>
    </row>
    <row r="2430" spans="1:8">
      <c r="A2430" t="str">
        <f t="shared" si="37"/>
        <v>Lindenlaan 27</v>
      </c>
      <c r="B2430" t="s">
        <v>433</v>
      </c>
      <c r="C2430" t="s">
        <v>296</v>
      </c>
      <c r="D2430">
        <v>1925</v>
      </c>
      <c r="E2430">
        <v>245</v>
      </c>
      <c r="F2430" t="s">
        <v>538</v>
      </c>
      <c r="G2430">
        <v>27</v>
      </c>
    </row>
    <row r="2431" spans="1:8">
      <c r="A2431" t="str">
        <f t="shared" si="37"/>
        <v>Lindenlaan 29</v>
      </c>
      <c r="B2431" t="s">
        <v>433</v>
      </c>
      <c r="C2431" t="s">
        <v>296</v>
      </c>
      <c r="D2431">
        <v>1968</v>
      </c>
      <c r="E2431">
        <v>199</v>
      </c>
      <c r="F2431" t="s">
        <v>538</v>
      </c>
      <c r="G2431">
        <v>29</v>
      </c>
    </row>
    <row r="2432" spans="1:8">
      <c r="A2432" t="str">
        <f t="shared" si="37"/>
        <v>Lindenlaan 31a</v>
      </c>
      <c r="B2432" t="s">
        <v>433</v>
      </c>
      <c r="C2432" t="s">
        <v>296</v>
      </c>
      <c r="D2432">
        <v>1933</v>
      </c>
      <c r="E2432">
        <v>47</v>
      </c>
      <c r="F2432" t="s">
        <v>538</v>
      </c>
      <c r="G2432">
        <v>31</v>
      </c>
      <c r="H2432" t="s">
        <v>304</v>
      </c>
    </row>
    <row r="2433" spans="1:8">
      <c r="A2433" t="str">
        <f t="shared" si="37"/>
        <v>Lindenlaan 31b</v>
      </c>
      <c r="B2433" t="s">
        <v>433</v>
      </c>
      <c r="C2433" t="s">
        <v>296</v>
      </c>
      <c r="D2433">
        <v>1933</v>
      </c>
      <c r="E2433">
        <v>59</v>
      </c>
      <c r="F2433" t="s">
        <v>538</v>
      </c>
      <c r="G2433">
        <v>31</v>
      </c>
      <c r="H2433" t="s">
        <v>298</v>
      </c>
    </row>
    <row r="2434" spans="1:8">
      <c r="A2434" t="str">
        <f t="shared" ref="A2434:A2497" si="38">CONCATENATE(F2434," ",G2434,H2434)</f>
        <v>Lindenlaan 31c</v>
      </c>
      <c r="B2434" t="s">
        <v>433</v>
      </c>
      <c r="C2434" t="s">
        <v>296</v>
      </c>
      <c r="D2434">
        <v>1933</v>
      </c>
      <c r="E2434">
        <v>381</v>
      </c>
      <c r="F2434" t="s">
        <v>538</v>
      </c>
      <c r="G2434">
        <v>31</v>
      </c>
      <c r="H2434" t="s">
        <v>299</v>
      </c>
    </row>
    <row r="2435" spans="1:8">
      <c r="A2435" t="str">
        <f t="shared" si="38"/>
        <v>Lindenlaan 31d</v>
      </c>
      <c r="B2435" t="s">
        <v>433</v>
      </c>
      <c r="C2435" t="s">
        <v>296</v>
      </c>
      <c r="D2435">
        <v>1933</v>
      </c>
      <c r="E2435">
        <v>97</v>
      </c>
      <c r="F2435" t="s">
        <v>538</v>
      </c>
      <c r="G2435">
        <v>31</v>
      </c>
      <c r="H2435" t="s">
        <v>300</v>
      </c>
    </row>
    <row r="2436" spans="1:8">
      <c r="A2436" t="str">
        <f t="shared" si="38"/>
        <v>Lindenlaan 31</v>
      </c>
      <c r="B2436" t="s">
        <v>433</v>
      </c>
      <c r="C2436" t="s">
        <v>296</v>
      </c>
      <c r="D2436">
        <v>1933</v>
      </c>
      <c r="E2436">
        <v>117</v>
      </c>
      <c r="F2436" t="s">
        <v>538</v>
      </c>
      <c r="G2436">
        <v>31</v>
      </c>
    </row>
    <row r="2437" spans="1:8">
      <c r="A2437" t="str">
        <f t="shared" si="38"/>
        <v>Lindenlaan 33</v>
      </c>
      <c r="B2437" t="s">
        <v>433</v>
      </c>
      <c r="C2437" t="s">
        <v>296</v>
      </c>
      <c r="D2437">
        <v>1965</v>
      </c>
      <c r="E2437">
        <v>162</v>
      </c>
      <c r="F2437" t="s">
        <v>538</v>
      </c>
      <c r="G2437">
        <v>33</v>
      </c>
    </row>
    <row r="2438" spans="1:8">
      <c r="A2438" t="str">
        <f t="shared" si="38"/>
        <v>Lindenlaan 35</v>
      </c>
      <c r="B2438" t="s">
        <v>433</v>
      </c>
      <c r="C2438" t="s">
        <v>296</v>
      </c>
      <c r="D2438">
        <v>1925</v>
      </c>
      <c r="E2438">
        <v>222</v>
      </c>
      <c r="F2438" t="s">
        <v>538</v>
      </c>
      <c r="G2438">
        <v>35</v>
      </c>
    </row>
    <row r="2439" spans="1:8">
      <c r="A2439" t="str">
        <f t="shared" si="38"/>
        <v>Lindenlaan 41a</v>
      </c>
      <c r="B2439" t="s">
        <v>433</v>
      </c>
      <c r="C2439" t="s">
        <v>296</v>
      </c>
      <c r="D2439">
        <v>1990</v>
      </c>
      <c r="E2439">
        <v>310</v>
      </c>
      <c r="F2439" t="s">
        <v>538</v>
      </c>
      <c r="G2439">
        <v>41</v>
      </c>
      <c r="H2439" t="s">
        <v>304</v>
      </c>
    </row>
    <row r="2440" spans="1:8">
      <c r="A2440" t="str">
        <f t="shared" si="38"/>
        <v>Lindenlaan 41b</v>
      </c>
      <c r="B2440" t="s">
        <v>433</v>
      </c>
      <c r="C2440" t="s">
        <v>296</v>
      </c>
      <c r="D2440">
        <v>1992</v>
      </c>
      <c r="E2440">
        <v>600</v>
      </c>
      <c r="F2440" t="s">
        <v>538</v>
      </c>
      <c r="G2440">
        <v>41</v>
      </c>
      <c r="H2440" t="s">
        <v>298</v>
      </c>
    </row>
    <row r="2441" spans="1:8">
      <c r="A2441" t="str">
        <f t="shared" si="38"/>
        <v>Lindenlaan 41c</v>
      </c>
      <c r="B2441" t="s">
        <v>433</v>
      </c>
      <c r="C2441" t="s">
        <v>296</v>
      </c>
      <c r="D2441">
        <v>1996</v>
      </c>
      <c r="E2441">
        <v>522</v>
      </c>
      <c r="F2441" t="s">
        <v>538</v>
      </c>
      <c r="G2441">
        <v>41</v>
      </c>
      <c r="H2441" t="s">
        <v>299</v>
      </c>
    </row>
    <row r="2442" spans="1:8">
      <c r="A2442" t="str">
        <f t="shared" si="38"/>
        <v>Lindenlaan 41d</v>
      </c>
      <c r="B2442" t="s">
        <v>433</v>
      </c>
      <c r="C2442" t="s">
        <v>296</v>
      </c>
      <c r="D2442">
        <v>2013</v>
      </c>
      <c r="E2442">
        <v>715</v>
      </c>
      <c r="F2442" t="s">
        <v>538</v>
      </c>
      <c r="G2442">
        <v>41</v>
      </c>
      <c r="H2442" t="s">
        <v>300</v>
      </c>
    </row>
    <row r="2443" spans="1:8">
      <c r="A2443" t="str">
        <f t="shared" si="38"/>
        <v>Lindenlaan 41</v>
      </c>
      <c r="B2443" t="s">
        <v>433</v>
      </c>
      <c r="C2443" t="s">
        <v>296</v>
      </c>
      <c r="D2443">
        <v>1995</v>
      </c>
      <c r="E2443">
        <v>779</v>
      </c>
      <c r="F2443" t="s">
        <v>538</v>
      </c>
      <c r="G2443">
        <v>41</v>
      </c>
    </row>
    <row r="2444" spans="1:8">
      <c r="A2444" t="str">
        <f t="shared" si="38"/>
        <v>Lindenlaan 43</v>
      </c>
      <c r="B2444" t="s">
        <v>433</v>
      </c>
      <c r="C2444" t="s">
        <v>296</v>
      </c>
      <c r="D2444">
        <v>1937</v>
      </c>
      <c r="E2444">
        <v>101</v>
      </c>
      <c r="F2444" t="s">
        <v>538</v>
      </c>
      <c r="G2444">
        <v>43</v>
      </c>
    </row>
    <row r="2445" spans="1:8">
      <c r="A2445" t="str">
        <f t="shared" si="38"/>
        <v>Lindenlaan 45</v>
      </c>
      <c r="B2445" t="s">
        <v>433</v>
      </c>
      <c r="C2445" t="s">
        <v>296</v>
      </c>
      <c r="D2445">
        <v>1950</v>
      </c>
      <c r="E2445">
        <v>53</v>
      </c>
      <c r="F2445" t="s">
        <v>538</v>
      </c>
      <c r="G2445">
        <v>45</v>
      </c>
    </row>
    <row r="2446" spans="1:8">
      <c r="A2446" t="str">
        <f t="shared" si="38"/>
        <v>Lindenlaan 49</v>
      </c>
      <c r="B2446" t="s">
        <v>433</v>
      </c>
      <c r="C2446" t="s">
        <v>296</v>
      </c>
      <c r="D2446">
        <v>1991</v>
      </c>
      <c r="E2446">
        <v>454</v>
      </c>
      <c r="F2446" t="s">
        <v>538</v>
      </c>
      <c r="G2446">
        <v>49</v>
      </c>
    </row>
    <row r="2447" spans="1:8">
      <c r="A2447" t="str">
        <f t="shared" si="38"/>
        <v>Lindenlaan 51</v>
      </c>
      <c r="B2447" t="s">
        <v>433</v>
      </c>
      <c r="C2447" t="s">
        <v>296</v>
      </c>
      <c r="D2447">
        <v>1987</v>
      </c>
      <c r="E2447">
        <v>529</v>
      </c>
      <c r="F2447" t="s">
        <v>538</v>
      </c>
      <c r="G2447">
        <v>51</v>
      </c>
    </row>
    <row r="2448" spans="1:8">
      <c r="A2448" t="str">
        <f t="shared" si="38"/>
        <v>Lindenlaan 53</v>
      </c>
      <c r="B2448" t="s">
        <v>433</v>
      </c>
      <c r="C2448" t="s">
        <v>296</v>
      </c>
      <c r="D2448">
        <v>1930</v>
      </c>
      <c r="E2448">
        <v>321</v>
      </c>
      <c r="F2448" t="s">
        <v>538</v>
      </c>
      <c r="G2448">
        <v>53</v>
      </c>
    </row>
    <row r="2449" spans="1:8">
      <c r="A2449" t="str">
        <f t="shared" si="38"/>
        <v>Lindenlaan 55</v>
      </c>
      <c r="B2449" t="s">
        <v>433</v>
      </c>
      <c r="C2449" t="s">
        <v>296</v>
      </c>
      <c r="D2449">
        <v>1930</v>
      </c>
      <c r="E2449">
        <v>309</v>
      </c>
      <c r="F2449" t="s">
        <v>538</v>
      </c>
      <c r="G2449">
        <v>55</v>
      </c>
    </row>
    <row r="2450" spans="1:8">
      <c r="A2450" t="str">
        <f t="shared" si="38"/>
        <v>Lindenlaan 57a</v>
      </c>
      <c r="B2450" t="s">
        <v>433</v>
      </c>
      <c r="C2450" t="s">
        <v>296</v>
      </c>
      <c r="D2450">
        <v>1998</v>
      </c>
      <c r="E2450">
        <v>328</v>
      </c>
      <c r="F2450" t="s">
        <v>538</v>
      </c>
      <c r="G2450">
        <v>57</v>
      </c>
      <c r="H2450" t="s">
        <v>304</v>
      </c>
    </row>
    <row r="2451" spans="1:8">
      <c r="A2451" t="str">
        <f t="shared" si="38"/>
        <v>Lindenlaan 57b</v>
      </c>
      <c r="B2451" t="s">
        <v>433</v>
      </c>
      <c r="C2451" t="s">
        <v>296</v>
      </c>
      <c r="D2451">
        <v>1998</v>
      </c>
      <c r="E2451">
        <v>118</v>
      </c>
      <c r="F2451" t="s">
        <v>538</v>
      </c>
      <c r="G2451">
        <v>57</v>
      </c>
      <c r="H2451" t="s">
        <v>298</v>
      </c>
    </row>
    <row r="2452" spans="1:8">
      <c r="A2452" t="str">
        <f t="shared" si="38"/>
        <v>Lindenlaan 57c</v>
      </c>
      <c r="B2452" t="s">
        <v>433</v>
      </c>
      <c r="C2452" t="s">
        <v>296</v>
      </c>
      <c r="D2452">
        <v>1998</v>
      </c>
      <c r="E2452">
        <v>222</v>
      </c>
      <c r="F2452" t="s">
        <v>538</v>
      </c>
      <c r="G2452">
        <v>57</v>
      </c>
      <c r="H2452" t="s">
        <v>299</v>
      </c>
    </row>
    <row r="2453" spans="1:8">
      <c r="A2453" t="str">
        <f t="shared" si="38"/>
        <v>Lindenlaan 57d</v>
      </c>
      <c r="B2453" t="s">
        <v>433</v>
      </c>
      <c r="C2453" t="s">
        <v>296</v>
      </c>
      <c r="D2453">
        <v>2002</v>
      </c>
      <c r="E2453">
        <v>564</v>
      </c>
      <c r="F2453" t="s">
        <v>538</v>
      </c>
      <c r="G2453">
        <v>57</v>
      </c>
      <c r="H2453" t="s">
        <v>300</v>
      </c>
    </row>
    <row r="2454" spans="1:8">
      <c r="A2454" t="str">
        <f t="shared" si="38"/>
        <v>Lindenlaan 57k</v>
      </c>
      <c r="B2454" t="s">
        <v>433</v>
      </c>
      <c r="C2454" t="s">
        <v>296</v>
      </c>
      <c r="D2454">
        <v>1986</v>
      </c>
      <c r="E2454">
        <v>302</v>
      </c>
      <c r="F2454" t="s">
        <v>538</v>
      </c>
      <c r="G2454">
        <v>57</v>
      </c>
      <c r="H2454" t="s">
        <v>308</v>
      </c>
    </row>
    <row r="2455" spans="1:8">
      <c r="A2455" t="str">
        <f t="shared" si="38"/>
        <v>Lindenlaan 57</v>
      </c>
      <c r="B2455" t="s">
        <v>433</v>
      </c>
      <c r="C2455" t="s">
        <v>296</v>
      </c>
      <c r="D2455">
        <v>1966</v>
      </c>
      <c r="E2455">
        <v>161</v>
      </c>
      <c r="F2455" t="s">
        <v>538</v>
      </c>
      <c r="G2455">
        <v>57</v>
      </c>
    </row>
    <row r="2456" spans="1:8">
      <c r="A2456" t="str">
        <f t="shared" si="38"/>
        <v>Lindenlaan 59</v>
      </c>
      <c r="B2456" t="s">
        <v>433</v>
      </c>
      <c r="C2456" t="s">
        <v>296</v>
      </c>
      <c r="D2456">
        <v>1956</v>
      </c>
      <c r="E2456">
        <v>588</v>
      </c>
      <c r="F2456" t="s">
        <v>538</v>
      </c>
      <c r="G2456">
        <v>59</v>
      </c>
    </row>
    <row r="2457" spans="1:8">
      <c r="A2457" t="str">
        <f t="shared" si="38"/>
        <v>Lindenlaan 61</v>
      </c>
      <c r="B2457" t="s">
        <v>433</v>
      </c>
      <c r="C2457" t="s">
        <v>296</v>
      </c>
      <c r="D2457">
        <v>1954</v>
      </c>
      <c r="E2457">
        <v>11</v>
      </c>
      <c r="F2457" t="s">
        <v>538</v>
      </c>
      <c r="G2457">
        <v>61</v>
      </c>
    </row>
    <row r="2458" spans="1:8">
      <c r="A2458" t="str">
        <f t="shared" si="38"/>
        <v>Lindenlaan 63</v>
      </c>
      <c r="B2458" t="s">
        <v>433</v>
      </c>
      <c r="C2458" t="s">
        <v>296</v>
      </c>
      <c r="D2458">
        <v>1963</v>
      </c>
      <c r="E2458">
        <v>586</v>
      </c>
      <c r="F2458" t="s">
        <v>538</v>
      </c>
      <c r="G2458">
        <v>63</v>
      </c>
    </row>
    <row r="2459" spans="1:8">
      <c r="A2459" t="str">
        <f t="shared" si="38"/>
        <v>Lindenlaan 65</v>
      </c>
      <c r="B2459" t="s">
        <v>433</v>
      </c>
      <c r="C2459" t="s">
        <v>296</v>
      </c>
      <c r="D2459">
        <v>1960</v>
      </c>
      <c r="E2459">
        <v>108</v>
      </c>
      <c r="F2459" t="s">
        <v>538</v>
      </c>
      <c r="G2459">
        <v>65</v>
      </c>
    </row>
    <row r="2460" spans="1:8">
      <c r="A2460" t="str">
        <f t="shared" si="38"/>
        <v>Lindenlaan 67</v>
      </c>
      <c r="B2460" t="s">
        <v>433</v>
      </c>
      <c r="C2460" t="s">
        <v>296</v>
      </c>
      <c r="D2460">
        <v>1960</v>
      </c>
      <c r="E2460">
        <v>97</v>
      </c>
      <c r="F2460" t="s">
        <v>538</v>
      </c>
      <c r="G2460">
        <v>67</v>
      </c>
    </row>
    <row r="2461" spans="1:8">
      <c r="A2461" t="str">
        <f t="shared" si="38"/>
        <v>Lindenlaan 69</v>
      </c>
      <c r="B2461" t="s">
        <v>433</v>
      </c>
      <c r="C2461" t="s">
        <v>296</v>
      </c>
      <c r="D2461">
        <v>1992</v>
      </c>
      <c r="E2461">
        <v>290</v>
      </c>
      <c r="F2461" t="s">
        <v>538</v>
      </c>
      <c r="G2461">
        <v>69</v>
      </c>
    </row>
    <row r="2462" spans="1:8">
      <c r="A2462" t="str">
        <f t="shared" si="38"/>
        <v>Lindenlaan 71</v>
      </c>
      <c r="B2462" t="s">
        <v>433</v>
      </c>
      <c r="C2462" t="s">
        <v>296</v>
      </c>
      <c r="D2462">
        <v>1994</v>
      </c>
      <c r="E2462">
        <v>227</v>
      </c>
      <c r="F2462" t="s">
        <v>538</v>
      </c>
      <c r="G2462">
        <v>71</v>
      </c>
    </row>
    <row r="2463" spans="1:8">
      <c r="A2463" t="str">
        <f t="shared" si="38"/>
        <v>Lindenlaan 85</v>
      </c>
      <c r="B2463" t="s">
        <v>539</v>
      </c>
      <c r="C2463" t="s">
        <v>296</v>
      </c>
      <c r="D2463">
        <v>1976</v>
      </c>
      <c r="E2463">
        <v>199</v>
      </c>
      <c r="F2463" t="s">
        <v>538</v>
      </c>
      <c r="G2463">
        <v>85</v>
      </c>
    </row>
    <row r="2464" spans="1:8">
      <c r="A2464" t="str">
        <f t="shared" si="38"/>
        <v>Lindenlaan 87</v>
      </c>
      <c r="B2464" t="s">
        <v>539</v>
      </c>
      <c r="C2464" t="s">
        <v>296</v>
      </c>
      <c r="D2464">
        <v>1975</v>
      </c>
      <c r="E2464">
        <v>131</v>
      </c>
      <c r="F2464" t="s">
        <v>538</v>
      </c>
      <c r="G2464">
        <v>87</v>
      </c>
    </row>
    <row r="2465" spans="1:8">
      <c r="A2465" t="str">
        <f t="shared" si="38"/>
        <v>Lindenlaan 89</v>
      </c>
      <c r="B2465" t="s">
        <v>539</v>
      </c>
      <c r="C2465" t="s">
        <v>296</v>
      </c>
      <c r="D2465">
        <v>1955</v>
      </c>
      <c r="E2465">
        <v>305</v>
      </c>
      <c r="F2465" t="s">
        <v>538</v>
      </c>
      <c r="G2465">
        <v>89</v>
      </c>
    </row>
    <row r="2466" spans="1:8">
      <c r="A2466" t="str">
        <f t="shared" si="38"/>
        <v>Lindenlaan 91</v>
      </c>
      <c r="B2466" t="s">
        <v>539</v>
      </c>
      <c r="C2466" t="s">
        <v>296</v>
      </c>
      <c r="D2466">
        <v>1980</v>
      </c>
      <c r="E2466">
        <v>195</v>
      </c>
      <c r="F2466" t="s">
        <v>538</v>
      </c>
      <c r="G2466">
        <v>91</v>
      </c>
    </row>
    <row r="2467" spans="1:8">
      <c r="A2467" t="str">
        <f t="shared" si="38"/>
        <v>Lodewijkstraat 6</v>
      </c>
      <c r="B2467" t="s">
        <v>540</v>
      </c>
      <c r="C2467" t="s">
        <v>306</v>
      </c>
      <c r="D2467">
        <v>1974</v>
      </c>
      <c r="E2467">
        <v>224</v>
      </c>
      <c r="F2467" t="s">
        <v>541</v>
      </c>
      <c r="G2467">
        <v>6</v>
      </c>
    </row>
    <row r="2468" spans="1:8">
      <c r="A2468" t="str">
        <f t="shared" si="38"/>
        <v>Lodewijkstraat 8</v>
      </c>
      <c r="B2468" t="s">
        <v>540</v>
      </c>
      <c r="C2468" t="s">
        <v>306</v>
      </c>
      <c r="D2468">
        <v>1976</v>
      </c>
      <c r="E2468">
        <v>370</v>
      </c>
      <c r="F2468" t="s">
        <v>541</v>
      </c>
      <c r="G2468">
        <v>8</v>
      </c>
    </row>
    <row r="2469" spans="1:8">
      <c r="A2469" t="str">
        <f t="shared" si="38"/>
        <v>Lodewijkstraat 10</v>
      </c>
      <c r="B2469" t="s">
        <v>540</v>
      </c>
      <c r="C2469" t="s">
        <v>306</v>
      </c>
      <c r="D2469">
        <v>1950</v>
      </c>
      <c r="E2469">
        <v>159</v>
      </c>
      <c r="F2469" t="s">
        <v>541</v>
      </c>
      <c r="G2469">
        <v>10</v>
      </c>
    </row>
    <row r="2470" spans="1:8">
      <c r="A2470" t="str">
        <f t="shared" si="38"/>
        <v>Lodewijkstraat 12</v>
      </c>
      <c r="B2470" t="s">
        <v>540</v>
      </c>
      <c r="C2470" t="s">
        <v>306</v>
      </c>
      <c r="D2470">
        <v>1950</v>
      </c>
      <c r="E2470">
        <v>113</v>
      </c>
      <c r="F2470" t="s">
        <v>541</v>
      </c>
      <c r="G2470">
        <v>12</v>
      </c>
    </row>
    <row r="2471" spans="1:8">
      <c r="A2471" t="str">
        <f t="shared" si="38"/>
        <v>Lodewijkstraat 26</v>
      </c>
      <c r="B2471" t="s">
        <v>540</v>
      </c>
      <c r="C2471" t="s">
        <v>306</v>
      </c>
      <c r="D2471">
        <v>1955</v>
      </c>
      <c r="E2471">
        <v>121</v>
      </c>
      <c r="F2471" t="s">
        <v>541</v>
      </c>
      <c r="G2471">
        <v>26</v>
      </c>
    </row>
    <row r="2472" spans="1:8">
      <c r="A2472" t="str">
        <f t="shared" si="38"/>
        <v>Lodewijkstraat 30</v>
      </c>
      <c r="B2472" t="s">
        <v>540</v>
      </c>
      <c r="C2472" t="s">
        <v>306</v>
      </c>
      <c r="D2472">
        <v>1970</v>
      </c>
      <c r="E2472">
        <v>144</v>
      </c>
      <c r="F2472" t="s">
        <v>541</v>
      </c>
      <c r="G2472">
        <v>30</v>
      </c>
    </row>
    <row r="2473" spans="1:8">
      <c r="A2473" t="str">
        <f t="shared" si="38"/>
        <v>Lodewijkstraat 32</v>
      </c>
      <c r="B2473" t="s">
        <v>540</v>
      </c>
      <c r="C2473" t="s">
        <v>306</v>
      </c>
      <c r="D2473">
        <v>1955</v>
      </c>
      <c r="E2473">
        <v>381</v>
      </c>
      <c r="F2473" t="s">
        <v>541</v>
      </c>
      <c r="G2473">
        <v>32</v>
      </c>
    </row>
    <row r="2474" spans="1:8">
      <c r="A2474" t="str">
        <f t="shared" si="38"/>
        <v>Lodewijkstraat 34</v>
      </c>
      <c r="B2474" t="s">
        <v>540</v>
      </c>
      <c r="C2474" t="s">
        <v>306</v>
      </c>
      <c r="D2474">
        <v>2013</v>
      </c>
      <c r="E2474">
        <v>378</v>
      </c>
      <c r="F2474" t="s">
        <v>541</v>
      </c>
      <c r="G2474">
        <v>34</v>
      </c>
    </row>
    <row r="2475" spans="1:8">
      <c r="A2475" t="str">
        <f t="shared" si="38"/>
        <v>Maasdijk 1</v>
      </c>
      <c r="B2475" t="s">
        <v>542</v>
      </c>
      <c r="C2475" t="s">
        <v>306</v>
      </c>
      <c r="D2475">
        <v>2018</v>
      </c>
      <c r="E2475">
        <v>274</v>
      </c>
      <c r="F2475" t="s">
        <v>543</v>
      </c>
      <c r="G2475">
        <v>1</v>
      </c>
    </row>
    <row r="2476" spans="1:8">
      <c r="A2476" t="str">
        <f t="shared" si="38"/>
        <v>Maasdijk 2a</v>
      </c>
      <c r="B2476" t="s">
        <v>542</v>
      </c>
      <c r="C2476" t="s">
        <v>306</v>
      </c>
      <c r="D2476">
        <v>1990</v>
      </c>
      <c r="E2476">
        <v>262</v>
      </c>
      <c r="F2476" t="s">
        <v>543</v>
      </c>
      <c r="G2476">
        <v>2</v>
      </c>
      <c r="H2476" t="s">
        <v>304</v>
      </c>
    </row>
    <row r="2477" spans="1:8">
      <c r="A2477" t="str">
        <f t="shared" si="38"/>
        <v>Maasdijk 2</v>
      </c>
      <c r="B2477" t="s">
        <v>542</v>
      </c>
      <c r="C2477" t="s">
        <v>306</v>
      </c>
      <c r="D2477">
        <v>1988</v>
      </c>
      <c r="E2477">
        <v>193</v>
      </c>
      <c r="F2477" t="s">
        <v>543</v>
      </c>
      <c r="G2477">
        <v>2</v>
      </c>
    </row>
    <row r="2478" spans="1:8">
      <c r="A2478" t="str">
        <f t="shared" si="38"/>
        <v>Maasdijk 4</v>
      </c>
      <c r="B2478" t="s">
        <v>542</v>
      </c>
      <c r="C2478" t="s">
        <v>306</v>
      </c>
      <c r="D2478">
        <v>1967</v>
      </c>
      <c r="E2478">
        <v>231</v>
      </c>
      <c r="F2478" t="s">
        <v>543</v>
      </c>
      <c r="G2478">
        <v>4</v>
      </c>
    </row>
    <row r="2479" spans="1:8">
      <c r="A2479" t="str">
        <f t="shared" si="38"/>
        <v>Maasdijk 5a</v>
      </c>
      <c r="B2479" t="s">
        <v>542</v>
      </c>
      <c r="C2479" t="s">
        <v>306</v>
      </c>
      <c r="D2479">
        <v>1969</v>
      </c>
      <c r="E2479">
        <v>50</v>
      </c>
      <c r="F2479" t="s">
        <v>543</v>
      </c>
      <c r="G2479">
        <v>5</v>
      </c>
      <c r="H2479" t="s">
        <v>304</v>
      </c>
    </row>
    <row r="2480" spans="1:8">
      <c r="A2480" t="str">
        <f t="shared" si="38"/>
        <v>Maasdijk 5</v>
      </c>
      <c r="B2480" t="s">
        <v>542</v>
      </c>
      <c r="C2480" t="s">
        <v>306</v>
      </c>
      <c r="D2480">
        <v>1958</v>
      </c>
      <c r="E2480">
        <v>52</v>
      </c>
      <c r="F2480" t="s">
        <v>543</v>
      </c>
      <c r="G2480">
        <v>5</v>
      </c>
    </row>
    <row r="2481" spans="1:7">
      <c r="A2481" t="str">
        <f t="shared" si="38"/>
        <v>Maasdijk 6</v>
      </c>
      <c r="B2481" t="s">
        <v>542</v>
      </c>
      <c r="C2481" t="s">
        <v>306</v>
      </c>
      <c r="D2481">
        <v>1967</v>
      </c>
      <c r="E2481">
        <v>219</v>
      </c>
      <c r="F2481" t="s">
        <v>543</v>
      </c>
      <c r="G2481">
        <v>6</v>
      </c>
    </row>
    <row r="2482" spans="1:7">
      <c r="A2482" t="str">
        <f t="shared" si="38"/>
        <v>Maasdijk 18</v>
      </c>
      <c r="B2482" t="s">
        <v>542</v>
      </c>
      <c r="C2482" t="s">
        <v>306</v>
      </c>
      <c r="D2482">
        <v>1879</v>
      </c>
      <c r="E2482">
        <v>607</v>
      </c>
      <c r="F2482" t="s">
        <v>543</v>
      </c>
      <c r="G2482">
        <v>18</v>
      </c>
    </row>
    <row r="2483" spans="1:7">
      <c r="A2483" t="str">
        <f t="shared" si="38"/>
        <v>Maasstaete 1</v>
      </c>
      <c r="B2483" t="s">
        <v>544</v>
      </c>
      <c r="C2483" t="s">
        <v>306</v>
      </c>
      <c r="D2483">
        <v>1999</v>
      </c>
      <c r="E2483">
        <v>112</v>
      </c>
      <c r="F2483" t="s">
        <v>545</v>
      </c>
      <c r="G2483">
        <v>1</v>
      </c>
    </row>
    <row r="2484" spans="1:7">
      <c r="A2484" t="str">
        <f t="shared" si="38"/>
        <v>Maasstaete 2</v>
      </c>
      <c r="B2484" t="s">
        <v>544</v>
      </c>
      <c r="C2484" t="s">
        <v>306</v>
      </c>
      <c r="D2484">
        <v>1999</v>
      </c>
      <c r="E2484">
        <v>99</v>
      </c>
      <c r="F2484" t="s">
        <v>545</v>
      </c>
      <c r="G2484">
        <v>2</v>
      </c>
    </row>
    <row r="2485" spans="1:7">
      <c r="A2485" t="str">
        <f t="shared" si="38"/>
        <v>Maasstaete 3</v>
      </c>
      <c r="B2485" t="s">
        <v>544</v>
      </c>
      <c r="C2485" t="s">
        <v>306</v>
      </c>
      <c r="D2485">
        <v>1999</v>
      </c>
      <c r="E2485">
        <v>99</v>
      </c>
      <c r="F2485" t="s">
        <v>545</v>
      </c>
      <c r="G2485">
        <v>3</v>
      </c>
    </row>
    <row r="2486" spans="1:7">
      <c r="A2486" t="str">
        <f t="shared" si="38"/>
        <v>Maasstaete 4</v>
      </c>
      <c r="B2486" t="s">
        <v>544</v>
      </c>
      <c r="C2486" t="s">
        <v>306</v>
      </c>
      <c r="D2486">
        <v>1999</v>
      </c>
      <c r="E2486">
        <v>112</v>
      </c>
      <c r="F2486" t="s">
        <v>545</v>
      </c>
      <c r="G2486">
        <v>4</v>
      </c>
    </row>
    <row r="2487" spans="1:7">
      <c r="A2487" t="str">
        <f t="shared" si="38"/>
        <v>Maasstaete 5</v>
      </c>
      <c r="B2487" t="s">
        <v>544</v>
      </c>
      <c r="C2487" t="s">
        <v>306</v>
      </c>
      <c r="D2487">
        <v>1999</v>
      </c>
      <c r="E2487">
        <v>112</v>
      </c>
      <c r="F2487" t="s">
        <v>545</v>
      </c>
      <c r="G2487">
        <v>5</v>
      </c>
    </row>
    <row r="2488" spans="1:7">
      <c r="A2488" t="str">
        <f t="shared" si="38"/>
        <v>Maasstaete 6</v>
      </c>
      <c r="B2488" t="s">
        <v>544</v>
      </c>
      <c r="C2488" t="s">
        <v>306</v>
      </c>
      <c r="D2488">
        <v>1999</v>
      </c>
      <c r="E2488">
        <v>112</v>
      </c>
      <c r="F2488" t="s">
        <v>545</v>
      </c>
      <c r="G2488">
        <v>6</v>
      </c>
    </row>
    <row r="2489" spans="1:7">
      <c r="A2489" t="str">
        <f t="shared" si="38"/>
        <v>Maasstaete 7</v>
      </c>
      <c r="B2489" t="s">
        <v>544</v>
      </c>
      <c r="C2489" t="s">
        <v>306</v>
      </c>
      <c r="D2489">
        <v>1999</v>
      </c>
      <c r="E2489">
        <v>95</v>
      </c>
      <c r="F2489" t="s">
        <v>545</v>
      </c>
      <c r="G2489">
        <v>7</v>
      </c>
    </row>
    <row r="2490" spans="1:7">
      <c r="A2490" t="str">
        <f t="shared" si="38"/>
        <v>Maasstaete 8</v>
      </c>
      <c r="B2490" t="s">
        <v>544</v>
      </c>
      <c r="C2490" t="s">
        <v>306</v>
      </c>
      <c r="D2490">
        <v>1999</v>
      </c>
      <c r="E2490">
        <v>95</v>
      </c>
      <c r="F2490" t="s">
        <v>545</v>
      </c>
      <c r="G2490">
        <v>8</v>
      </c>
    </row>
    <row r="2491" spans="1:7">
      <c r="A2491" t="str">
        <f t="shared" si="38"/>
        <v>Maasstaete 9</v>
      </c>
      <c r="B2491" t="s">
        <v>544</v>
      </c>
      <c r="C2491" t="s">
        <v>306</v>
      </c>
      <c r="D2491">
        <v>1999</v>
      </c>
      <c r="E2491">
        <v>99</v>
      </c>
      <c r="F2491" t="s">
        <v>545</v>
      </c>
      <c r="G2491">
        <v>9</v>
      </c>
    </row>
    <row r="2492" spans="1:7">
      <c r="A2492" t="str">
        <f t="shared" si="38"/>
        <v>Maasstaete 10</v>
      </c>
      <c r="B2492" t="s">
        <v>544</v>
      </c>
      <c r="C2492" t="s">
        <v>306</v>
      </c>
      <c r="D2492">
        <v>1999</v>
      </c>
      <c r="E2492">
        <v>112</v>
      </c>
      <c r="F2492" t="s">
        <v>545</v>
      </c>
      <c r="G2492">
        <v>10</v>
      </c>
    </row>
    <row r="2493" spans="1:7">
      <c r="A2493" t="str">
        <f t="shared" si="38"/>
        <v>Maasstaete 11</v>
      </c>
      <c r="B2493" t="s">
        <v>544</v>
      </c>
      <c r="C2493" t="s">
        <v>306</v>
      </c>
      <c r="D2493">
        <v>1999</v>
      </c>
      <c r="E2493">
        <v>112</v>
      </c>
      <c r="F2493" t="s">
        <v>545</v>
      </c>
      <c r="G2493">
        <v>11</v>
      </c>
    </row>
    <row r="2494" spans="1:7">
      <c r="A2494" t="str">
        <f t="shared" si="38"/>
        <v>Maasstaete 12</v>
      </c>
      <c r="B2494" t="s">
        <v>544</v>
      </c>
      <c r="C2494" t="s">
        <v>306</v>
      </c>
      <c r="D2494">
        <v>1999</v>
      </c>
      <c r="E2494">
        <v>99</v>
      </c>
      <c r="F2494" t="s">
        <v>545</v>
      </c>
      <c r="G2494">
        <v>12</v>
      </c>
    </row>
    <row r="2495" spans="1:7">
      <c r="A2495" t="str">
        <f t="shared" si="38"/>
        <v>Maasstaete 13</v>
      </c>
      <c r="B2495" t="s">
        <v>544</v>
      </c>
      <c r="C2495" t="s">
        <v>306</v>
      </c>
      <c r="D2495">
        <v>1999</v>
      </c>
      <c r="E2495">
        <v>95</v>
      </c>
      <c r="F2495" t="s">
        <v>545</v>
      </c>
      <c r="G2495">
        <v>13</v>
      </c>
    </row>
    <row r="2496" spans="1:7">
      <c r="A2496" t="str">
        <f t="shared" si="38"/>
        <v>Maasstaete 14</v>
      </c>
      <c r="B2496" t="s">
        <v>544</v>
      </c>
      <c r="C2496" t="s">
        <v>306</v>
      </c>
      <c r="D2496">
        <v>1999</v>
      </c>
      <c r="E2496">
        <v>95</v>
      </c>
      <c r="F2496" t="s">
        <v>545</v>
      </c>
      <c r="G2496">
        <v>14</v>
      </c>
    </row>
    <row r="2497" spans="1:8">
      <c r="A2497" t="str">
        <f t="shared" si="38"/>
        <v>Maasstaete 15</v>
      </c>
      <c r="B2497" t="s">
        <v>544</v>
      </c>
      <c r="C2497" t="s">
        <v>306</v>
      </c>
      <c r="D2497">
        <v>1999</v>
      </c>
      <c r="E2497">
        <v>99</v>
      </c>
      <c r="F2497" t="s">
        <v>545</v>
      </c>
      <c r="G2497">
        <v>15</v>
      </c>
    </row>
    <row r="2498" spans="1:8">
      <c r="A2498" t="str">
        <f t="shared" ref="A2498:A2561" si="39">CONCATENATE(F2498," ",G2498,H2498)</f>
        <v>Maasstaete 16</v>
      </c>
      <c r="B2498" t="s">
        <v>544</v>
      </c>
      <c r="C2498" t="s">
        <v>306</v>
      </c>
      <c r="D2498">
        <v>1999</v>
      </c>
      <c r="E2498">
        <v>112</v>
      </c>
      <c r="F2498" t="s">
        <v>545</v>
      </c>
      <c r="G2498">
        <v>16</v>
      </c>
    </row>
    <row r="2499" spans="1:8">
      <c r="A2499" t="str">
        <f t="shared" si="39"/>
        <v>Maasstaete 17</v>
      </c>
      <c r="B2499" t="s">
        <v>544</v>
      </c>
      <c r="C2499" t="s">
        <v>306</v>
      </c>
      <c r="D2499">
        <v>1999</v>
      </c>
      <c r="E2499">
        <v>111</v>
      </c>
      <c r="F2499" t="s">
        <v>545</v>
      </c>
      <c r="G2499">
        <v>17</v>
      </c>
    </row>
    <row r="2500" spans="1:8">
      <c r="A2500" t="str">
        <f t="shared" si="39"/>
        <v>Maasstaete 18</v>
      </c>
      <c r="B2500" t="s">
        <v>544</v>
      </c>
      <c r="C2500" t="s">
        <v>306</v>
      </c>
      <c r="D2500">
        <v>1999</v>
      </c>
      <c r="E2500">
        <v>107</v>
      </c>
      <c r="F2500" t="s">
        <v>545</v>
      </c>
      <c r="G2500">
        <v>18</v>
      </c>
    </row>
    <row r="2501" spans="1:8">
      <c r="A2501" t="str">
        <f t="shared" si="39"/>
        <v>Maasstaete 19</v>
      </c>
      <c r="B2501" t="s">
        <v>544</v>
      </c>
      <c r="C2501" t="s">
        <v>306</v>
      </c>
      <c r="D2501">
        <v>1999</v>
      </c>
      <c r="E2501">
        <v>105</v>
      </c>
      <c r="F2501" t="s">
        <v>545</v>
      </c>
      <c r="G2501">
        <v>19</v>
      </c>
    </row>
    <row r="2502" spans="1:8">
      <c r="A2502" t="str">
        <f t="shared" si="39"/>
        <v>Maasstaete 20</v>
      </c>
      <c r="B2502" t="s">
        <v>544</v>
      </c>
      <c r="C2502" t="s">
        <v>306</v>
      </c>
      <c r="D2502">
        <v>1999</v>
      </c>
      <c r="E2502">
        <v>105</v>
      </c>
      <c r="F2502" t="s">
        <v>545</v>
      </c>
      <c r="G2502">
        <v>20</v>
      </c>
    </row>
    <row r="2503" spans="1:8">
      <c r="A2503" t="str">
        <f t="shared" si="39"/>
        <v>Maasstaete 21</v>
      </c>
      <c r="B2503" t="s">
        <v>544</v>
      </c>
      <c r="C2503" t="s">
        <v>306</v>
      </c>
      <c r="D2503">
        <v>1999</v>
      </c>
      <c r="E2503">
        <v>107</v>
      </c>
      <c r="F2503" t="s">
        <v>545</v>
      </c>
      <c r="G2503">
        <v>21</v>
      </c>
    </row>
    <row r="2504" spans="1:8">
      <c r="A2504" t="str">
        <f t="shared" si="39"/>
        <v>Maasstaete 22</v>
      </c>
      <c r="B2504" t="s">
        <v>544</v>
      </c>
      <c r="C2504" t="s">
        <v>306</v>
      </c>
      <c r="D2504">
        <v>1999</v>
      </c>
      <c r="E2504">
        <v>111</v>
      </c>
      <c r="F2504" t="s">
        <v>545</v>
      </c>
      <c r="G2504">
        <v>22</v>
      </c>
    </row>
    <row r="2505" spans="1:8">
      <c r="A2505" t="str">
        <f t="shared" si="39"/>
        <v>Maasstaete 23</v>
      </c>
      <c r="B2505" t="s">
        <v>544</v>
      </c>
      <c r="C2505" t="s">
        <v>306</v>
      </c>
      <c r="D2505">
        <v>1999</v>
      </c>
      <c r="E2505">
        <v>86</v>
      </c>
      <c r="F2505" t="s">
        <v>545</v>
      </c>
      <c r="G2505">
        <v>23</v>
      </c>
    </row>
    <row r="2506" spans="1:8">
      <c r="A2506" t="str">
        <f t="shared" si="39"/>
        <v>Maasstaete 24</v>
      </c>
      <c r="B2506" t="s">
        <v>544</v>
      </c>
      <c r="C2506" t="s">
        <v>306</v>
      </c>
      <c r="D2506">
        <v>1999</v>
      </c>
      <c r="E2506">
        <v>90</v>
      </c>
      <c r="F2506" t="s">
        <v>545</v>
      </c>
      <c r="G2506">
        <v>24</v>
      </c>
    </row>
    <row r="2507" spans="1:8">
      <c r="A2507" t="str">
        <f t="shared" si="39"/>
        <v>Maasstaete 25</v>
      </c>
      <c r="B2507" t="s">
        <v>544</v>
      </c>
      <c r="C2507" t="s">
        <v>306</v>
      </c>
      <c r="D2507">
        <v>1999</v>
      </c>
      <c r="E2507">
        <v>86</v>
      </c>
      <c r="F2507" t="s">
        <v>545</v>
      </c>
      <c r="G2507">
        <v>25</v>
      </c>
    </row>
    <row r="2508" spans="1:8">
      <c r="A2508" t="str">
        <f t="shared" si="39"/>
        <v>Maasstaete 26</v>
      </c>
      <c r="B2508" t="s">
        <v>544</v>
      </c>
      <c r="C2508" t="s">
        <v>306</v>
      </c>
      <c r="D2508">
        <v>1999</v>
      </c>
      <c r="E2508">
        <v>86</v>
      </c>
      <c r="F2508" t="s">
        <v>545</v>
      </c>
      <c r="G2508">
        <v>26</v>
      </c>
    </row>
    <row r="2509" spans="1:8">
      <c r="A2509" t="str">
        <f t="shared" si="39"/>
        <v>Maasstaete 27</v>
      </c>
      <c r="B2509" t="s">
        <v>544</v>
      </c>
      <c r="C2509" t="s">
        <v>306</v>
      </c>
      <c r="D2509">
        <v>1999</v>
      </c>
      <c r="E2509">
        <v>90</v>
      </c>
      <c r="F2509" t="s">
        <v>545</v>
      </c>
      <c r="G2509">
        <v>27</v>
      </c>
    </row>
    <row r="2510" spans="1:8">
      <c r="A2510" t="str">
        <f t="shared" si="39"/>
        <v>Maasstaete 28</v>
      </c>
      <c r="B2510" t="s">
        <v>544</v>
      </c>
      <c r="C2510" t="s">
        <v>306</v>
      </c>
      <c r="D2510">
        <v>1999</v>
      </c>
      <c r="E2510">
        <v>86</v>
      </c>
      <c r="F2510" t="s">
        <v>545</v>
      </c>
      <c r="G2510">
        <v>28</v>
      </c>
    </row>
    <row r="2511" spans="1:8">
      <c r="A2511" t="str">
        <f t="shared" si="39"/>
        <v>Maasstaete 29a</v>
      </c>
      <c r="B2511" t="s">
        <v>546</v>
      </c>
      <c r="C2511" t="s">
        <v>306</v>
      </c>
      <c r="D2511">
        <v>1981</v>
      </c>
      <c r="E2511">
        <v>9</v>
      </c>
      <c r="F2511" t="s">
        <v>545</v>
      </c>
      <c r="G2511">
        <v>29</v>
      </c>
      <c r="H2511" t="s">
        <v>304</v>
      </c>
    </row>
    <row r="2512" spans="1:8">
      <c r="A2512" t="str">
        <f t="shared" si="39"/>
        <v>Maasstaete 29</v>
      </c>
      <c r="B2512" t="s">
        <v>546</v>
      </c>
      <c r="C2512" t="s">
        <v>306</v>
      </c>
      <c r="D2512">
        <v>1998</v>
      </c>
      <c r="E2512">
        <v>165</v>
      </c>
      <c r="F2512" t="s">
        <v>545</v>
      </c>
      <c r="G2512">
        <v>29</v>
      </c>
    </row>
    <row r="2513" spans="1:7">
      <c r="A2513" t="str">
        <f t="shared" si="39"/>
        <v>Maasstaete 30</v>
      </c>
      <c r="B2513" t="s">
        <v>546</v>
      </c>
      <c r="C2513" t="s">
        <v>306</v>
      </c>
      <c r="D2513">
        <v>1998</v>
      </c>
      <c r="E2513">
        <v>166</v>
      </c>
      <c r="F2513" t="s">
        <v>545</v>
      </c>
      <c r="G2513">
        <v>30</v>
      </c>
    </row>
    <row r="2514" spans="1:7">
      <c r="A2514" t="str">
        <f t="shared" si="39"/>
        <v>Maasstaete 31</v>
      </c>
      <c r="B2514" t="s">
        <v>546</v>
      </c>
      <c r="C2514" t="s">
        <v>306</v>
      </c>
      <c r="D2514">
        <v>1998</v>
      </c>
      <c r="E2514">
        <v>166</v>
      </c>
      <c r="F2514" t="s">
        <v>545</v>
      </c>
      <c r="G2514">
        <v>31</v>
      </c>
    </row>
    <row r="2515" spans="1:7">
      <c r="A2515" t="str">
        <f t="shared" si="39"/>
        <v>Maasstaete 32</v>
      </c>
      <c r="B2515" t="s">
        <v>546</v>
      </c>
      <c r="C2515" t="s">
        <v>306</v>
      </c>
      <c r="D2515">
        <v>1998</v>
      </c>
      <c r="E2515">
        <v>166</v>
      </c>
      <c r="F2515" t="s">
        <v>545</v>
      </c>
      <c r="G2515">
        <v>32</v>
      </c>
    </row>
    <row r="2516" spans="1:7">
      <c r="A2516" t="str">
        <f t="shared" si="39"/>
        <v>Maasstaete 33</v>
      </c>
      <c r="B2516" t="s">
        <v>546</v>
      </c>
      <c r="C2516" t="s">
        <v>306</v>
      </c>
      <c r="D2516">
        <v>1998</v>
      </c>
      <c r="E2516">
        <v>166</v>
      </c>
      <c r="F2516" t="s">
        <v>545</v>
      </c>
      <c r="G2516">
        <v>33</v>
      </c>
    </row>
    <row r="2517" spans="1:7">
      <c r="A2517" t="str">
        <f t="shared" si="39"/>
        <v>Maasstaete 34</v>
      </c>
      <c r="B2517" t="s">
        <v>546</v>
      </c>
      <c r="C2517" t="s">
        <v>306</v>
      </c>
      <c r="D2517">
        <v>1998</v>
      </c>
      <c r="E2517">
        <v>166</v>
      </c>
      <c r="F2517" t="s">
        <v>545</v>
      </c>
      <c r="G2517">
        <v>34</v>
      </c>
    </row>
    <row r="2518" spans="1:7">
      <c r="A2518" t="str">
        <f t="shared" si="39"/>
        <v>Maasstaete 35</v>
      </c>
      <c r="B2518" t="s">
        <v>546</v>
      </c>
      <c r="C2518" t="s">
        <v>306</v>
      </c>
      <c r="D2518">
        <v>1998</v>
      </c>
      <c r="E2518">
        <v>166</v>
      </c>
      <c r="F2518" t="s">
        <v>545</v>
      </c>
      <c r="G2518">
        <v>35</v>
      </c>
    </row>
    <row r="2519" spans="1:7">
      <c r="A2519" t="str">
        <f t="shared" si="39"/>
        <v>Maasstaete 36</v>
      </c>
      <c r="B2519" t="s">
        <v>546</v>
      </c>
      <c r="C2519" t="s">
        <v>306</v>
      </c>
      <c r="D2519">
        <v>1998</v>
      </c>
      <c r="E2519">
        <v>166</v>
      </c>
      <c r="F2519" t="s">
        <v>545</v>
      </c>
      <c r="G2519">
        <v>36</v>
      </c>
    </row>
    <row r="2520" spans="1:7">
      <c r="A2520" t="str">
        <f t="shared" si="39"/>
        <v>Maasstaete 37</v>
      </c>
      <c r="B2520" t="s">
        <v>546</v>
      </c>
      <c r="C2520" t="s">
        <v>306</v>
      </c>
      <c r="D2520">
        <v>1998</v>
      </c>
      <c r="E2520">
        <v>166</v>
      </c>
      <c r="F2520" t="s">
        <v>545</v>
      </c>
      <c r="G2520">
        <v>37</v>
      </c>
    </row>
    <row r="2521" spans="1:7">
      <c r="A2521" t="str">
        <f t="shared" si="39"/>
        <v>Maasstaete 38</v>
      </c>
      <c r="B2521" t="s">
        <v>546</v>
      </c>
      <c r="C2521" t="s">
        <v>306</v>
      </c>
      <c r="D2521">
        <v>1998</v>
      </c>
      <c r="E2521">
        <v>166</v>
      </c>
      <c r="F2521" t="s">
        <v>545</v>
      </c>
      <c r="G2521">
        <v>38</v>
      </c>
    </row>
    <row r="2522" spans="1:7">
      <c r="A2522" t="str">
        <f t="shared" si="39"/>
        <v>Maasstaete 39</v>
      </c>
      <c r="B2522" t="s">
        <v>546</v>
      </c>
      <c r="C2522" t="s">
        <v>306</v>
      </c>
      <c r="D2522">
        <v>1998</v>
      </c>
      <c r="E2522">
        <v>166</v>
      </c>
      <c r="F2522" t="s">
        <v>545</v>
      </c>
      <c r="G2522">
        <v>39</v>
      </c>
    </row>
    <row r="2523" spans="1:7">
      <c r="A2523" t="str">
        <f t="shared" si="39"/>
        <v>Maasstaete 40</v>
      </c>
      <c r="B2523" t="s">
        <v>546</v>
      </c>
      <c r="C2523" t="s">
        <v>306</v>
      </c>
      <c r="D2523">
        <v>1998</v>
      </c>
      <c r="E2523">
        <v>306</v>
      </c>
      <c r="F2523" t="s">
        <v>545</v>
      </c>
      <c r="G2523">
        <v>40</v>
      </c>
    </row>
    <row r="2524" spans="1:7">
      <c r="A2524" t="str">
        <f t="shared" si="39"/>
        <v>Maasstaete 41</v>
      </c>
      <c r="B2524" t="s">
        <v>546</v>
      </c>
      <c r="C2524" t="s">
        <v>306</v>
      </c>
      <c r="D2524">
        <v>1998</v>
      </c>
      <c r="E2524">
        <v>194</v>
      </c>
      <c r="F2524" t="s">
        <v>545</v>
      </c>
      <c r="G2524">
        <v>41</v>
      </c>
    </row>
    <row r="2525" spans="1:7">
      <c r="A2525" t="str">
        <f t="shared" si="39"/>
        <v>Maasstaete 42</v>
      </c>
      <c r="B2525" t="s">
        <v>546</v>
      </c>
      <c r="C2525" t="s">
        <v>306</v>
      </c>
      <c r="D2525">
        <v>1998</v>
      </c>
      <c r="E2525">
        <v>249</v>
      </c>
      <c r="F2525" t="s">
        <v>545</v>
      </c>
      <c r="G2525">
        <v>42</v>
      </c>
    </row>
    <row r="2526" spans="1:7">
      <c r="A2526" t="str">
        <f t="shared" si="39"/>
        <v>Maasstaete 43</v>
      </c>
      <c r="B2526" t="s">
        <v>546</v>
      </c>
      <c r="C2526" t="s">
        <v>306</v>
      </c>
      <c r="D2526">
        <v>1998</v>
      </c>
      <c r="E2526">
        <v>177</v>
      </c>
      <c r="F2526" t="s">
        <v>545</v>
      </c>
      <c r="G2526">
        <v>43</v>
      </c>
    </row>
    <row r="2527" spans="1:7">
      <c r="A2527" t="str">
        <f t="shared" si="39"/>
        <v>Maasstaete 44</v>
      </c>
      <c r="B2527" t="s">
        <v>546</v>
      </c>
      <c r="C2527" t="s">
        <v>306</v>
      </c>
      <c r="D2527">
        <v>1998</v>
      </c>
      <c r="E2527">
        <v>165</v>
      </c>
      <c r="F2527" t="s">
        <v>545</v>
      </c>
      <c r="G2527">
        <v>44</v>
      </c>
    </row>
    <row r="2528" spans="1:7">
      <c r="A2528" t="str">
        <f t="shared" si="39"/>
        <v>Maasstaete 45</v>
      </c>
      <c r="B2528" t="s">
        <v>546</v>
      </c>
      <c r="C2528" t="s">
        <v>306</v>
      </c>
      <c r="D2528">
        <v>1998</v>
      </c>
      <c r="E2528">
        <v>186</v>
      </c>
      <c r="F2528" t="s">
        <v>545</v>
      </c>
      <c r="G2528">
        <v>45</v>
      </c>
    </row>
    <row r="2529" spans="1:7">
      <c r="A2529" t="str">
        <f t="shared" si="39"/>
        <v>Maasstaete 46</v>
      </c>
      <c r="B2529" t="s">
        <v>546</v>
      </c>
      <c r="C2529" t="s">
        <v>306</v>
      </c>
      <c r="D2529">
        <v>1998</v>
      </c>
      <c r="E2529">
        <v>165</v>
      </c>
      <c r="F2529" t="s">
        <v>545</v>
      </c>
      <c r="G2529">
        <v>46</v>
      </c>
    </row>
    <row r="2530" spans="1:7">
      <c r="A2530" t="str">
        <f t="shared" si="39"/>
        <v>Maasstaete 47</v>
      </c>
      <c r="B2530" t="s">
        <v>546</v>
      </c>
      <c r="C2530" t="s">
        <v>306</v>
      </c>
      <c r="D2530">
        <v>1998</v>
      </c>
      <c r="E2530">
        <v>165</v>
      </c>
      <c r="F2530" t="s">
        <v>545</v>
      </c>
      <c r="G2530">
        <v>47</v>
      </c>
    </row>
    <row r="2531" spans="1:7">
      <c r="A2531" t="str">
        <f t="shared" si="39"/>
        <v>Maasstaete 48</v>
      </c>
      <c r="B2531" t="s">
        <v>547</v>
      </c>
      <c r="C2531" t="s">
        <v>306</v>
      </c>
      <c r="D2531">
        <v>1999</v>
      </c>
      <c r="E2531">
        <v>107</v>
      </c>
      <c r="F2531" t="s">
        <v>545</v>
      </c>
      <c r="G2531">
        <v>48</v>
      </c>
    </row>
    <row r="2532" spans="1:7">
      <c r="A2532" t="str">
        <f t="shared" si="39"/>
        <v>Maasstaete 49</v>
      </c>
      <c r="B2532" t="s">
        <v>547</v>
      </c>
      <c r="C2532" t="s">
        <v>306</v>
      </c>
      <c r="D2532">
        <v>1999</v>
      </c>
      <c r="E2532">
        <v>96</v>
      </c>
      <c r="F2532" t="s">
        <v>545</v>
      </c>
      <c r="G2532">
        <v>49</v>
      </c>
    </row>
    <row r="2533" spans="1:7">
      <c r="A2533" t="str">
        <f t="shared" si="39"/>
        <v>Maasstaete 50</v>
      </c>
      <c r="B2533" t="s">
        <v>547</v>
      </c>
      <c r="C2533" t="s">
        <v>306</v>
      </c>
      <c r="D2533">
        <v>1999</v>
      </c>
      <c r="E2533">
        <v>96</v>
      </c>
      <c r="F2533" t="s">
        <v>545</v>
      </c>
      <c r="G2533">
        <v>50</v>
      </c>
    </row>
    <row r="2534" spans="1:7">
      <c r="A2534" t="str">
        <f t="shared" si="39"/>
        <v>Maasstaete 51</v>
      </c>
      <c r="B2534" t="s">
        <v>547</v>
      </c>
      <c r="C2534" t="s">
        <v>306</v>
      </c>
      <c r="D2534">
        <v>1999</v>
      </c>
      <c r="E2534">
        <v>107</v>
      </c>
      <c r="F2534" t="s">
        <v>545</v>
      </c>
      <c r="G2534">
        <v>51</v>
      </c>
    </row>
    <row r="2535" spans="1:7">
      <c r="A2535" t="str">
        <f t="shared" si="39"/>
        <v>Maasstaete 52</v>
      </c>
      <c r="B2535" t="s">
        <v>547</v>
      </c>
      <c r="C2535" t="s">
        <v>306</v>
      </c>
      <c r="D2535">
        <v>1999</v>
      </c>
      <c r="E2535">
        <v>96</v>
      </c>
      <c r="F2535" t="s">
        <v>545</v>
      </c>
      <c r="G2535">
        <v>52</v>
      </c>
    </row>
    <row r="2536" spans="1:7">
      <c r="A2536" t="str">
        <f t="shared" si="39"/>
        <v>Maasstaete 53</v>
      </c>
      <c r="B2536" t="s">
        <v>547</v>
      </c>
      <c r="C2536" t="s">
        <v>306</v>
      </c>
      <c r="D2536">
        <v>1999</v>
      </c>
      <c r="E2536">
        <v>96</v>
      </c>
      <c r="F2536" t="s">
        <v>545</v>
      </c>
      <c r="G2536">
        <v>53</v>
      </c>
    </row>
    <row r="2537" spans="1:7">
      <c r="A2537" t="str">
        <f t="shared" si="39"/>
        <v>Maasstaete 54</v>
      </c>
      <c r="B2537" t="s">
        <v>547</v>
      </c>
      <c r="C2537" t="s">
        <v>306</v>
      </c>
      <c r="D2537">
        <v>1999</v>
      </c>
      <c r="E2537">
        <v>107</v>
      </c>
      <c r="F2537" t="s">
        <v>545</v>
      </c>
      <c r="G2537">
        <v>54</v>
      </c>
    </row>
    <row r="2538" spans="1:7">
      <c r="A2538" t="str">
        <f t="shared" si="39"/>
        <v>Maasstaete 55</v>
      </c>
      <c r="B2538" t="s">
        <v>547</v>
      </c>
      <c r="C2538" t="s">
        <v>306</v>
      </c>
      <c r="D2538">
        <v>1999</v>
      </c>
      <c r="E2538">
        <v>96</v>
      </c>
      <c r="F2538" t="s">
        <v>545</v>
      </c>
      <c r="G2538">
        <v>55</v>
      </c>
    </row>
    <row r="2539" spans="1:7">
      <c r="A2539" t="str">
        <f t="shared" si="39"/>
        <v>Maasstaete 56</v>
      </c>
      <c r="B2539" t="s">
        <v>547</v>
      </c>
      <c r="C2539" t="s">
        <v>306</v>
      </c>
      <c r="D2539">
        <v>1999</v>
      </c>
      <c r="E2539">
        <v>96</v>
      </c>
      <c r="F2539" t="s">
        <v>545</v>
      </c>
      <c r="G2539">
        <v>56</v>
      </c>
    </row>
    <row r="2540" spans="1:7">
      <c r="A2540" t="str">
        <f t="shared" si="39"/>
        <v>Maasstaete 57</v>
      </c>
      <c r="B2540" t="s">
        <v>547</v>
      </c>
      <c r="C2540" t="s">
        <v>306</v>
      </c>
      <c r="D2540">
        <v>1999</v>
      </c>
      <c r="E2540">
        <v>150</v>
      </c>
      <c r="F2540" t="s">
        <v>545</v>
      </c>
      <c r="G2540">
        <v>57</v>
      </c>
    </row>
    <row r="2541" spans="1:7">
      <c r="A2541" t="str">
        <f t="shared" si="39"/>
        <v>Maasstaete 58</v>
      </c>
      <c r="B2541" t="s">
        <v>547</v>
      </c>
      <c r="C2541" t="s">
        <v>306</v>
      </c>
      <c r="D2541">
        <v>1999</v>
      </c>
      <c r="E2541">
        <v>150</v>
      </c>
      <c r="F2541" t="s">
        <v>545</v>
      </c>
      <c r="G2541">
        <v>58</v>
      </c>
    </row>
    <row r="2542" spans="1:7">
      <c r="A2542" t="str">
        <f t="shared" si="39"/>
        <v>Maasstaete 59</v>
      </c>
      <c r="B2542" t="s">
        <v>547</v>
      </c>
      <c r="C2542" t="s">
        <v>306</v>
      </c>
      <c r="D2542">
        <v>1999</v>
      </c>
      <c r="E2542">
        <v>124</v>
      </c>
      <c r="F2542" t="s">
        <v>545</v>
      </c>
      <c r="G2542">
        <v>59</v>
      </c>
    </row>
    <row r="2543" spans="1:7">
      <c r="A2543" t="str">
        <f t="shared" si="39"/>
        <v>Maasstaete 60</v>
      </c>
      <c r="B2543" t="s">
        <v>547</v>
      </c>
      <c r="C2543" t="s">
        <v>306</v>
      </c>
      <c r="D2543">
        <v>1999</v>
      </c>
      <c r="E2543">
        <v>123</v>
      </c>
      <c r="F2543" t="s">
        <v>545</v>
      </c>
      <c r="G2543">
        <v>60</v>
      </c>
    </row>
    <row r="2544" spans="1:7">
      <c r="A2544" t="str">
        <f t="shared" si="39"/>
        <v>Maasstaete 61</v>
      </c>
      <c r="B2544" t="s">
        <v>547</v>
      </c>
      <c r="C2544" t="s">
        <v>306</v>
      </c>
      <c r="D2544">
        <v>1999</v>
      </c>
      <c r="E2544">
        <v>107</v>
      </c>
      <c r="F2544" t="s">
        <v>545</v>
      </c>
      <c r="G2544">
        <v>61</v>
      </c>
    </row>
    <row r="2545" spans="1:7">
      <c r="A2545" t="str">
        <f t="shared" si="39"/>
        <v>Maasstaete 62</v>
      </c>
      <c r="B2545" t="s">
        <v>547</v>
      </c>
      <c r="C2545" t="s">
        <v>306</v>
      </c>
      <c r="D2545">
        <v>1999</v>
      </c>
      <c r="E2545">
        <v>96</v>
      </c>
      <c r="F2545" t="s">
        <v>545</v>
      </c>
      <c r="G2545">
        <v>62</v>
      </c>
    </row>
    <row r="2546" spans="1:7">
      <c r="A2546" t="str">
        <f t="shared" si="39"/>
        <v>Maasstaete 63</v>
      </c>
      <c r="B2546" t="s">
        <v>547</v>
      </c>
      <c r="C2546" t="s">
        <v>306</v>
      </c>
      <c r="D2546">
        <v>1999</v>
      </c>
      <c r="E2546">
        <v>96</v>
      </c>
      <c r="F2546" t="s">
        <v>545</v>
      </c>
      <c r="G2546">
        <v>63</v>
      </c>
    </row>
    <row r="2547" spans="1:7">
      <c r="A2547" t="str">
        <f t="shared" si="39"/>
        <v>Maasstaete 64</v>
      </c>
      <c r="B2547" t="s">
        <v>547</v>
      </c>
      <c r="C2547" t="s">
        <v>306</v>
      </c>
      <c r="D2547">
        <v>1999</v>
      </c>
      <c r="E2547">
        <v>107</v>
      </c>
      <c r="F2547" t="s">
        <v>545</v>
      </c>
      <c r="G2547">
        <v>64</v>
      </c>
    </row>
    <row r="2548" spans="1:7">
      <c r="A2548" t="str">
        <f t="shared" si="39"/>
        <v>Maasstaete 65</v>
      </c>
      <c r="B2548" t="s">
        <v>547</v>
      </c>
      <c r="C2548" t="s">
        <v>306</v>
      </c>
      <c r="D2548">
        <v>1999</v>
      </c>
      <c r="E2548">
        <v>96</v>
      </c>
      <c r="F2548" t="s">
        <v>545</v>
      </c>
      <c r="G2548">
        <v>65</v>
      </c>
    </row>
    <row r="2549" spans="1:7">
      <c r="A2549" t="str">
        <f t="shared" si="39"/>
        <v>Maasstaete 66</v>
      </c>
      <c r="B2549" t="s">
        <v>547</v>
      </c>
      <c r="C2549" t="s">
        <v>306</v>
      </c>
      <c r="D2549">
        <v>1999</v>
      </c>
      <c r="E2549">
        <v>96</v>
      </c>
      <c r="F2549" t="s">
        <v>545</v>
      </c>
      <c r="G2549">
        <v>66</v>
      </c>
    </row>
    <row r="2550" spans="1:7">
      <c r="A2550" t="str">
        <f t="shared" si="39"/>
        <v>Maasstaete 67</v>
      </c>
      <c r="B2550" t="s">
        <v>547</v>
      </c>
      <c r="C2550" t="s">
        <v>306</v>
      </c>
      <c r="D2550">
        <v>1999</v>
      </c>
      <c r="E2550">
        <v>107</v>
      </c>
      <c r="F2550" t="s">
        <v>545</v>
      </c>
      <c r="G2550">
        <v>67</v>
      </c>
    </row>
    <row r="2551" spans="1:7">
      <c r="A2551" t="str">
        <f t="shared" si="39"/>
        <v>Maasstaete 68</v>
      </c>
      <c r="B2551" t="s">
        <v>547</v>
      </c>
      <c r="C2551" t="s">
        <v>306</v>
      </c>
      <c r="D2551">
        <v>1999</v>
      </c>
      <c r="E2551">
        <v>96</v>
      </c>
      <c r="F2551" t="s">
        <v>545</v>
      </c>
      <c r="G2551">
        <v>68</v>
      </c>
    </row>
    <row r="2552" spans="1:7">
      <c r="A2552" t="str">
        <f t="shared" si="39"/>
        <v>Maasstaete 69</v>
      </c>
      <c r="B2552" t="s">
        <v>547</v>
      </c>
      <c r="C2552" t="s">
        <v>306</v>
      </c>
      <c r="D2552">
        <v>1999</v>
      </c>
      <c r="E2552">
        <v>96</v>
      </c>
      <c r="F2552" t="s">
        <v>545</v>
      </c>
      <c r="G2552">
        <v>69</v>
      </c>
    </row>
    <row r="2553" spans="1:7">
      <c r="A2553" t="str">
        <f t="shared" si="39"/>
        <v>Maasstaete 70</v>
      </c>
      <c r="B2553" t="s">
        <v>547</v>
      </c>
      <c r="C2553" t="s">
        <v>306</v>
      </c>
      <c r="D2553">
        <v>1999</v>
      </c>
      <c r="E2553">
        <v>150</v>
      </c>
      <c r="F2553" t="s">
        <v>545</v>
      </c>
      <c r="G2553">
        <v>70</v>
      </c>
    </row>
    <row r="2554" spans="1:7">
      <c r="A2554" t="str">
        <f t="shared" si="39"/>
        <v>Maasstaete 71</v>
      </c>
      <c r="B2554" t="s">
        <v>547</v>
      </c>
      <c r="C2554" t="s">
        <v>306</v>
      </c>
      <c r="D2554">
        <v>1999</v>
      </c>
      <c r="E2554">
        <v>150</v>
      </c>
      <c r="F2554" t="s">
        <v>545</v>
      </c>
      <c r="G2554">
        <v>71</v>
      </c>
    </row>
    <row r="2555" spans="1:7">
      <c r="A2555" t="str">
        <f t="shared" si="39"/>
        <v>Maasstaete 72</v>
      </c>
      <c r="B2555" t="s">
        <v>547</v>
      </c>
      <c r="C2555" t="s">
        <v>306</v>
      </c>
      <c r="D2555">
        <v>1999</v>
      </c>
      <c r="E2555">
        <v>124</v>
      </c>
      <c r="F2555" t="s">
        <v>545</v>
      </c>
      <c r="G2555">
        <v>72</v>
      </c>
    </row>
    <row r="2556" spans="1:7">
      <c r="A2556" t="str">
        <f t="shared" si="39"/>
        <v>Maasstaete 73</v>
      </c>
      <c r="B2556" t="s">
        <v>547</v>
      </c>
      <c r="C2556" t="s">
        <v>306</v>
      </c>
      <c r="D2556">
        <v>1999</v>
      </c>
      <c r="E2556">
        <v>123</v>
      </c>
      <c r="F2556" t="s">
        <v>545</v>
      </c>
      <c r="G2556">
        <v>73</v>
      </c>
    </row>
    <row r="2557" spans="1:7">
      <c r="A2557" t="str">
        <f t="shared" si="39"/>
        <v>Maasstaete 74</v>
      </c>
      <c r="B2557" t="s">
        <v>548</v>
      </c>
      <c r="C2557" t="s">
        <v>306</v>
      </c>
      <c r="D2557">
        <v>1999</v>
      </c>
      <c r="E2557">
        <v>122</v>
      </c>
      <c r="F2557" t="s">
        <v>545</v>
      </c>
      <c r="G2557">
        <v>74</v>
      </c>
    </row>
    <row r="2558" spans="1:7">
      <c r="A2558" t="str">
        <f t="shared" si="39"/>
        <v>Maasstaete 75</v>
      </c>
      <c r="B2558" t="s">
        <v>548</v>
      </c>
      <c r="C2558" t="s">
        <v>306</v>
      </c>
      <c r="D2558">
        <v>1999</v>
      </c>
      <c r="E2558">
        <v>111</v>
      </c>
      <c r="F2558" t="s">
        <v>545</v>
      </c>
      <c r="G2558">
        <v>75</v>
      </c>
    </row>
    <row r="2559" spans="1:7">
      <c r="A2559" t="str">
        <f t="shared" si="39"/>
        <v>Maasstaete 76</v>
      </c>
      <c r="B2559" t="s">
        <v>548</v>
      </c>
      <c r="C2559" t="s">
        <v>306</v>
      </c>
      <c r="D2559">
        <v>1999</v>
      </c>
      <c r="E2559">
        <v>111</v>
      </c>
      <c r="F2559" t="s">
        <v>545</v>
      </c>
      <c r="G2559">
        <v>76</v>
      </c>
    </row>
    <row r="2560" spans="1:7">
      <c r="A2560" t="str">
        <f t="shared" si="39"/>
        <v>Maasstaete 77</v>
      </c>
      <c r="B2560" t="s">
        <v>548</v>
      </c>
      <c r="C2560" t="s">
        <v>306</v>
      </c>
      <c r="D2560">
        <v>1999</v>
      </c>
      <c r="E2560">
        <v>107</v>
      </c>
      <c r="F2560" t="s">
        <v>545</v>
      </c>
      <c r="G2560">
        <v>77</v>
      </c>
    </row>
    <row r="2561" spans="1:7">
      <c r="A2561" t="str">
        <f t="shared" si="39"/>
        <v>Maasstaete 78</v>
      </c>
      <c r="B2561" t="s">
        <v>548</v>
      </c>
      <c r="C2561" t="s">
        <v>306</v>
      </c>
      <c r="D2561">
        <v>1999</v>
      </c>
      <c r="E2561">
        <v>111</v>
      </c>
      <c r="F2561" t="s">
        <v>545</v>
      </c>
      <c r="G2561">
        <v>78</v>
      </c>
    </row>
    <row r="2562" spans="1:7">
      <c r="A2562" t="str">
        <f t="shared" ref="A2562:A2625" si="40">CONCATENATE(F2562," ",G2562,H2562)</f>
        <v>Maasstaete 79</v>
      </c>
      <c r="B2562" t="s">
        <v>548</v>
      </c>
      <c r="C2562" t="s">
        <v>306</v>
      </c>
      <c r="D2562">
        <v>1999</v>
      </c>
      <c r="E2562">
        <v>111</v>
      </c>
      <c r="F2562" t="s">
        <v>545</v>
      </c>
      <c r="G2562">
        <v>79</v>
      </c>
    </row>
    <row r="2563" spans="1:7">
      <c r="A2563" t="str">
        <f t="shared" si="40"/>
        <v>Maasstaete 80</v>
      </c>
      <c r="B2563" t="s">
        <v>548</v>
      </c>
      <c r="C2563" t="s">
        <v>306</v>
      </c>
      <c r="D2563">
        <v>1999</v>
      </c>
      <c r="E2563">
        <v>122</v>
      </c>
      <c r="F2563" t="s">
        <v>545</v>
      </c>
      <c r="G2563">
        <v>80</v>
      </c>
    </row>
    <row r="2564" spans="1:7">
      <c r="A2564" t="str">
        <f t="shared" si="40"/>
        <v>Maasstaete 81</v>
      </c>
      <c r="B2564" t="s">
        <v>548</v>
      </c>
      <c r="C2564" t="s">
        <v>306</v>
      </c>
      <c r="D2564">
        <v>1999</v>
      </c>
      <c r="E2564">
        <v>111</v>
      </c>
      <c r="F2564" t="s">
        <v>545</v>
      </c>
      <c r="G2564">
        <v>81</v>
      </c>
    </row>
    <row r="2565" spans="1:7">
      <c r="A2565" t="str">
        <f t="shared" si="40"/>
        <v>Maasstaete 82</v>
      </c>
      <c r="B2565" t="s">
        <v>548</v>
      </c>
      <c r="C2565" t="s">
        <v>306</v>
      </c>
      <c r="D2565">
        <v>1999</v>
      </c>
      <c r="E2565">
        <v>111</v>
      </c>
      <c r="F2565" t="s">
        <v>545</v>
      </c>
      <c r="G2565">
        <v>82</v>
      </c>
    </row>
    <row r="2566" spans="1:7">
      <c r="A2566" t="str">
        <f t="shared" si="40"/>
        <v>Maasstaete 83</v>
      </c>
      <c r="B2566" t="s">
        <v>548</v>
      </c>
      <c r="C2566" t="s">
        <v>306</v>
      </c>
      <c r="D2566">
        <v>1999</v>
      </c>
      <c r="E2566">
        <v>165</v>
      </c>
      <c r="F2566" t="s">
        <v>545</v>
      </c>
      <c r="G2566">
        <v>83</v>
      </c>
    </row>
    <row r="2567" spans="1:7">
      <c r="A2567" t="str">
        <f t="shared" si="40"/>
        <v>Maasstaete 84</v>
      </c>
      <c r="B2567" t="s">
        <v>548</v>
      </c>
      <c r="C2567" t="s">
        <v>306</v>
      </c>
      <c r="D2567">
        <v>1999</v>
      </c>
      <c r="E2567">
        <v>165</v>
      </c>
      <c r="F2567" t="s">
        <v>545</v>
      </c>
      <c r="G2567">
        <v>84</v>
      </c>
    </row>
    <row r="2568" spans="1:7">
      <c r="A2568" t="str">
        <f t="shared" si="40"/>
        <v>Maasstaete 85</v>
      </c>
      <c r="B2568" t="s">
        <v>548</v>
      </c>
      <c r="C2568" t="s">
        <v>306</v>
      </c>
      <c r="D2568">
        <v>1999</v>
      </c>
      <c r="E2568">
        <v>139</v>
      </c>
      <c r="F2568" t="s">
        <v>545</v>
      </c>
      <c r="G2568">
        <v>85</v>
      </c>
    </row>
    <row r="2569" spans="1:7">
      <c r="A2569" t="str">
        <f t="shared" si="40"/>
        <v>Maasstaete 86</v>
      </c>
      <c r="B2569" t="s">
        <v>548</v>
      </c>
      <c r="C2569" t="s">
        <v>306</v>
      </c>
      <c r="D2569">
        <v>1999</v>
      </c>
      <c r="E2569">
        <v>138</v>
      </c>
      <c r="F2569" t="s">
        <v>545</v>
      </c>
      <c r="G2569">
        <v>86</v>
      </c>
    </row>
    <row r="2570" spans="1:7">
      <c r="A2570" t="str">
        <f t="shared" si="40"/>
        <v>Maasstaete 87</v>
      </c>
      <c r="B2570" t="s">
        <v>548</v>
      </c>
      <c r="C2570" t="s">
        <v>306</v>
      </c>
      <c r="D2570">
        <v>1999</v>
      </c>
      <c r="E2570">
        <v>107</v>
      </c>
      <c r="F2570" t="s">
        <v>545</v>
      </c>
      <c r="G2570">
        <v>87</v>
      </c>
    </row>
    <row r="2571" spans="1:7">
      <c r="A2571" t="str">
        <f t="shared" si="40"/>
        <v>Maasstaete 88</v>
      </c>
      <c r="B2571" t="s">
        <v>548</v>
      </c>
      <c r="C2571" t="s">
        <v>306</v>
      </c>
      <c r="D2571">
        <v>1999</v>
      </c>
      <c r="E2571">
        <v>96</v>
      </c>
      <c r="F2571" t="s">
        <v>545</v>
      </c>
      <c r="G2571">
        <v>88</v>
      </c>
    </row>
    <row r="2572" spans="1:7">
      <c r="A2572" t="str">
        <f t="shared" si="40"/>
        <v>Maasstaete 89</v>
      </c>
      <c r="B2572" t="s">
        <v>548</v>
      </c>
      <c r="C2572" t="s">
        <v>306</v>
      </c>
      <c r="D2572">
        <v>1999</v>
      </c>
      <c r="E2572">
        <v>96</v>
      </c>
      <c r="F2572" t="s">
        <v>545</v>
      </c>
      <c r="G2572">
        <v>89</v>
      </c>
    </row>
    <row r="2573" spans="1:7">
      <c r="A2573" t="str">
        <f t="shared" si="40"/>
        <v>Maasstaete 90</v>
      </c>
      <c r="B2573" t="s">
        <v>548</v>
      </c>
      <c r="C2573" t="s">
        <v>306</v>
      </c>
      <c r="D2573">
        <v>1999</v>
      </c>
      <c r="E2573">
        <v>107</v>
      </c>
      <c r="F2573" t="s">
        <v>545</v>
      </c>
      <c r="G2573">
        <v>90</v>
      </c>
    </row>
    <row r="2574" spans="1:7">
      <c r="A2574" t="str">
        <f t="shared" si="40"/>
        <v>Maasstaete 91</v>
      </c>
      <c r="B2574" t="s">
        <v>548</v>
      </c>
      <c r="C2574" t="s">
        <v>306</v>
      </c>
      <c r="D2574">
        <v>1999</v>
      </c>
      <c r="E2574">
        <v>96</v>
      </c>
      <c r="F2574" t="s">
        <v>545</v>
      </c>
      <c r="G2574">
        <v>91</v>
      </c>
    </row>
    <row r="2575" spans="1:7">
      <c r="A2575" t="str">
        <f t="shared" si="40"/>
        <v>Maasstaete 92</v>
      </c>
      <c r="B2575" t="s">
        <v>548</v>
      </c>
      <c r="C2575" t="s">
        <v>306</v>
      </c>
      <c r="D2575">
        <v>1999</v>
      </c>
      <c r="E2575">
        <v>96</v>
      </c>
      <c r="F2575" t="s">
        <v>545</v>
      </c>
      <c r="G2575">
        <v>92</v>
      </c>
    </row>
    <row r="2576" spans="1:7">
      <c r="A2576" t="str">
        <f t="shared" si="40"/>
        <v>Maasstaete 93</v>
      </c>
      <c r="B2576" t="s">
        <v>548</v>
      </c>
      <c r="C2576" t="s">
        <v>306</v>
      </c>
      <c r="D2576">
        <v>1999</v>
      </c>
      <c r="E2576">
        <v>107</v>
      </c>
      <c r="F2576" t="s">
        <v>545</v>
      </c>
      <c r="G2576">
        <v>93</v>
      </c>
    </row>
    <row r="2577" spans="1:7">
      <c r="A2577" t="str">
        <f t="shared" si="40"/>
        <v>Maasstaete 94</v>
      </c>
      <c r="B2577" t="s">
        <v>548</v>
      </c>
      <c r="C2577" t="s">
        <v>306</v>
      </c>
      <c r="D2577">
        <v>1999</v>
      </c>
      <c r="E2577">
        <v>96</v>
      </c>
      <c r="F2577" t="s">
        <v>545</v>
      </c>
      <c r="G2577">
        <v>94</v>
      </c>
    </row>
    <row r="2578" spans="1:7">
      <c r="A2578" t="str">
        <f t="shared" si="40"/>
        <v>Maasstaete 95</v>
      </c>
      <c r="B2578" t="s">
        <v>548</v>
      </c>
      <c r="C2578" t="s">
        <v>306</v>
      </c>
      <c r="D2578">
        <v>1999</v>
      </c>
      <c r="E2578">
        <v>96</v>
      </c>
      <c r="F2578" t="s">
        <v>545</v>
      </c>
      <c r="G2578">
        <v>95</v>
      </c>
    </row>
    <row r="2579" spans="1:7">
      <c r="A2579" t="str">
        <f t="shared" si="40"/>
        <v>Maasstaete 96</v>
      </c>
      <c r="B2579" t="s">
        <v>548</v>
      </c>
      <c r="C2579" t="s">
        <v>306</v>
      </c>
      <c r="D2579">
        <v>1999</v>
      </c>
      <c r="E2579">
        <v>124</v>
      </c>
      <c r="F2579" t="s">
        <v>545</v>
      </c>
      <c r="G2579">
        <v>96</v>
      </c>
    </row>
    <row r="2580" spans="1:7">
      <c r="A2580" t="str">
        <f t="shared" si="40"/>
        <v>Maasstaete 97</v>
      </c>
      <c r="B2580" t="s">
        <v>548</v>
      </c>
      <c r="C2580" t="s">
        <v>306</v>
      </c>
      <c r="D2580">
        <v>1999</v>
      </c>
      <c r="E2580">
        <v>123</v>
      </c>
      <c r="F2580" t="s">
        <v>545</v>
      </c>
      <c r="G2580">
        <v>97</v>
      </c>
    </row>
    <row r="2581" spans="1:7">
      <c r="A2581" t="str">
        <f t="shared" si="40"/>
        <v>Maasstaete 98</v>
      </c>
      <c r="B2581" t="s">
        <v>549</v>
      </c>
      <c r="C2581" t="s">
        <v>306</v>
      </c>
      <c r="D2581">
        <v>1998</v>
      </c>
      <c r="E2581">
        <v>73</v>
      </c>
      <c r="F2581" t="s">
        <v>545</v>
      </c>
      <c r="G2581">
        <v>98</v>
      </c>
    </row>
    <row r="2582" spans="1:7">
      <c r="A2582" t="str">
        <f t="shared" si="40"/>
        <v>Maasstaete 99</v>
      </c>
      <c r="B2582" t="s">
        <v>549</v>
      </c>
      <c r="C2582" t="s">
        <v>306</v>
      </c>
      <c r="D2582">
        <v>1998</v>
      </c>
      <c r="E2582">
        <v>168</v>
      </c>
      <c r="F2582" t="s">
        <v>545</v>
      </c>
      <c r="G2582">
        <v>99</v>
      </c>
    </row>
    <row r="2583" spans="1:7">
      <c r="A2583" t="str">
        <f t="shared" si="40"/>
        <v>Maasstaete 100</v>
      </c>
      <c r="B2583" t="s">
        <v>549</v>
      </c>
      <c r="C2583" t="s">
        <v>306</v>
      </c>
      <c r="D2583">
        <v>1998</v>
      </c>
      <c r="E2583">
        <v>73</v>
      </c>
      <c r="F2583" t="s">
        <v>545</v>
      </c>
      <c r="G2583">
        <v>100</v>
      </c>
    </row>
    <row r="2584" spans="1:7">
      <c r="A2584" t="str">
        <f t="shared" si="40"/>
        <v>Maasstaete 101</v>
      </c>
      <c r="B2584" t="s">
        <v>549</v>
      </c>
      <c r="C2584" t="s">
        <v>306</v>
      </c>
      <c r="D2584">
        <v>1998</v>
      </c>
      <c r="E2584">
        <v>73</v>
      </c>
      <c r="F2584" t="s">
        <v>545</v>
      </c>
      <c r="G2584">
        <v>101</v>
      </c>
    </row>
    <row r="2585" spans="1:7">
      <c r="A2585" t="str">
        <f t="shared" si="40"/>
        <v>Maasstaete 102</v>
      </c>
      <c r="B2585" t="s">
        <v>549</v>
      </c>
      <c r="C2585" t="s">
        <v>306</v>
      </c>
      <c r="D2585">
        <v>1998</v>
      </c>
      <c r="E2585">
        <v>73</v>
      </c>
      <c r="F2585" t="s">
        <v>545</v>
      </c>
      <c r="G2585">
        <v>102</v>
      </c>
    </row>
    <row r="2586" spans="1:7">
      <c r="A2586" t="str">
        <f t="shared" si="40"/>
        <v>Maasstaete 103</v>
      </c>
      <c r="B2586" t="s">
        <v>549</v>
      </c>
      <c r="C2586" t="s">
        <v>306</v>
      </c>
      <c r="D2586">
        <v>1998</v>
      </c>
      <c r="E2586">
        <v>73</v>
      </c>
      <c r="F2586" t="s">
        <v>545</v>
      </c>
      <c r="G2586">
        <v>103</v>
      </c>
    </row>
    <row r="2587" spans="1:7">
      <c r="A2587" t="str">
        <f t="shared" si="40"/>
        <v>Maasstaete 104</v>
      </c>
      <c r="B2587" t="s">
        <v>549</v>
      </c>
      <c r="C2587" t="s">
        <v>306</v>
      </c>
      <c r="D2587">
        <v>1998</v>
      </c>
      <c r="E2587">
        <v>73</v>
      </c>
      <c r="F2587" t="s">
        <v>545</v>
      </c>
      <c r="G2587">
        <v>104</v>
      </c>
    </row>
    <row r="2588" spans="1:7">
      <c r="A2588" t="str">
        <f t="shared" si="40"/>
        <v>Maasstaete 105</v>
      </c>
      <c r="B2588" t="s">
        <v>549</v>
      </c>
      <c r="C2588" t="s">
        <v>306</v>
      </c>
      <c r="D2588">
        <v>1998</v>
      </c>
      <c r="E2588">
        <v>73</v>
      </c>
      <c r="F2588" t="s">
        <v>545</v>
      </c>
      <c r="G2588">
        <v>105</v>
      </c>
    </row>
    <row r="2589" spans="1:7">
      <c r="A2589" t="str">
        <f t="shared" si="40"/>
        <v>Maasstaete 106</v>
      </c>
      <c r="B2589" t="s">
        <v>549</v>
      </c>
      <c r="C2589" t="s">
        <v>306</v>
      </c>
      <c r="D2589">
        <v>1998</v>
      </c>
      <c r="E2589">
        <v>73</v>
      </c>
      <c r="F2589" t="s">
        <v>545</v>
      </c>
      <c r="G2589">
        <v>106</v>
      </c>
    </row>
    <row r="2590" spans="1:7">
      <c r="A2590" t="str">
        <f t="shared" si="40"/>
        <v>Maasstaete 107</v>
      </c>
      <c r="B2590" t="s">
        <v>549</v>
      </c>
      <c r="C2590" t="s">
        <v>306</v>
      </c>
      <c r="D2590">
        <v>1998</v>
      </c>
      <c r="E2590">
        <v>73</v>
      </c>
      <c r="F2590" t="s">
        <v>545</v>
      </c>
      <c r="G2590">
        <v>107</v>
      </c>
    </row>
    <row r="2591" spans="1:7">
      <c r="A2591" t="str">
        <f t="shared" si="40"/>
        <v>Maasstaete 108</v>
      </c>
      <c r="B2591" t="s">
        <v>549</v>
      </c>
      <c r="C2591" t="s">
        <v>306</v>
      </c>
      <c r="D2591">
        <v>1998</v>
      </c>
      <c r="E2591">
        <v>73</v>
      </c>
      <c r="F2591" t="s">
        <v>545</v>
      </c>
      <c r="G2591">
        <v>108</v>
      </c>
    </row>
    <row r="2592" spans="1:7">
      <c r="A2592" t="str">
        <f t="shared" si="40"/>
        <v>Maasstaete 109</v>
      </c>
      <c r="B2592" t="s">
        <v>549</v>
      </c>
      <c r="C2592" t="s">
        <v>306</v>
      </c>
      <c r="D2592">
        <v>1998</v>
      </c>
      <c r="E2592">
        <v>73</v>
      </c>
      <c r="F2592" t="s">
        <v>545</v>
      </c>
      <c r="G2592">
        <v>109</v>
      </c>
    </row>
    <row r="2593" spans="1:7">
      <c r="A2593" t="str">
        <f t="shared" si="40"/>
        <v>Maasstaete 110</v>
      </c>
      <c r="B2593" t="s">
        <v>549</v>
      </c>
      <c r="C2593" t="s">
        <v>306</v>
      </c>
      <c r="D2593">
        <v>1998</v>
      </c>
      <c r="E2593">
        <v>73</v>
      </c>
      <c r="F2593" t="s">
        <v>545</v>
      </c>
      <c r="G2593">
        <v>110</v>
      </c>
    </row>
    <row r="2594" spans="1:7">
      <c r="A2594" t="str">
        <f t="shared" si="40"/>
        <v>Maasstaete 111</v>
      </c>
      <c r="B2594" t="s">
        <v>549</v>
      </c>
      <c r="C2594" t="s">
        <v>306</v>
      </c>
      <c r="D2594">
        <v>1998</v>
      </c>
      <c r="E2594">
        <v>73</v>
      </c>
      <c r="F2594" t="s">
        <v>545</v>
      </c>
      <c r="G2594">
        <v>111</v>
      </c>
    </row>
    <row r="2595" spans="1:7">
      <c r="A2595" t="str">
        <f t="shared" si="40"/>
        <v>Maasstaete 112</v>
      </c>
      <c r="B2595" t="s">
        <v>549</v>
      </c>
      <c r="C2595" t="s">
        <v>306</v>
      </c>
      <c r="D2595">
        <v>1998</v>
      </c>
      <c r="E2595">
        <v>95</v>
      </c>
      <c r="F2595" t="s">
        <v>545</v>
      </c>
      <c r="G2595">
        <v>112</v>
      </c>
    </row>
    <row r="2596" spans="1:7">
      <c r="A2596" t="str">
        <f t="shared" si="40"/>
        <v>Maasstaete 113</v>
      </c>
      <c r="B2596" t="s">
        <v>549</v>
      </c>
      <c r="C2596" t="s">
        <v>306</v>
      </c>
      <c r="D2596">
        <v>1998</v>
      </c>
      <c r="E2596">
        <v>30</v>
      </c>
      <c r="F2596" t="s">
        <v>545</v>
      </c>
      <c r="G2596">
        <v>113</v>
      </c>
    </row>
    <row r="2597" spans="1:7">
      <c r="A2597" t="str">
        <f t="shared" si="40"/>
        <v>Maasstaete 114</v>
      </c>
      <c r="B2597" t="s">
        <v>549</v>
      </c>
      <c r="C2597" t="s">
        <v>306</v>
      </c>
      <c r="D2597">
        <v>1998</v>
      </c>
      <c r="E2597">
        <v>170</v>
      </c>
      <c r="F2597" t="s">
        <v>545</v>
      </c>
      <c r="G2597">
        <v>114</v>
      </c>
    </row>
    <row r="2598" spans="1:7">
      <c r="A2598" t="str">
        <f t="shared" si="40"/>
        <v>Maasstaete 115</v>
      </c>
      <c r="B2598" t="s">
        <v>549</v>
      </c>
      <c r="C2598" t="s">
        <v>306</v>
      </c>
      <c r="D2598">
        <v>1998</v>
      </c>
      <c r="E2598">
        <v>73</v>
      </c>
      <c r="F2598" t="s">
        <v>545</v>
      </c>
      <c r="G2598">
        <v>115</v>
      </c>
    </row>
    <row r="2599" spans="1:7">
      <c r="A2599" t="str">
        <f t="shared" si="40"/>
        <v>Maasstaete 116</v>
      </c>
      <c r="B2599" t="s">
        <v>549</v>
      </c>
      <c r="C2599" t="s">
        <v>306</v>
      </c>
      <c r="D2599">
        <v>1998</v>
      </c>
      <c r="E2599">
        <v>73</v>
      </c>
      <c r="F2599" t="s">
        <v>545</v>
      </c>
      <c r="G2599">
        <v>116</v>
      </c>
    </row>
    <row r="2600" spans="1:7">
      <c r="A2600" t="str">
        <f t="shared" si="40"/>
        <v>Maasstaete 117</v>
      </c>
      <c r="B2600" t="s">
        <v>549</v>
      </c>
      <c r="C2600" t="s">
        <v>306</v>
      </c>
      <c r="D2600">
        <v>1998</v>
      </c>
      <c r="E2600">
        <v>73</v>
      </c>
      <c r="F2600" t="s">
        <v>545</v>
      </c>
      <c r="G2600">
        <v>117</v>
      </c>
    </row>
    <row r="2601" spans="1:7">
      <c r="A2601" t="str">
        <f t="shared" si="40"/>
        <v>Maasstaete 118</v>
      </c>
      <c r="B2601" t="s">
        <v>549</v>
      </c>
      <c r="C2601" t="s">
        <v>306</v>
      </c>
      <c r="D2601">
        <v>1998</v>
      </c>
      <c r="E2601">
        <v>73</v>
      </c>
      <c r="F2601" t="s">
        <v>545</v>
      </c>
      <c r="G2601">
        <v>118</v>
      </c>
    </row>
    <row r="2602" spans="1:7">
      <c r="A2602" t="str">
        <f t="shared" si="40"/>
        <v>Maasstaete 119</v>
      </c>
      <c r="B2602" t="s">
        <v>549</v>
      </c>
      <c r="C2602" t="s">
        <v>306</v>
      </c>
      <c r="D2602">
        <v>1998</v>
      </c>
      <c r="E2602">
        <v>73</v>
      </c>
      <c r="F2602" t="s">
        <v>545</v>
      </c>
      <c r="G2602">
        <v>119</v>
      </c>
    </row>
    <row r="2603" spans="1:7">
      <c r="A2603" t="str">
        <f t="shared" si="40"/>
        <v>Maasstaete 120</v>
      </c>
      <c r="B2603" t="s">
        <v>549</v>
      </c>
      <c r="C2603" t="s">
        <v>306</v>
      </c>
      <c r="D2603">
        <v>1998</v>
      </c>
      <c r="E2603">
        <v>73</v>
      </c>
      <c r="F2603" t="s">
        <v>545</v>
      </c>
      <c r="G2603">
        <v>120</v>
      </c>
    </row>
    <row r="2604" spans="1:7">
      <c r="A2604" t="str">
        <f t="shared" si="40"/>
        <v>Maasstaete 121</v>
      </c>
      <c r="B2604" t="s">
        <v>549</v>
      </c>
      <c r="C2604" t="s">
        <v>306</v>
      </c>
      <c r="D2604">
        <v>1998</v>
      </c>
      <c r="E2604">
        <v>73</v>
      </c>
      <c r="F2604" t="s">
        <v>545</v>
      </c>
      <c r="G2604">
        <v>121</v>
      </c>
    </row>
    <row r="2605" spans="1:7">
      <c r="A2605" t="str">
        <f t="shared" si="40"/>
        <v>Maasstaete 122</v>
      </c>
      <c r="B2605" t="s">
        <v>549</v>
      </c>
      <c r="C2605" t="s">
        <v>306</v>
      </c>
      <c r="D2605">
        <v>1998</v>
      </c>
      <c r="E2605">
        <v>73</v>
      </c>
      <c r="F2605" t="s">
        <v>545</v>
      </c>
      <c r="G2605">
        <v>122</v>
      </c>
    </row>
    <row r="2606" spans="1:7">
      <c r="A2606" t="str">
        <f t="shared" si="40"/>
        <v>Maasstaete 123</v>
      </c>
      <c r="B2606" t="s">
        <v>549</v>
      </c>
      <c r="C2606" t="s">
        <v>306</v>
      </c>
      <c r="D2606">
        <v>1998</v>
      </c>
      <c r="E2606">
        <v>73</v>
      </c>
      <c r="F2606" t="s">
        <v>545</v>
      </c>
      <c r="G2606">
        <v>123</v>
      </c>
    </row>
    <row r="2607" spans="1:7">
      <c r="A2607" t="str">
        <f t="shared" si="40"/>
        <v>Maasstaete 124</v>
      </c>
      <c r="B2607" t="s">
        <v>549</v>
      </c>
      <c r="C2607" t="s">
        <v>306</v>
      </c>
      <c r="D2607">
        <v>1998</v>
      </c>
      <c r="E2607">
        <v>73</v>
      </c>
      <c r="F2607" t="s">
        <v>545</v>
      </c>
      <c r="G2607">
        <v>124</v>
      </c>
    </row>
    <row r="2608" spans="1:7">
      <c r="A2608" t="str">
        <f t="shared" si="40"/>
        <v>Maasstaete 125</v>
      </c>
      <c r="B2608" t="s">
        <v>549</v>
      </c>
      <c r="C2608" t="s">
        <v>306</v>
      </c>
      <c r="D2608">
        <v>1998</v>
      </c>
      <c r="E2608">
        <v>73</v>
      </c>
      <c r="F2608" t="s">
        <v>545</v>
      </c>
      <c r="G2608">
        <v>125</v>
      </c>
    </row>
    <row r="2609" spans="1:8">
      <c r="A2609" t="str">
        <f t="shared" si="40"/>
        <v>Maasstaete 126</v>
      </c>
      <c r="B2609" t="s">
        <v>549</v>
      </c>
      <c r="C2609" t="s">
        <v>306</v>
      </c>
      <c r="D2609">
        <v>1998</v>
      </c>
      <c r="E2609">
        <v>73</v>
      </c>
      <c r="F2609" t="s">
        <v>545</v>
      </c>
      <c r="G2609">
        <v>126</v>
      </c>
    </row>
    <row r="2610" spans="1:8">
      <c r="A2610" t="str">
        <f t="shared" si="40"/>
        <v>Maasstaete 127</v>
      </c>
      <c r="B2610" t="s">
        <v>549</v>
      </c>
      <c r="C2610" t="s">
        <v>306</v>
      </c>
      <c r="D2610">
        <v>1998</v>
      </c>
      <c r="E2610">
        <v>73</v>
      </c>
      <c r="F2610" t="s">
        <v>545</v>
      </c>
      <c r="G2610">
        <v>127</v>
      </c>
    </row>
    <row r="2611" spans="1:8">
      <c r="A2611" t="str">
        <f t="shared" si="40"/>
        <v>Maasstaete 128</v>
      </c>
      <c r="B2611" t="s">
        <v>549</v>
      </c>
      <c r="C2611" t="s">
        <v>306</v>
      </c>
      <c r="D2611">
        <v>1998</v>
      </c>
      <c r="E2611">
        <v>73</v>
      </c>
      <c r="F2611" t="s">
        <v>545</v>
      </c>
      <c r="G2611">
        <v>128</v>
      </c>
    </row>
    <row r="2612" spans="1:8">
      <c r="A2612" t="str">
        <f t="shared" si="40"/>
        <v>Maasstaete 129</v>
      </c>
      <c r="B2612" t="s">
        <v>549</v>
      </c>
      <c r="C2612" t="s">
        <v>306</v>
      </c>
      <c r="D2612">
        <v>1998</v>
      </c>
      <c r="E2612">
        <v>73</v>
      </c>
      <c r="F2612" t="s">
        <v>545</v>
      </c>
      <c r="G2612">
        <v>129</v>
      </c>
    </row>
    <row r="2613" spans="1:8">
      <c r="A2613" t="str">
        <f t="shared" si="40"/>
        <v>Maasstaete 130</v>
      </c>
      <c r="B2613" t="s">
        <v>549</v>
      </c>
      <c r="C2613" t="s">
        <v>306</v>
      </c>
      <c r="D2613">
        <v>1998</v>
      </c>
      <c r="E2613">
        <v>73</v>
      </c>
      <c r="F2613" t="s">
        <v>545</v>
      </c>
      <c r="G2613">
        <v>130</v>
      </c>
    </row>
    <row r="2614" spans="1:8">
      <c r="A2614" t="str">
        <f t="shared" si="40"/>
        <v>Maasstaete 131</v>
      </c>
      <c r="B2614" t="s">
        <v>549</v>
      </c>
      <c r="C2614" t="s">
        <v>306</v>
      </c>
      <c r="D2614">
        <v>1998</v>
      </c>
      <c r="E2614">
        <v>73</v>
      </c>
      <c r="F2614" t="s">
        <v>545</v>
      </c>
      <c r="G2614">
        <v>131</v>
      </c>
    </row>
    <row r="2615" spans="1:8">
      <c r="A2615" t="str">
        <f t="shared" si="40"/>
        <v>Maasstaete 132</v>
      </c>
      <c r="B2615" t="s">
        <v>549</v>
      </c>
      <c r="C2615" t="s">
        <v>306</v>
      </c>
      <c r="D2615">
        <v>1998</v>
      </c>
      <c r="E2615">
        <v>73</v>
      </c>
      <c r="F2615" t="s">
        <v>545</v>
      </c>
      <c r="G2615">
        <v>132</v>
      </c>
    </row>
    <row r="2616" spans="1:8">
      <c r="A2616" t="str">
        <f t="shared" si="40"/>
        <v>Maasstaete 133</v>
      </c>
      <c r="B2616" t="s">
        <v>549</v>
      </c>
      <c r="C2616" t="s">
        <v>306</v>
      </c>
      <c r="D2616">
        <v>1998</v>
      </c>
      <c r="E2616">
        <v>73</v>
      </c>
      <c r="F2616" t="s">
        <v>545</v>
      </c>
      <c r="G2616">
        <v>133</v>
      </c>
    </row>
    <row r="2617" spans="1:8">
      <c r="A2617" t="str">
        <f t="shared" si="40"/>
        <v>Meidoornhof 2</v>
      </c>
      <c r="B2617" t="s">
        <v>550</v>
      </c>
      <c r="C2617" t="s">
        <v>296</v>
      </c>
      <c r="D2617">
        <v>1969</v>
      </c>
      <c r="E2617">
        <v>131</v>
      </c>
      <c r="F2617" t="s">
        <v>551</v>
      </c>
      <c r="G2617">
        <v>2</v>
      </c>
    </row>
    <row r="2618" spans="1:8">
      <c r="A2618" t="str">
        <f t="shared" si="40"/>
        <v>Meidoornhof 4</v>
      </c>
      <c r="B2618" t="s">
        <v>550</v>
      </c>
      <c r="C2618" t="s">
        <v>296</v>
      </c>
      <c r="D2618">
        <v>1969</v>
      </c>
      <c r="E2618">
        <v>133</v>
      </c>
      <c r="F2618" t="s">
        <v>551</v>
      </c>
      <c r="G2618">
        <v>4</v>
      </c>
    </row>
    <row r="2619" spans="1:8">
      <c r="A2619" t="str">
        <f t="shared" si="40"/>
        <v>Meidoornhof 6a</v>
      </c>
      <c r="B2619" t="s">
        <v>550</v>
      </c>
      <c r="C2619" t="s">
        <v>296</v>
      </c>
      <c r="D2619">
        <v>1972</v>
      </c>
      <c r="E2619">
        <v>20</v>
      </c>
      <c r="F2619" t="s">
        <v>551</v>
      </c>
      <c r="G2619">
        <v>6</v>
      </c>
      <c r="H2619" t="s">
        <v>304</v>
      </c>
    </row>
    <row r="2620" spans="1:8">
      <c r="A2620" t="str">
        <f t="shared" si="40"/>
        <v>Meidoornhof 6b</v>
      </c>
      <c r="B2620" t="s">
        <v>550</v>
      </c>
      <c r="C2620" t="s">
        <v>296</v>
      </c>
      <c r="D2620">
        <v>1972</v>
      </c>
      <c r="E2620">
        <v>17</v>
      </c>
      <c r="F2620" t="s">
        <v>551</v>
      </c>
      <c r="G2620">
        <v>6</v>
      </c>
      <c r="H2620" t="s">
        <v>298</v>
      </c>
    </row>
    <row r="2621" spans="1:8">
      <c r="A2621" t="str">
        <f t="shared" si="40"/>
        <v>Meidoornhof 6c</v>
      </c>
      <c r="B2621" t="s">
        <v>550</v>
      </c>
      <c r="C2621" t="s">
        <v>296</v>
      </c>
      <c r="D2621">
        <v>1972</v>
      </c>
      <c r="E2621">
        <v>19</v>
      </c>
      <c r="F2621" t="s">
        <v>551</v>
      </c>
      <c r="G2621">
        <v>6</v>
      </c>
      <c r="H2621" t="s">
        <v>299</v>
      </c>
    </row>
    <row r="2622" spans="1:8">
      <c r="A2622" t="str">
        <f t="shared" si="40"/>
        <v>Meidoornhof 6d</v>
      </c>
      <c r="B2622" t="s">
        <v>550</v>
      </c>
      <c r="C2622" t="s">
        <v>296</v>
      </c>
      <c r="D2622">
        <v>1972</v>
      </c>
      <c r="E2622">
        <v>18</v>
      </c>
      <c r="F2622" t="s">
        <v>551</v>
      </c>
      <c r="G2622">
        <v>6</v>
      </c>
      <c r="H2622" t="s">
        <v>300</v>
      </c>
    </row>
    <row r="2623" spans="1:8">
      <c r="A2623" t="str">
        <f t="shared" si="40"/>
        <v>Meidoornhof 6</v>
      </c>
      <c r="B2623" t="s">
        <v>550</v>
      </c>
      <c r="C2623" t="s">
        <v>296</v>
      </c>
      <c r="D2623">
        <v>1969</v>
      </c>
      <c r="E2623">
        <v>131</v>
      </c>
      <c r="F2623" t="s">
        <v>551</v>
      </c>
      <c r="G2623">
        <v>6</v>
      </c>
    </row>
    <row r="2624" spans="1:8">
      <c r="A2624" t="str">
        <f t="shared" si="40"/>
        <v>Meidoornhof 8</v>
      </c>
      <c r="B2624" t="s">
        <v>550</v>
      </c>
      <c r="C2624" t="s">
        <v>296</v>
      </c>
      <c r="D2624">
        <v>1970</v>
      </c>
      <c r="E2624">
        <v>97</v>
      </c>
      <c r="F2624" t="s">
        <v>551</v>
      </c>
      <c r="G2624">
        <v>8</v>
      </c>
    </row>
    <row r="2625" spans="1:7">
      <c r="A2625" t="str">
        <f t="shared" si="40"/>
        <v>Meidoornhof 10</v>
      </c>
      <c r="B2625" t="s">
        <v>550</v>
      </c>
      <c r="C2625" t="s">
        <v>296</v>
      </c>
      <c r="D2625">
        <v>1970</v>
      </c>
      <c r="E2625">
        <v>97</v>
      </c>
      <c r="F2625" t="s">
        <v>551</v>
      </c>
      <c r="G2625">
        <v>10</v>
      </c>
    </row>
    <row r="2626" spans="1:7">
      <c r="A2626" t="str">
        <f t="shared" ref="A2626:A2689" si="41">CONCATENATE(F2626," ",G2626,H2626)</f>
        <v>Meidoornhof 12</v>
      </c>
      <c r="B2626" t="s">
        <v>550</v>
      </c>
      <c r="C2626" t="s">
        <v>296</v>
      </c>
      <c r="D2626">
        <v>1970</v>
      </c>
      <c r="E2626">
        <v>97</v>
      </c>
      <c r="F2626" t="s">
        <v>551</v>
      </c>
      <c r="G2626">
        <v>12</v>
      </c>
    </row>
    <row r="2627" spans="1:7">
      <c r="A2627" t="str">
        <f t="shared" si="41"/>
        <v>Meidoornhof 14</v>
      </c>
      <c r="B2627" t="s">
        <v>550</v>
      </c>
      <c r="C2627" t="s">
        <v>296</v>
      </c>
      <c r="D2627">
        <v>1970</v>
      </c>
      <c r="E2627">
        <v>99</v>
      </c>
      <c r="F2627" t="s">
        <v>551</v>
      </c>
      <c r="G2627">
        <v>14</v>
      </c>
    </row>
    <row r="2628" spans="1:7">
      <c r="A2628" t="str">
        <f t="shared" si="41"/>
        <v>Meidoornhof 16</v>
      </c>
      <c r="B2628" t="s">
        <v>550</v>
      </c>
      <c r="C2628" t="s">
        <v>296</v>
      </c>
      <c r="D2628">
        <v>1970</v>
      </c>
      <c r="E2628">
        <v>98</v>
      </c>
      <c r="F2628" t="s">
        <v>551</v>
      </c>
      <c r="G2628">
        <v>16</v>
      </c>
    </row>
    <row r="2629" spans="1:7">
      <c r="A2629" t="str">
        <f t="shared" si="41"/>
        <v>Meidoornhof 18</v>
      </c>
      <c r="B2629" t="s">
        <v>550</v>
      </c>
      <c r="C2629" t="s">
        <v>296</v>
      </c>
      <c r="D2629">
        <v>1970</v>
      </c>
      <c r="E2629">
        <v>97</v>
      </c>
      <c r="F2629" t="s">
        <v>551</v>
      </c>
      <c r="G2629">
        <v>18</v>
      </c>
    </row>
    <row r="2630" spans="1:7">
      <c r="A2630" t="str">
        <f t="shared" si="41"/>
        <v>Meidoornhof 20</v>
      </c>
      <c r="B2630" t="s">
        <v>550</v>
      </c>
      <c r="C2630" t="s">
        <v>296</v>
      </c>
      <c r="D2630">
        <v>1970</v>
      </c>
      <c r="E2630">
        <v>97</v>
      </c>
      <c r="F2630" t="s">
        <v>551</v>
      </c>
      <c r="G2630">
        <v>20</v>
      </c>
    </row>
    <row r="2631" spans="1:7">
      <c r="A2631" t="str">
        <f t="shared" si="41"/>
        <v>Mendozaweg 1</v>
      </c>
      <c r="C2631" t="s">
        <v>306</v>
      </c>
      <c r="D2631">
        <v>1990</v>
      </c>
      <c r="E2631">
        <v>12</v>
      </c>
      <c r="F2631" t="s">
        <v>552</v>
      </c>
      <c r="G2631">
        <v>1</v>
      </c>
    </row>
    <row r="2632" spans="1:7">
      <c r="A2632" t="str">
        <f t="shared" si="41"/>
        <v>Mendozaweg 5</v>
      </c>
      <c r="B2632" t="s">
        <v>553</v>
      </c>
      <c r="C2632" t="s">
        <v>306</v>
      </c>
      <c r="D2632">
        <v>1959</v>
      </c>
      <c r="E2632">
        <v>68</v>
      </c>
      <c r="F2632" t="s">
        <v>552</v>
      </c>
      <c r="G2632">
        <v>5</v>
      </c>
    </row>
    <row r="2633" spans="1:7">
      <c r="A2633" t="str">
        <f t="shared" si="41"/>
        <v>Mendozaweg 7</v>
      </c>
      <c r="B2633" t="s">
        <v>553</v>
      </c>
      <c r="C2633" t="s">
        <v>306</v>
      </c>
      <c r="D2633">
        <v>1960</v>
      </c>
      <c r="E2633">
        <v>156</v>
      </c>
      <c r="F2633" t="s">
        <v>552</v>
      </c>
      <c r="G2633">
        <v>7</v>
      </c>
    </row>
    <row r="2634" spans="1:7">
      <c r="A2634" t="str">
        <f t="shared" si="41"/>
        <v>Mendozaweg 11</v>
      </c>
      <c r="B2634" t="s">
        <v>553</v>
      </c>
      <c r="C2634" t="s">
        <v>306</v>
      </c>
      <c r="D2634">
        <v>1960</v>
      </c>
      <c r="E2634">
        <v>188</v>
      </c>
      <c r="F2634" t="s">
        <v>552</v>
      </c>
      <c r="G2634">
        <v>11</v>
      </c>
    </row>
    <row r="2635" spans="1:7">
      <c r="A2635" t="str">
        <f t="shared" si="41"/>
        <v>Mendozaweg 13</v>
      </c>
      <c r="B2635" t="s">
        <v>553</v>
      </c>
      <c r="C2635" t="s">
        <v>306</v>
      </c>
      <c r="D2635">
        <v>1996</v>
      </c>
      <c r="E2635">
        <v>247</v>
      </c>
      <c r="F2635" t="s">
        <v>552</v>
      </c>
      <c r="G2635">
        <v>13</v>
      </c>
    </row>
    <row r="2636" spans="1:7">
      <c r="A2636" t="str">
        <f t="shared" si="41"/>
        <v>Merovingenstraat 2</v>
      </c>
      <c r="B2636" t="s">
        <v>554</v>
      </c>
      <c r="C2636" t="s">
        <v>306</v>
      </c>
      <c r="D2636">
        <v>1995</v>
      </c>
      <c r="E2636">
        <v>57</v>
      </c>
      <c r="F2636" t="s">
        <v>555</v>
      </c>
      <c r="G2636">
        <v>2</v>
      </c>
    </row>
    <row r="2637" spans="1:7">
      <c r="A2637" t="str">
        <f t="shared" si="41"/>
        <v>Merovingenstraat 4</v>
      </c>
      <c r="B2637" t="s">
        <v>554</v>
      </c>
      <c r="C2637" t="s">
        <v>306</v>
      </c>
      <c r="D2637">
        <v>1995</v>
      </c>
      <c r="E2637">
        <v>78</v>
      </c>
      <c r="F2637" t="s">
        <v>555</v>
      </c>
      <c r="G2637">
        <v>4</v>
      </c>
    </row>
    <row r="2638" spans="1:7">
      <c r="A2638" t="str">
        <f t="shared" si="41"/>
        <v>Merovingenstraat 6</v>
      </c>
      <c r="B2638" t="s">
        <v>554</v>
      </c>
      <c r="C2638" t="s">
        <v>306</v>
      </c>
      <c r="D2638">
        <v>1995</v>
      </c>
      <c r="E2638">
        <v>78</v>
      </c>
      <c r="F2638" t="s">
        <v>555</v>
      </c>
      <c r="G2638">
        <v>6</v>
      </c>
    </row>
    <row r="2639" spans="1:7">
      <c r="A2639" t="str">
        <f t="shared" si="41"/>
        <v>Merovingenstraat 8</v>
      </c>
      <c r="B2639" t="s">
        <v>554</v>
      </c>
      <c r="C2639" t="s">
        <v>306</v>
      </c>
      <c r="D2639">
        <v>1995</v>
      </c>
      <c r="E2639">
        <v>78</v>
      </c>
      <c r="F2639" t="s">
        <v>555</v>
      </c>
      <c r="G2639">
        <v>8</v>
      </c>
    </row>
    <row r="2640" spans="1:7">
      <c r="A2640" t="str">
        <f t="shared" si="41"/>
        <v>Merovingenstraat 10</v>
      </c>
      <c r="B2640" t="s">
        <v>554</v>
      </c>
      <c r="C2640" t="s">
        <v>306</v>
      </c>
      <c r="D2640">
        <v>1995</v>
      </c>
      <c r="E2640">
        <v>78</v>
      </c>
      <c r="F2640" t="s">
        <v>555</v>
      </c>
      <c r="G2640">
        <v>10</v>
      </c>
    </row>
    <row r="2641" spans="1:7">
      <c r="A2641" t="str">
        <f t="shared" si="41"/>
        <v>Merovingenstraat 12</v>
      </c>
      <c r="B2641" t="s">
        <v>554</v>
      </c>
      <c r="C2641" t="s">
        <v>306</v>
      </c>
      <c r="D2641">
        <v>1995</v>
      </c>
      <c r="E2641">
        <v>78</v>
      </c>
      <c r="F2641" t="s">
        <v>555</v>
      </c>
      <c r="G2641">
        <v>12</v>
      </c>
    </row>
    <row r="2642" spans="1:7">
      <c r="A2642" t="str">
        <f t="shared" si="41"/>
        <v>Merovingenstraat 14</v>
      </c>
      <c r="B2642" t="s">
        <v>554</v>
      </c>
      <c r="C2642" t="s">
        <v>306</v>
      </c>
      <c r="D2642">
        <v>1995</v>
      </c>
      <c r="E2642">
        <v>57</v>
      </c>
      <c r="F2642" t="s">
        <v>555</v>
      </c>
      <c r="G2642">
        <v>14</v>
      </c>
    </row>
    <row r="2643" spans="1:7">
      <c r="A2643" t="str">
        <f t="shared" si="41"/>
        <v>Merovingenstraat 16</v>
      </c>
      <c r="B2643" t="s">
        <v>554</v>
      </c>
      <c r="C2643" t="s">
        <v>306</v>
      </c>
      <c r="D2643">
        <v>1995</v>
      </c>
      <c r="E2643">
        <v>57</v>
      </c>
      <c r="F2643" t="s">
        <v>555</v>
      </c>
      <c r="G2643">
        <v>16</v>
      </c>
    </row>
    <row r="2644" spans="1:7">
      <c r="A2644" t="str">
        <f t="shared" si="41"/>
        <v>Merovingenstraat 18</v>
      </c>
      <c r="B2644" t="s">
        <v>554</v>
      </c>
      <c r="C2644" t="s">
        <v>306</v>
      </c>
      <c r="D2644">
        <v>1995</v>
      </c>
      <c r="E2644">
        <v>57</v>
      </c>
      <c r="F2644" t="s">
        <v>555</v>
      </c>
      <c r="G2644">
        <v>18</v>
      </c>
    </row>
    <row r="2645" spans="1:7">
      <c r="A2645" t="str">
        <f t="shared" si="41"/>
        <v>Merovingenstraat 20</v>
      </c>
      <c r="B2645" t="s">
        <v>554</v>
      </c>
      <c r="C2645" t="s">
        <v>306</v>
      </c>
      <c r="D2645">
        <v>1995</v>
      </c>
      <c r="E2645">
        <v>57</v>
      </c>
      <c r="F2645" t="s">
        <v>555</v>
      </c>
      <c r="G2645">
        <v>20</v>
      </c>
    </row>
    <row r="2646" spans="1:7">
      <c r="A2646" t="str">
        <f t="shared" si="41"/>
        <v>Merovingenstraat 22</v>
      </c>
      <c r="B2646" t="s">
        <v>554</v>
      </c>
      <c r="C2646" t="s">
        <v>306</v>
      </c>
      <c r="D2646">
        <v>1995</v>
      </c>
      <c r="E2646">
        <v>57</v>
      </c>
      <c r="F2646" t="s">
        <v>555</v>
      </c>
      <c r="G2646">
        <v>22</v>
      </c>
    </row>
    <row r="2647" spans="1:7">
      <c r="A2647" t="str">
        <f t="shared" si="41"/>
        <v>Merovingenstraat 24</v>
      </c>
      <c r="B2647" t="s">
        <v>554</v>
      </c>
      <c r="C2647" t="s">
        <v>306</v>
      </c>
      <c r="D2647">
        <v>1995</v>
      </c>
      <c r="E2647">
        <v>57</v>
      </c>
      <c r="F2647" t="s">
        <v>555</v>
      </c>
      <c r="G2647">
        <v>24</v>
      </c>
    </row>
    <row r="2648" spans="1:7">
      <c r="A2648" t="str">
        <f t="shared" si="41"/>
        <v>Merovingenstraat 26</v>
      </c>
      <c r="B2648" t="s">
        <v>554</v>
      </c>
      <c r="C2648" t="s">
        <v>306</v>
      </c>
      <c r="D2648">
        <v>1995</v>
      </c>
      <c r="E2648">
        <v>57</v>
      </c>
      <c r="F2648" t="s">
        <v>555</v>
      </c>
      <c r="G2648">
        <v>26</v>
      </c>
    </row>
    <row r="2649" spans="1:7">
      <c r="A2649" t="str">
        <f t="shared" si="41"/>
        <v>Merovingenstraat 28</v>
      </c>
      <c r="B2649" t="s">
        <v>554</v>
      </c>
      <c r="C2649" t="s">
        <v>306</v>
      </c>
      <c r="D2649">
        <v>1995</v>
      </c>
      <c r="E2649">
        <v>57</v>
      </c>
      <c r="F2649" t="s">
        <v>555</v>
      </c>
      <c r="G2649">
        <v>28</v>
      </c>
    </row>
    <row r="2650" spans="1:7">
      <c r="A2650" t="str">
        <f t="shared" si="41"/>
        <v>Merovingenstraat 30</v>
      </c>
      <c r="B2650" t="s">
        <v>554</v>
      </c>
      <c r="C2650" t="s">
        <v>306</v>
      </c>
      <c r="D2650">
        <v>1997</v>
      </c>
      <c r="E2650">
        <v>534</v>
      </c>
      <c r="F2650" t="s">
        <v>555</v>
      </c>
      <c r="G2650">
        <v>30</v>
      </c>
    </row>
    <row r="2651" spans="1:7">
      <c r="A2651" t="str">
        <f t="shared" si="41"/>
        <v>Merovingenstraat 32</v>
      </c>
      <c r="B2651" t="s">
        <v>554</v>
      </c>
      <c r="C2651" t="s">
        <v>306</v>
      </c>
      <c r="D2651">
        <v>1999</v>
      </c>
      <c r="E2651">
        <v>308</v>
      </c>
      <c r="F2651" t="s">
        <v>555</v>
      </c>
      <c r="G2651">
        <v>32</v>
      </c>
    </row>
    <row r="2652" spans="1:7">
      <c r="A2652" t="str">
        <f t="shared" si="41"/>
        <v>Meulenveld 2</v>
      </c>
      <c r="B2652" t="s">
        <v>556</v>
      </c>
      <c r="C2652" t="s">
        <v>296</v>
      </c>
      <c r="D2652">
        <v>1987</v>
      </c>
      <c r="E2652">
        <v>65</v>
      </c>
      <c r="F2652" t="s">
        <v>557</v>
      </c>
      <c r="G2652">
        <v>2</v>
      </c>
    </row>
    <row r="2653" spans="1:7">
      <c r="A2653" t="str">
        <f t="shared" si="41"/>
        <v>Meulenveld 4</v>
      </c>
      <c r="B2653" t="s">
        <v>556</v>
      </c>
      <c r="C2653" t="s">
        <v>296</v>
      </c>
      <c r="D2653">
        <v>1987</v>
      </c>
      <c r="E2653">
        <v>77</v>
      </c>
      <c r="F2653" t="s">
        <v>557</v>
      </c>
      <c r="G2653">
        <v>4</v>
      </c>
    </row>
    <row r="2654" spans="1:7">
      <c r="A2654" t="str">
        <f t="shared" si="41"/>
        <v>Meulenveld 6</v>
      </c>
      <c r="B2654" t="s">
        <v>556</v>
      </c>
      <c r="C2654" t="s">
        <v>296</v>
      </c>
      <c r="D2654">
        <v>1987</v>
      </c>
      <c r="E2654">
        <v>77</v>
      </c>
      <c r="F2654" t="s">
        <v>557</v>
      </c>
      <c r="G2654">
        <v>6</v>
      </c>
    </row>
    <row r="2655" spans="1:7">
      <c r="A2655" t="str">
        <f t="shared" si="41"/>
        <v>Meulenveld 8</v>
      </c>
      <c r="B2655" t="s">
        <v>556</v>
      </c>
      <c r="C2655" t="s">
        <v>296</v>
      </c>
      <c r="D2655">
        <v>1987</v>
      </c>
      <c r="E2655">
        <v>65</v>
      </c>
      <c r="F2655" t="s">
        <v>557</v>
      </c>
      <c r="G2655">
        <v>8</v>
      </c>
    </row>
    <row r="2656" spans="1:7">
      <c r="A2656" t="str">
        <f t="shared" si="41"/>
        <v>Meulenveld 10</v>
      </c>
      <c r="B2656" t="s">
        <v>556</v>
      </c>
      <c r="C2656" t="s">
        <v>296</v>
      </c>
      <c r="D2656">
        <v>1987</v>
      </c>
      <c r="E2656">
        <v>65</v>
      </c>
      <c r="F2656" t="s">
        <v>557</v>
      </c>
      <c r="G2656">
        <v>10</v>
      </c>
    </row>
    <row r="2657" spans="1:8">
      <c r="A2657" t="str">
        <f t="shared" si="41"/>
        <v>Meulenveld 12</v>
      </c>
      <c r="B2657" t="s">
        <v>556</v>
      </c>
      <c r="C2657" t="s">
        <v>296</v>
      </c>
      <c r="D2657">
        <v>1987</v>
      </c>
      <c r="E2657">
        <v>77</v>
      </c>
      <c r="F2657" t="s">
        <v>557</v>
      </c>
      <c r="G2657">
        <v>12</v>
      </c>
    </row>
    <row r="2658" spans="1:8">
      <c r="A2658" t="str">
        <f t="shared" si="41"/>
        <v>Meulenveld 14</v>
      </c>
      <c r="B2658" t="s">
        <v>556</v>
      </c>
      <c r="C2658" t="s">
        <v>296</v>
      </c>
      <c r="D2658">
        <v>1987</v>
      </c>
      <c r="E2658">
        <v>77</v>
      </c>
      <c r="F2658" t="s">
        <v>557</v>
      </c>
      <c r="G2658">
        <v>14</v>
      </c>
    </row>
    <row r="2659" spans="1:8">
      <c r="A2659" t="str">
        <f t="shared" si="41"/>
        <v>Meulenveld 16</v>
      </c>
      <c r="B2659" t="s">
        <v>556</v>
      </c>
      <c r="C2659" t="s">
        <v>296</v>
      </c>
      <c r="D2659">
        <v>1987</v>
      </c>
      <c r="E2659">
        <v>65</v>
      </c>
      <c r="F2659" t="s">
        <v>557</v>
      </c>
      <c r="G2659">
        <v>16</v>
      </c>
    </row>
    <row r="2660" spans="1:8">
      <c r="A2660" t="str">
        <f t="shared" si="41"/>
        <v>Meulenveld 18</v>
      </c>
      <c r="B2660" t="s">
        <v>556</v>
      </c>
      <c r="C2660" t="s">
        <v>296</v>
      </c>
      <c r="D2660">
        <v>1987</v>
      </c>
      <c r="E2660">
        <v>65</v>
      </c>
      <c r="F2660" t="s">
        <v>557</v>
      </c>
      <c r="G2660">
        <v>18</v>
      </c>
    </row>
    <row r="2661" spans="1:8">
      <c r="A2661" t="str">
        <f t="shared" si="41"/>
        <v>Meulenveld 20</v>
      </c>
      <c r="B2661" t="s">
        <v>556</v>
      </c>
      <c r="C2661" t="s">
        <v>296</v>
      </c>
      <c r="D2661">
        <v>1987</v>
      </c>
      <c r="E2661">
        <v>77</v>
      </c>
      <c r="F2661" t="s">
        <v>557</v>
      </c>
      <c r="G2661">
        <v>20</v>
      </c>
    </row>
    <row r="2662" spans="1:8">
      <c r="A2662" t="str">
        <f t="shared" si="41"/>
        <v>Meulenveld 22</v>
      </c>
      <c r="B2662" t="s">
        <v>556</v>
      </c>
      <c r="C2662" t="s">
        <v>296</v>
      </c>
      <c r="D2662">
        <v>1987</v>
      </c>
      <c r="E2662">
        <v>77</v>
      </c>
      <c r="F2662" t="s">
        <v>557</v>
      </c>
      <c r="G2662">
        <v>22</v>
      </c>
    </row>
    <row r="2663" spans="1:8">
      <c r="A2663" t="str">
        <f t="shared" si="41"/>
        <v>Meulenveld 24</v>
      </c>
      <c r="B2663" t="s">
        <v>556</v>
      </c>
      <c r="C2663" t="s">
        <v>296</v>
      </c>
      <c r="D2663">
        <v>1987</v>
      </c>
      <c r="E2663">
        <v>65</v>
      </c>
      <c r="F2663" t="s">
        <v>557</v>
      </c>
      <c r="G2663">
        <v>24</v>
      </c>
    </row>
    <row r="2664" spans="1:8">
      <c r="A2664" t="str">
        <f t="shared" si="41"/>
        <v>Meulenveld 26</v>
      </c>
      <c r="B2664" t="s">
        <v>556</v>
      </c>
      <c r="C2664" t="s">
        <v>296</v>
      </c>
      <c r="D2664">
        <v>1987</v>
      </c>
      <c r="E2664">
        <v>65</v>
      </c>
      <c r="F2664" t="s">
        <v>557</v>
      </c>
      <c r="G2664">
        <v>26</v>
      </c>
    </row>
    <row r="2665" spans="1:8">
      <c r="A2665" t="str">
        <f t="shared" si="41"/>
        <v>Meulenveld 28</v>
      </c>
      <c r="B2665" t="s">
        <v>556</v>
      </c>
      <c r="C2665" t="s">
        <v>296</v>
      </c>
      <c r="D2665">
        <v>1987</v>
      </c>
      <c r="E2665">
        <v>77</v>
      </c>
      <c r="F2665" t="s">
        <v>557</v>
      </c>
      <c r="G2665">
        <v>28</v>
      </c>
    </row>
    <row r="2666" spans="1:8">
      <c r="A2666" t="str">
        <f t="shared" si="41"/>
        <v>Meulenveld 30</v>
      </c>
      <c r="B2666" t="s">
        <v>556</v>
      </c>
      <c r="C2666" t="s">
        <v>296</v>
      </c>
      <c r="D2666">
        <v>1987</v>
      </c>
      <c r="E2666">
        <v>77</v>
      </c>
      <c r="F2666" t="s">
        <v>557</v>
      </c>
      <c r="G2666">
        <v>30</v>
      </c>
    </row>
    <row r="2667" spans="1:8">
      <c r="A2667" t="str">
        <f t="shared" si="41"/>
        <v>Meulenveld 32</v>
      </c>
      <c r="B2667" t="s">
        <v>556</v>
      </c>
      <c r="C2667" t="s">
        <v>296</v>
      </c>
      <c r="D2667">
        <v>1987</v>
      </c>
      <c r="E2667">
        <v>65</v>
      </c>
      <c r="F2667" t="s">
        <v>557</v>
      </c>
      <c r="G2667">
        <v>32</v>
      </c>
    </row>
    <row r="2668" spans="1:8">
      <c r="A2668" t="str">
        <f t="shared" si="41"/>
        <v>Middelweg 1</v>
      </c>
      <c r="B2668" t="s">
        <v>558</v>
      </c>
      <c r="C2668" t="s">
        <v>296</v>
      </c>
      <c r="D2668">
        <v>1975</v>
      </c>
      <c r="E2668">
        <v>243</v>
      </c>
      <c r="F2668" t="s">
        <v>559</v>
      </c>
      <c r="G2668">
        <v>1</v>
      </c>
    </row>
    <row r="2669" spans="1:8">
      <c r="A2669" t="str">
        <f t="shared" si="41"/>
        <v>Middelweg 2a</v>
      </c>
      <c r="B2669" t="s">
        <v>560</v>
      </c>
      <c r="C2669" t="s">
        <v>296</v>
      </c>
      <c r="D2669">
        <v>1987</v>
      </c>
      <c r="E2669">
        <v>197</v>
      </c>
      <c r="F2669" t="s">
        <v>559</v>
      </c>
      <c r="G2669">
        <v>2</v>
      </c>
      <c r="H2669" t="s">
        <v>304</v>
      </c>
    </row>
    <row r="2670" spans="1:8">
      <c r="A2670" t="str">
        <f t="shared" si="41"/>
        <v>Middelweg 2b</v>
      </c>
      <c r="B2670" t="s">
        <v>560</v>
      </c>
      <c r="C2670" t="s">
        <v>296</v>
      </c>
      <c r="D2670">
        <v>1987</v>
      </c>
      <c r="E2670">
        <v>180</v>
      </c>
      <c r="F2670" t="s">
        <v>559</v>
      </c>
      <c r="G2670">
        <v>2</v>
      </c>
      <c r="H2670" t="s">
        <v>298</v>
      </c>
    </row>
    <row r="2671" spans="1:8">
      <c r="A2671" t="str">
        <f t="shared" si="41"/>
        <v>Middelweg 2</v>
      </c>
      <c r="B2671" t="s">
        <v>560</v>
      </c>
      <c r="C2671" t="s">
        <v>296</v>
      </c>
      <c r="D2671">
        <v>1994</v>
      </c>
      <c r="E2671">
        <v>252</v>
      </c>
      <c r="F2671" t="s">
        <v>559</v>
      </c>
      <c r="G2671">
        <v>2</v>
      </c>
    </row>
    <row r="2672" spans="1:8">
      <c r="A2672" t="str">
        <f t="shared" si="41"/>
        <v>Middelweg 3</v>
      </c>
      <c r="B2672" t="s">
        <v>558</v>
      </c>
      <c r="C2672" t="s">
        <v>296</v>
      </c>
      <c r="D2672">
        <v>1981</v>
      </c>
      <c r="E2672">
        <v>665</v>
      </c>
      <c r="F2672" t="s">
        <v>559</v>
      </c>
      <c r="G2672">
        <v>3</v>
      </c>
    </row>
    <row r="2673" spans="1:8">
      <c r="A2673" t="str">
        <f t="shared" si="41"/>
        <v>Middelweg 4a</v>
      </c>
      <c r="B2673" t="s">
        <v>560</v>
      </c>
      <c r="C2673" t="s">
        <v>296</v>
      </c>
      <c r="D2673">
        <v>1996</v>
      </c>
      <c r="E2673">
        <v>263</v>
      </c>
      <c r="F2673" t="s">
        <v>559</v>
      </c>
      <c r="G2673">
        <v>4</v>
      </c>
      <c r="H2673" t="s">
        <v>304</v>
      </c>
    </row>
    <row r="2674" spans="1:8">
      <c r="A2674" t="str">
        <f t="shared" si="41"/>
        <v>Middelweg 4b</v>
      </c>
      <c r="B2674" t="s">
        <v>560</v>
      </c>
      <c r="C2674" t="s">
        <v>296</v>
      </c>
      <c r="D2674">
        <v>1992</v>
      </c>
      <c r="E2674">
        <v>175</v>
      </c>
      <c r="F2674" t="s">
        <v>559</v>
      </c>
      <c r="G2674">
        <v>4</v>
      </c>
      <c r="H2674" t="s">
        <v>298</v>
      </c>
    </row>
    <row r="2675" spans="1:8">
      <c r="A2675" t="str">
        <f t="shared" si="41"/>
        <v>Middelweg 4</v>
      </c>
      <c r="B2675" t="s">
        <v>560</v>
      </c>
      <c r="C2675" t="s">
        <v>296</v>
      </c>
      <c r="D2675">
        <v>1988</v>
      </c>
      <c r="E2675">
        <v>244</v>
      </c>
      <c r="F2675" t="s">
        <v>559</v>
      </c>
      <c r="G2675">
        <v>4</v>
      </c>
    </row>
    <row r="2676" spans="1:8">
      <c r="A2676" t="str">
        <f t="shared" si="41"/>
        <v>Middelweg 5</v>
      </c>
      <c r="B2676" t="s">
        <v>558</v>
      </c>
      <c r="C2676" t="s">
        <v>296</v>
      </c>
      <c r="D2676">
        <v>1981</v>
      </c>
      <c r="E2676">
        <v>363</v>
      </c>
      <c r="F2676" t="s">
        <v>559</v>
      </c>
      <c r="G2676">
        <v>5</v>
      </c>
    </row>
    <row r="2677" spans="1:8">
      <c r="A2677" t="str">
        <f t="shared" si="41"/>
        <v>Middelweg 6a</v>
      </c>
      <c r="B2677" t="s">
        <v>560</v>
      </c>
      <c r="C2677" t="s">
        <v>296</v>
      </c>
      <c r="D2677">
        <v>1991</v>
      </c>
      <c r="E2677">
        <v>1215</v>
      </c>
      <c r="F2677" t="s">
        <v>559</v>
      </c>
      <c r="G2677">
        <v>6</v>
      </c>
      <c r="H2677" t="s">
        <v>304</v>
      </c>
    </row>
    <row r="2678" spans="1:8">
      <c r="A2678" t="str">
        <f t="shared" si="41"/>
        <v>Middelweg 6b</v>
      </c>
      <c r="B2678" t="s">
        <v>560</v>
      </c>
      <c r="C2678" t="s">
        <v>296</v>
      </c>
      <c r="D2678">
        <v>1960</v>
      </c>
      <c r="E2678">
        <v>89</v>
      </c>
      <c r="F2678" t="s">
        <v>559</v>
      </c>
      <c r="G2678">
        <v>6</v>
      </c>
      <c r="H2678" t="s">
        <v>298</v>
      </c>
    </row>
    <row r="2679" spans="1:8">
      <c r="A2679" t="str">
        <f t="shared" si="41"/>
        <v>Middelweg 6</v>
      </c>
      <c r="B2679" t="s">
        <v>560</v>
      </c>
      <c r="C2679" t="s">
        <v>296</v>
      </c>
      <c r="D2679">
        <v>1935</v>
      </c>
      <c r="E2679">
        <v>115</v>
      </c>
      <c r="F2679" t="s">
        <v>559</v>
      </c>
      <c r="G2679">
        <v>6</v>
      </c>
    </row>
    <row r="2680" spans="1:8">
      <c r="A2680" t="str">
        <f t="shared" si="41"/>
        <v>Middelweg 7a</v>
      </c>
      <c r="B2680" t="s">
        <v>558</v>
      </c>
      <c r="C2680" t="s">
        <v>296</v>
      </c>
      <c r="D2680">
        <v>1951</v>
      </c>
      <c r="E2680">
        <v>4186</v>
      </c>
      <c r="F2680" t="s">
        <v>559</v>
      </c>
      <c r="G2680">
        <v>7</v>
      </c>
      <c r="H2680" t="s">
        <v>304</v>
      </c>
    </row>
    <row r="2681" spans="1:8">
      <c r="A2681" t="str">
        <f t="shared" si="41"/>
        <v>Middelweg 7</v>
      </c>
      <c r="B2681" t="s">
        <v>558</v>
      </c>
      <c r="C2681" t="s">
        <v>296</v>
      </c>
      <c r="D2681">
        <v>1951</v>
      </c>
      <c r="E2681">
        <v>172</v>
      </c>
      <c r="F2681" t="s">
        <v>559</v>
      </c>
      <c r="G2681">
        <v>7</v>
      </c>
    </row>
    <row r="2682" spans="1:8">
      <c r="A2682" t="str">
        <f t="shared" si="41"/>
        <v>Middelweg 8a</v>
      </c>
      <c r="B2682" t="s">
        <v>560</v>
      </c>
      <c r="C2682" t="s">
        <v>296</v>
      </c>
      <c r="D2682">
        <v>2019</v>
      </c>
      <c r="E2682">
        <v>331</v>
      </c>
      <c r="F2682" t="s">
        <v>559</v>
      </c>
      <c r="G2682">
        <v>8</v>
      </c>
      <c r="H2682" t="s">
        <v>304</v>
      </c>
    </row>
    <row r="2683" spans="1:8">
      <c r="A2683" t="str">
        <f t="shared" si="41"/>
        <v>Middelweg 8</v>
      </c>
      <c r="B2683" t="s">
        <v>560</v>
      </c>
      <c r="C2683" t="s">
        <v>296</v>
      </c>
      <c r="D2683">
        <v>1951</v>
      </c>
      <c r="E2683">
        <v>125</v>
      </c>
      <c r="F2683" t="s">
        <v>559</v>
      </c>
      <c r="G2683">
        <v>8</v>
      </c>
    </row>
    <row r="2684" spans="1:8">
      <c r="A2684" t="str">
        <f t="shared" si="41"/>
        <v>Middelweg 9</v>
      </c>
      <c r="B2684" t="s">
        <v>558</v>
      </c>
      <c r="C2684" t="s">
        <v>296</v>
      </c>
      <c r="D2684">
        <v>1980</v>
      </c>
      <c r="E2684">
        <v>245</v>
      </c>
      <c r="F2684" t="s">
        <v>559</v>
      </c>
      <c r="G2684">
        <v>9</v>
      </c>
    </row>
    <row r="2685" spans="1:8">
      <c r="A2685" t="str">
        <f t="shared" si="41"/>
        <v>Middelweg 10a</v>
      </c>
      <c r="B2685" t="s">
        <v>560</v>
      </c>
      <c r="C2685" t="s">
        <v>296</v>
      </c>
      <c r="D2685">
        <v>1992</v>
      </c>
      <c r="E2685">
        <v>508</v>
      </c>
      <c r="F2685" t="s">
        <v>559</v>
      </c>
      <c r="G2685">
        <v>10</v>
      </c>
      <c r="H2685" t="s">
        <v>304</v>
      </c>
    </row>
    <row r="2686" spans="1:8">
      <c r="A2686" t="str">
        <f t="shared" si="41"/>
        <v>Middelweg 10b</v>
      </c>
      <c r="B2686" t="s">
        <v>560</v>
      </c>
      <c r="C2686" t="s">
        <v>296</v>
      </c>
      <c r="D2686">
        <v>1992</v>
      </c>
      <c r="E2686">
        <v>777</v>
      </c>
      <c r="F2686" t="s">
        <v>559</v>
      </c>
      <c r="G2686">
        <v>10</v>
      </c>
      <c r="H2686" t="s">
        <v>298</v>
      </c>
    </row>
    <row r="2687" spans="1:8">
      <c r="A2687" t="str">
        <f t="shared" si="41"/>
        <v>Middelweg 10c</v>
      </c>
      <c r="B2687" t="s">
        <v>560</v>
      </c>
      <c r="C2687" t="s">
        <v>296</v>
      </c>
      <c r="D2687">
        <v>2005</v>
      </c>
      <c r="E2687">
        <v>267</v>
      </c>
      <c r="F2687" t="s">
        <v>559</v>
      </c>
      <c r="G2687">
        <v>10</v>
      </c>
      <c r="H2687" t="s">
        <v>299</v>
      </c>
    </row>
    <row r="2688" spans="1:8">
      <c r="A2688" t="str">
        <f t="shared" si="41"/>
        <v>Middelweg 10d</v>
      </c>
      <c r="B2688" t="s">
        <v>560</v>
      </c>
      <c r="C2688" t="s">
        <v>296</v>
      </c>
      <c r="D2688">
        <v>2002</v>
      </c>
      <c r="E2688">
        <v>302</v>
      </c>
      <c r="F2688" t="s">
        <v>559</v>
      </c>
      <c r="G2688">
        <v>10</v>
      </c>
      <c r="H2688" t="s">
        <v>300</v>
      </c>
    </row>
    <row r="2689" spans="1:8">
      <c r="A2689" t="str">
        <f t="shared" si="41"/>
        <v>Middelweg 10</v>
      </c>
      <c r="B2689" t="s">
        <v>560</v>
      </c>
      <c r="C2689" t="s">
        <v>296</v>
      </c>
      <c r="D2689">
        <v>1960</v>
      </c>
      <c r="E2689">
        <v>172</v>
      </c>
      <c r="F2689" t="s">
        <v>559</v>
      </c>
      <c r="G2689">
        <v>10</v>
      </c>
    </row>
    <row r="2690" spans="1:8">
      <c r="A2690" t="str">
        <f t="shared" ref="A2690:A2753" si="42">CONCATENATE(F2690," ",G2690,H2690)</f>
        <v>Middelweg 11</v>
      </c>
      <c r="B2690" t="s">
        <v>558</v>
      </c>
      <c r="C2690" t="s">
        <v>296</v>
      </c>
      <c r="D2690">
        <v>1980</v>
      </c>
      <c r="E2690">
        <v>228</v>
      </c>
      <c r="F2690" t="s">
        <v>559</v>
      </c>
      <c r="G2690">
        <v>11</v>
      </c>
    </row>
    <row r="2691" spans="1:8">
      <c r="A2691" t="str">
        <f t="shared" si="42"/>
        <v>Middelweg 12a</v>
      </c>
      <c r="B2691" t="s">
        <v>560</v>
      </c>
      <c r="C2691" t="s">
        <v>296</v>
      </c>
      <c r="D2691">
        <v>1988</v>
      </c>
      <c r="E2691">
        <v>256</v>
      </c>
      <c r="F2691" t="s">
        <v>559</v>
      </c>
      <c r="G2691">
        <v>12</v>
      </c>
      <c r="H2691" t="s">
        <v>304</v>
      </c>
    </row>
    <row r="2692" spans="1:8">
      <c r="A2692" t="str">
        <f t="shared" si="42"/>
        <v>Middelweg 12</v>
      </c>
      <c r="B2692" t="s">
        <v>560</v>
      </c>
      <c r="C2692" t="s">
        <v>296</v>
      </c>
      <c r="D2692">
        <v>2000</v>
      </c>
      <c r="E2692">
        <v>330</v>
      </c>
      <c r="F2692" t="s">
        <v>559</v>
      </c>
      <c r="G2692">
        <v>12</v>
      </c>
    </row>
    <row r="2693" spans="1:8">
      <c r="A2693" t="str">
        <f t="shared" si="42"/>
        <v>Middelweg 13</v>
      </c>
      <c r="B2693" t="s">
        <v>558</v>
      </c>
      <c r="C2693" t="s">
        <v>296</v>
      </c>
      <c r="D2693">
        <v>1990</v>
      </c>
      <c r="E2693">
        <v>138</v>
      </c>
      <c r="F2693" t="s">
        <v>559</v>
      </c>
      <c r="G2693">
        <v>13</v>
      </c>
    </row>
    <row r="2694" spans="1:8">
      <c r="A2694" t="str">
        <f t="shared" si="42"/>
        <v>Middelweg 14</v>
      </c>
      <c r="B2694" t="s">
        <v>560</v>
      </c>
      <c r="C2694" t="s">
        <v>296</v>
      </c>
      <c r="D2694">
        <v>1969</v>
      </c>
      <c r="E2694">
        <v>203</v>
      </c>
      <c r="F2694" t="s">
        <v>559</v>
      </c>
      <c r="G2694">
        <v>14</v>
      </c>
    </row>
    <row r="2695" spans="1:8">
      <c r="A2695" t="str">
        <f t="shared" si="42"/>
        <v>Middelweg 15</v>
      </c>
      <c r="B2695" t="s">
        <v>558</v>
      </c>
      <c r="C2695" t="s">
        <v>296</v>
      </c>
      <c r="D2695">
        <v>1987</v>
      </c>
      <c r="E2695">
        <v>163</v>
      </c>
      <c r="F2695" t="s">
        <v>559</v>
      </c>
      <c r="G2695">
        <v>15</v>
      </c>
    </row>
    <row r="2696" spans="1:8">
      <c r="A2696" t="str">
        <f t="shared" si="42"/>
        <v>Middelweg 16</v>
      </c>
      <c r="B2696" t="s">
        <v>560</v>
      </c>
      <c r="C2696" t="s">
        <v>296</v>
      </c>
      <c r="D2696">
        <v>1969</v>
      </c>
      <c r="E2696">
        <v>164</v>
      </c>
      <c r="F2696" t="s">
        <v>559</v>
      </c>
      <c r="G2696">
        <v>16</v>
      </c>
    </row>
    <row r="2697" spans="1:8">
      <c r="A2697" t="str">
        <f t="shared" si="42"/>
        <v>Middelweg 17</v>
      </c>
      <c r="B2697" t="s">
        <v>558</v>
      </c>
      <c r="C2697" t="s">
        <v>296</v>
      </c>
      <c r="D2697">
        <v>1989</v>
      </c>
      <c r="E2697">
        <v>182</v>
      </c>
      <c r="F2697" t="s">
        <v>559</v>
      </c>
      <c r="G2697">
        <v>17</v>
      </c>
    </row>
    <row r="2698" spans="1:8">
      <c r="A2698" t="str">
        <f t="shared" si="42"/>
        <v>Middelweg 18</v>
      </c>
      <c r="B2698" t="s">
        <v>560</v>
      </c>
      <c r="C2698" t="s">
        <v>296</v>
      </c>
      <c r="D2698">
        <v>1969</v>
      </c>
      <c r="E2698">
        <v>162</v>
      </c>
      <c r="F2698" t="s">
        <v>559</v>
      </c>
      <c r="G2698">
        <v>18</v>
      </c>
    </row>
    <row r="2699" spans="1:8">
      <c r="A2699" t="str">
        <f t="shared" si="42"/>
        <v>Middelweg 19</v>
      </c>
      <c r="B2699" t="s">
        <v>558</v>
      </c>
      <c r="C2699" t="s">
        <v>296</v>
      </c>
      <c r="D2699">
        <v>1991</v>
      </c>
      <c r="E2699">
        <v>239</v>
      </c>
      <c r="F2699" t="s">
        <v>559</v>
      </c>
      <c r="G2699">
        <v>19</v>
      </c>
    </row>
    <row r="2700" spans="1:8">
      <c r="A2700" t="str">
        <f t="shared" si="42"/>
        <v>Middelweg 20</v>
      </c>
      <c r="B2700" t="s">
        <v>560</v>
      </c>
      <c r="C2700" t="s">
        <v>296</v>
      </c>
      <c r="D2700">
        <v>1969</v>
      </c>
      <c r="E2700">
        <v>179</v>
      </c>
      <c r="F2700" t="s">
        <v>559</v>
      </c>
      <c r="G2700">
        <v>20</v>
      </c>
    </row>
    <row r="2701" spans="1:8">
      <c r="A2701" t="str">
        <f t="shared" si="42"/>
        <v>Middelweg 21</v>
      </c>
      <c r="B2701" t="s">
        <v>558</v>
      </c>
      <c r="C2701" t="s">
        <v>296</v>
      </c>
      <c r="D2701">
        <v>1991</v>
      </c>
      <c r="E2701">
        <v>220</v>
      </c>
      <c r="F2701" t="s">
        <v>559</v>
      </c>
      <c r="G2701">
        <v>21</v>
      </c>
    </row>
    <row r="2702" spans="1:8">
      <c r="A2702" t="str">
        <f t="shared" si="42"/>
        <v>Middelweg 22</v>
      </c>
      <c r="B2702" t="s">
        <v>560</v>
      </c>
      <c r="C2702" t="s">
        <v>296</v>
      </c>
      <c r="D2702">
        <v>1932</v>
      </c>
      <c r="E2702">
        <v>182</v>
      </c>
      <c r="F2702" t="s">
        <v>559</v>
      </c>
      <c r="G2702">
        <v>22</v>
      </c>
    </row>
    <row r="2703" spans="1:8">
      <c r="A2703" t="str">
        <f t="shared" si="42"/>
        <v>Middelweg 23</v>
      </c>
      <c r="B2703" t="s">
        <v>558</v>
      </c>
      <c r="C2703" t="s">
        <v>296</v>
      </c>
      <c r="D2703">
        <v>1999</v>
      </c>
      <c r="E2703">
        <v>125</v>
      </c>
      <c r="F2703" t="s">
        <v>559</v>
      </c>
      <c r="G2703">
        <v>23</v>
      </c>
    </row>
    <row r="2704" spans="1:8">
      <c r="A2704" t="str">
        <f t="shared" si="42"/>
        <v>Middelweg 24</v>
      </c>
      <c r="B2704" t="s">
        <v>560</v>
      </c>
      <c r="C2704" t="s">
        <v>296</v>
      </c>
      <c r="D2704">
        <v>1969</v>
      </c>
      <c r="E2704">
        <v>175</v>
      </c>
      <c r="F2704" t="s">
        <v>559</v>
      </c>
      <c r="G2704">
        <v>24</v>
      </c>
    </row>
    <row r="2705" spans="1:7">
      <c r="A2705" t="str">
        <f t="shared" si="42"/>
        <v>Middelweg 25</v>
      </c>
      <c r="B2705" t="s">
        <v>558</v>
      </c>
      <c r="C2705" t="s">
        <v>296</v>
      </c>
      <c r="D2705">
        <v>2013</v>
      </c>
      <c r="E2705">
        <v>365</v>
      </c>
      <c r="F2705" t="s">
        <v>559</v>
      </c>
      <c r="G2705">
        <v>25</v>
      </c>
    </row>
    <row r="2706" spans="1:7">
      <c r="A2706" t="str">
        <f t="shared" si="42"/>
        <v>Middelweg 26</v>
      </c>
      <c r="B2706" t="s">
        <v>560</v>
      </c>
      <c r="C2706" t="s">
        <v>296</v>
      </c>
      <c r="D2706">
        <v>1969</v>
      </c>
      <c r="E2706">
        <v>158</v>
      </c>
      <c r="F2706" t="s">
        <v>559</v>
      </c>
      <c r="G2706">
        <v>26</v>
      </c>
    </row>
    <row r="2707" spans="1:7">
      <c r="A2707" t="str">
        <f t="shared" si="42"/>
        <v>Middelweg 27</v>
      </c>
      <c r="B2707" t="s">
        <v>558</v>
      </c>
      <c r="C2707" t="s">
        <v>296</v>
      </c>
      <c r="D2707">
        <v>2013</v>
      </c>
      <c r="E2707">
        <v>248</v>
      </c>
      <c r="F2707" t="s">
        <v>559</v>
      </c>
      <c r="G2707">
        <v>27</v>
      </c>
    </row>
    <row r="2708" spans="1:7">
      <c r="A2708" t="str">
        <f t="shared" si="42"/>
        <v>Middelweg 28</v>
      </c>
      <c r="B2708" t="s">
        <v>560</v>
      </c>
      <c r="C2708" t="s">
        <v>296</v>
      </c>
      <c r="D2708">
        <v>1969</v>
      </c>
      <c r="E2708">
        <v>176</v>
      </c>
      <c r="F2708" t="s">
        <v>559</v>
      </c>
      <c r="G2708">
        <v>28</v>
      </c>
    </row>
    <row r="2709" spans="1:7">
      <c r="A2709" t="str">
        <f t="shared" si="42"/>
        <v>Middelweg 29</v>
      </c>
      <c r="B2709" t="s">
        <v>558</v>
      </c>
      <c r="C2709" t="s">
        <v>296</v>
      </c>
      <c r="D2709">
        <v>2012</v>
      </c>
      <c r="E2709">
        <v>409</v>
      </c>
      <c r="F2709" t="s">
        <v>559</v>
      </c>
      <c r="G2709">
        <v>29</v>
      </c>
    </row>
    <row r="2710" spans="1:7">
      <c r="A2710" t="str">
        <f t="shared" si="42"/>
        <v>Middelweg 30</v>
      </c>
      <c r="B2710" t="s">
        <v>560</v>
      </c>
      <c r="C2710" t="s">
        <v>296</v>
      </c>
      <c r="D2710">
        <v>1969</v>
      </c>
      <c r="E2710">
        <v>193</v>
      </c>
      <c r="F2710" t="s">
        <v>559</v>
      </c>
      <c r="G2710">
        <v>30</v>
      </c>
    </row>
    <row r="2711" spans="1:7">
      <c r="A2711" t="str">
        <f t="shared" si="42"/>
        <v>Middelweg 31</v>
      </c>
      <c r="B2711" t="s">
        <v>558</v>
      </c>
      <c r="C2711" t="s">
        <v>296</v>
      </c>
      <c r="D2711">
        <v>2013</v>
      </c>
      <c r="E2711">
        <v>234</v>
      </c>
      <c r="F2711" t="s">
        <v>559</v>
      </c>
      <c r="G2711">
        <v>31</v>
      </c>
    </row>
    <row r="2712" spans="1:7">
      <c r="A2712" t="str">
        <f t="shared" si="42"/>
        <v>Middelweg 32</v>
      </c>
      <c r="B2712" t="s">
        <v>560</v>
      </c>
      <c r="C2712" t="s">
        <v>296</v>
      </c>
      <c r="D2712">
        <v>1969</v>
      </c>
      <c r="E2712">
        <v>175</v>
      </c>
      <c r="F2712" t="s">
        <v>559</v>
      </c>
      <c r="G2712">
        <v>32</v>
      </c>
    </row>
    <row r="2713" spans="1:7">
      <c r="A2713" t="str">
        <f t="shared" si="42"/>
        <v>Middelweg 33</v>
      </c>
      <c r="B2713" t="s">
        <v>558</v>
      </c>
      <c r="C2713" t="s">
        <v>296</v>
      </c>
      <c r="D2713">
        <v>2013</v>
      </c>
      <c r="E2713">
        <v>228</v>
      </c>
      <c r="F2713" t="s">
        <v>559</v>
      </c>
      <c r="G2713">
        <v>33</v>
      </c>
    </row>
    <row r="2714" spans="1:7">
      <c r="A2714" t="str">
        <f t="shared" si="42"/>
        <v>Middelweg 34</v>
      </c>
      <c r="B2714" t="s">
        <v>560</v>
      </c>
      <c r="C2714" t="s">
        <v>296</v>
      </c>
      <c r="D2714">
        <v>1969</v>
      </c>
      <c r="E2714">
        <v>175</v>
      </c>
      <c r="F2714" t="s">
        <v>559</v>
      </c>
      <c r="G2714">
        <v>34</v>
      </c>
    </row>
    <row r="2715" spans="1:7">
      <c r="A2715" t="str">
        <f t="shared" si="42"/>
        <v>Middelweg 35</v>
      </c>
      <c r="B2715" t="s">
        <v>558</v>
      </c>
      <c r="C2715" t="s">
        <v>296</v>
      </c>
      <c r="D2715">
        <v>2012</v>
      </c>
      <c r="E2715">
        <v>246</v>
      </c>
      <c r="F2715" t="s">
        <v>559</v>
      </c>
      <c r="G2715">
        <v>35</v>
      </c>
    </row>
    <row r="2716" spans="1:7">
      <c r="A2716" t="str">
        <f t="shared" si="42"/>
        <v>Middelweg 36</v>
      </c>
      <c r="B2716" t="s">
        <v>560</v>
      </c>
      <c r="C2716" t="s">
        <v>296</v>
      </c>
      <c r="D2716">
        <v>1970</v>
      </c>
      <c r="E2716">
        <v>270</v>
      </c>
      <c r="F2716" t="s">
        <v>559</v>
      </c>
      <c r="G2716">
        <v>36</v>
      </c>
    </row>
    <row r="2717" spans="1:7">
      <c r="A2717" t="str">
        <f t="shared" si="42"/>
        <v>Middelweg 37</v>
      </c>
      <c r="B2717" t="s">
        <v>558</v>
      </c>
      <c r="C2717" t="s">
        <v>296</v>
      </c>
      <c r="D2717">
        <v>2016</v>
      </c>
      <c r="E2717">
        <v>323</v>
      </c>
      <c r="F2717" t="s">
        <v>559</v>
      </c>
      <c r="G2717">
        <v>37</v>
      </c>
    </row>
    <row r="2718" spans="1:7">
      <c r="A2718" t="str">
        <f t="shared" si="42"/>
        <v>Middelweg 38</v>
      </c>
      <c r="B2718" t="s">
        <v>560</v>
      </c>
      <c r="C2718" t="s">
        <v>296</v>
      </c>
      <c r="D2718">
        <v>1980</v>
      </c>
      <c r="E2718">
        <v>548</v>
      </c>
      <c r="F2718" t="s">
        <v>559</v>
      </c>
      <c r="G2718">
        <v>38</v>
      </c>
    </row>
    <row r="2719" spans="1:7">
      <c r="A2719" t="str">
        <f t="shared" si="42"/>
        <v>Middelweg 39</v>
      </c>
      <c r="B2719" t="s">
        <v>558</v>
      </c>
      <c r="C2719" t="s">
        <v>296</v>
      </c>
      <c r="D2719">
        <v>2012</v>
      </c>
      <c r="E2719">
        <v>316</v>
      </c>
      <c r="F2719" t="s">
        <v>559</v>
      </c>
      <c r="G2719">
        <v>39</v>
      </c>
    </row>
    <row r="2720" spans="1:7">
      <c r="A2720" t="str">
        <f t="shared" si="42"/>
        <v>Middelweg 40</v>
      </c>
      <c r="B2720" t="s">
        <v>561</v>
      </c>
      <c r="C2720" t="s">
        <v>296</v>
      </c>
      <c r="D2720">
        <v>1967</v>
      </c>
      <c r="E2720">
        <v>113</v>
      </c>
      <c r="F2720" t="s">
        <v>559</v>
      </c>
      <c r="G2720">
        <v>40</v>
      </c>
    </row>
    <row r="2721" spans="1:7">
      <c r="A2721" t="str">
        <f t="shared" si="42"/>
        <v>Middelweg 41</v>
      </c>
      <c r="B2721" t="s">
        <v>558</v>
      </c>
      <c r="C2721" t="s">
        <v>296</v>
      </c>
      <c r="D2721">
        <v>1989</v>
      </c>
      <c r="E2721">
        <v>252</v>
      </c>
      <c r="F2721" t="s">
        <v>559</v>
      </c>
      <c r="G2721">
        <v>41</v>
      </c>
    </row>
    <row r="2722" spans="1:7">
      <c r="A2722" t="str">
        <f t="shared" si="42"/>
        <v>Middelweg 42</v>
      </c>
      <c r="B2722" t="s">
        <v>561</v>
      </c>
      <c r="C2722" t="s">
        <v>296</v>
      </c>
      <c r="D2722">
        <v>1967</v>
      </c>
      <c r="E2722">
        <v>165</v>
      </c>
      <c r="F2722" t="s">
        <v>559</v>
      </c>
      <c r="G2722">
        <v>42</v>
      </c>
    </row>
    <row r="2723" spans="1:7">
      <c r="A2723" t="str">
        <f t="shared" si="42"/>
        <v>Middelweg 43</v>
      </c>
      <c r="B2723" t="s">
        <v>558</v>
      </c>
      <c r="C2723" t="s">
        <v>296</v>
      </c>
      <c r="D2723">
        <v>1989</v>
      </c>
      <c r="E2723">
        <v>168</v>
      </c>
      <c r="F2723" t="s">
        <v>559</v>
      </c>
      <c r="G2723">
        <v>43</v>
      </c>
    </row>
    <row r="2724" spans="1:7">
      <c r="A2724" t="str">
        <f t="shared" si="42"/>
        <v>Middelweg 44</v>
      </c>
      <c r="B2724" t="s">
        <v>561</v>
      </c>
      <c r="C2724" t="s">
        <v>296</v>
      </c>
      <c r="D2724">
        <v>1967</v>
      </c>
      <c r="E2724">
        <v>105</v>
      </c>
      <c r="F2724" t="s">
        <v>559</v>
      </c>
      <c r="G2724">
        <v>44</v>
      </c>
    </row>
    <row r="2725" spans="1:7">
      <c r="A2725" t="str">
        <f t="shared" si="42"/>
        <v>Middelweg 45</v>
      </c>
      <c r="B2725" t="s">
        <v>558</v>
      </c>
      <c r="C2725" t="s">
        <v>296</v>
      </c>
      <c r="D2725">
        <v>1965</v>
      </c>
      <c r="E2725">
        <v>241</v>
      </c>
      <c r="F2725" t="s">
        <v>559</v>
      </c>
      <c r="G2725">
        <v>45</v>
      </c>
    </row>
    <row r="2726" spans="1:7">
      <c r="A2726" t="str">
        <f t="shared" si="42"/>
        <v>Middelweg 46</v>
      </c>
      <c r="B2726" t="s">
        <v>561</v>
      </c>
      <c r="C2726" t="s">
        <v>296</v>
      </c>
      <c r="D2726">
        <v>1967</v>
      </c>
      <c r="E2726">
        <v>149</v>
      </c>
      <c r="F2726" t="s">
        <v>559</v>
      </c>
      <c r="G2726">
        <v>46</v>
      </c>
    </row>
    <row r="2727" spans="1:7">
      <c r="A2727" t="str">
        <f t="shared" si="42"/>
        <v>Middelweg 47</v>
      </c>
      <c r="B2727" t="s">
        <v>558</v>
      </c>
      <c r="C2727" t="s">
        <v>296</v>
      </c>
      <c r="D2727">
        <v>2007</v>
      </c>
      <c r="E2727">
        <v>208</v>
      </c>
      <c r="F2727" t="s">
        <v>559</v>
      </c>
      <c r="G2727">
        <v>47</v>
      </c>
    </row>
    <row r="2728" spans="1:7">
      <c r="A2728" t="str">
        <f t="shared" si="42"/>
        <v>Middelweg 48</v>
      </c>
      <c r="B2728" t="s">
        <v>561</v>
      </c>
      <c r="C2728" t="s">
        <v>296</v>
      </c>
      <c r="D2728">
        <v>1967</v>
      </c>
      <c r="E2728">
        <v>177</v>
      </c>
      <c r="F2728" t="s">
        <v>559</v>
      </c>
      <c r="G2728">
        <v>48</v>
      </c>
    </row>
    <row r="2729" spans="1:7">
      <c r="A2729" t="str">
        <f t="shared" si="42"/>
        <v>Middelweg 49</v>
      </c>
      <c r="B2729" t="s">
        <v>562</v>
      </c>
      <c r="C2729" t="s">
        <v>296</v>
      </c>
      <c r="D2729">
        <v>1964</v>
      </c>
      <c r="E2729">
        <v>129</v>
      </c>
      <c r="F2729" t="s">
        <v>559</v>
      </c>
      <c r="G2729">
        <v>49</v>
      </c>
    </row>
    <row r="2730" spans="1:7">
      <c r="A2730" t="str">
        <f t="shared" si="42"/>
        <v>Middelweg 50</v>
      </c>
      <c r="B2730" t="s">
        <v>561</v>
      </c>
      <c r="C2730" t="s">
        <v>296</v>
      </c>
      <c r="D2730">
        <v>1967</v>
      </c>
      <c r="E2730">
        <v>169</v>
      </c>
      <c r="F2730" t="s">
        <v>559</v>
      </c>
      <c r="G2730">
        <v>50</v>
      </c>
    </row>
    <row r="2731" spans="1:7">
      <c r="A2731" t="str">
        <f t="shared" si="42"/>
        <v>Middelweg 51</v>
      </c>
      <c r="B2731" t="s">
        <v>562</v>
      </c>
      <c r="C2731" t="s">
        <v>296</v>
      </c>
      <c r="D2731">
        <v>1964</v>
      </c>
      <c r="E2731">
        <v>147</v>
      </c>
      <c r="F2731" t="s">
        <v>559</v>
      </c>
      <c r="G2731">
        <v>51</v>
      </c>
    </row>
    <row r="2732" spans="1:7">
      <c r="A2732" t="str">
        <f t="shared" si="42"/>
        <v>Middelweg 52</v>
      </c>
      <c r="B2732" t="s">
        <v>561</v>
      </c>
      <c r="C2732" t="s">
        <v>296</v>
      </c>
      <c r="D2732">
        <v>1967</v>
      </c>
      <c r="E2732">
        <v>147</v>
      </c>
      <c r="F2732" t="s">
        <v>559</v>
      </c>
      <c r="G2732">
        <v>52</v>
      </c>
    </row>
    <row r="2733" spans="1:7">
      <c r="A2733" t="str">
        <f t="shared" si="42"/>
        <v>Middelweg 53</v>
      </c>
      <c r="B2733" t="s">
        <v>562</v>
      </c>
      <c r="C2733" t="s">
        <v>296</v>
      </c>
      <c r="D2733">
        <v>1964</v>
      </c>
      <c r="E2733">
        <v>114</v>
      </c>
      <c r="F2733" t="s">
        <v>559</v>
      </c>
      <c r="G2733">
        <v>53</v>
      </c>
    </row>
    <row r="2734" spans="1:7">
      <c r="A2734" t="str">
        <f t="shared" si="42"/>
        <v>Middelweg 54</v>
      </c>
      <c r="B2734" t="s">
        <v>561</v>
      </c>
      <c r="C2734" t="s">
        <v>296</v>
      </c>
      <c r="D2734">
        <v>1967</v>
      </c>
      <c r="E2734">
        <v>129</v>
      </c>
      <c r="F2734" t="s">
        <v>559</v>
      </c>
      <c r="G2734">
        <v>54</v>
      </c>
    </row>
    <row r="2735" spans="1:7">
      <c r="A2735" t="str">
        <f t="shared" si="42"/>
        <v>Middelweg 55</v>
      </c>
      <c r="B2735" t="s">
        <v>562</v>
      </c>
      <c r="C2735" t="s">
        <v>296</v>
      </c>
      <c r="D2735">
        <v>1964</v>
      </c>
      <c r="E2735">
        <v>119</v>
      </c>
      <c r="F2735" t="s">
        <v>559</v>
      </c>
      <c r="G2735">
        <v>55</v>
      </c>
    </row>
    <row r="2736" spans="1:7">
      <c r="A2736" t="str">
        <f t="shared" si="42"/>
        <v>Middelweg 56</v>
      </c>
      <c r="B2736" t="s">
        <v>561</v>
      </c>
      <c r="C2736" t="s">
        <v>296</v>
      </c>
      <c r="D2736">
        <v>1967</v>
      </c>
      <c r="E2736">
        <v>129</v>
      </c>
      <c r="F2736" t="s">
        <v>559</v>
      </c>
      <c r="G2736">
        <v>56</v>
      </c>
    </row>
    <row r="2737" spans="1:7">
      <c r="A2737" t="str">
        <f t="shared" si="42"/>
        <v>Middelweg 57</v>
      </c>
      <c r="B2737" t="s">
        <v>562</v>
      </c>
      <c r="C2737" t="s">
        <v>296</v>
      </c>
      <c r="D2737">
        <v>1964</v>
      </c>
      <c r="E2737">
        <v>101</v>
      </c>
      <c r="F2737" t="s">
        <v>559</v>
      </c>
      <c r="G2737">
        <v>57</v>
      </c>
    </row>
    <row r="2738" spans="1:7">
      <c r="A2738" t="str">
        <f t="shared" si="42"/>
        <v>Middelweg 58</v>
      </c>
      <c r="B2738" t="s">
        <v>561</v>
      </c>
      <c r="C2738" t="s">
        <v>296</v>
      </c>
      <c r="D2738">
        <v>1967</v>
      </c>
      <c r="E2738">
        <v>135</v>
      </c>
      <c r="F2738" t="s">
        <v>559</v>
      </c>
      <c r="G2738">
        <v>58</v>
      </c>
    </row>
    <row r="2739" spans="1:7">
      <c r="A2739" t="str">
        <f t="shared" si="42"/>
        <v>Middelweg 59</v>
      </c>
      <c r="B2739" t="s">
        <v>562</v>
      </c>
      <c r="C2739" t="s">
        <v>296</v>
      </c>
      <c r="D2739">
        <v>1964</v>
      </c>
      <c r="E2739">
        <v>120</v>
      </c>
      <c r="F2739" t="s">
        <v>559</v>
      </c>
      <c r="G2739">
        <v>59</v>
      </c>
    </row>
    <row r="2740" spans="1:7">
      <c r="A2740" t="str">
        <f t="shared" si="42"/>
        <v>Middelweg 60</v>
      </c>
      <c r="B2740" t="s">
        <v>561</v>
      </c>
      <c r="C2740" t="s">
        <v>296</v>
      </c>
      <c r="D2740">
        <v>1967</v>
      </c>
      <c r="E2740">
        <v>130</v>
      </c>
      <c r="F2740" t="s">
        <v>559</v>
      </c>
      <c r="G2740">
        <v>60</v>
      </c>
    </row>
    <row r="2741" spans="1:7">
      <c r="A2741" t="str">
        <f t="shared" si="42"/>
        <v>Middelweg 61</v>
      </c>
      <c r="B2741" t="s">
        <v>562</v>
      </c>
      <c r="C2741" t="s">
        <v>296</v>
      </c>
      <c r="D2741">
        <v>1964</v>
      </c>
      <c r="E2741">
        <v>125</v>
      </c>
      <c r="F2741" t="s">
        <v>559</v>
      </c>
      <c r="G2741">
        <v>61</v>
      </c>
    </row>
    <row r="2742" spans="1:7">
      <c r="A2742" t="str">
        <f t="shared" si="42"/>
        <v>Middelweg 62</v>
      </c>
      <c r="B2742" t="s">
        <v>561</v>
      </c>
      <c r="C2742" t="s">
        <v>296</v>
      </c>
      <c r="D2742">
        <v>1967</v>
      </c>
      <c r="E2742">
        <v>127</v>
      </c>
      <c r="F2742" t="s">
        <v>559</v>
      </c>
      <c r="G2742">
        <v>62</v>
      </c>
    </row>
    <row r="2743" spans="1:7">
      <c r="A2743" t="str">
        <f t="shared" si="42"/>
        <v>Middelweg 63</v>
      </c>
      <c r="B2743" t="s">
        <v>562</v>
      </c>
      <c r="C2743" t="s">
        <v>296</v>
      </c>
      <c r="D2743">
        <v>1964</v>
      </c>
      <c r="E2743">
        <v>119</v>
      </c>
      <c r="F2743" t="s">
        <v>559</v>
      </c>
      <c r="G2743">
        <v>63</v>
      </c>
    </row>
    <row r="2744" spans="1:7">
      <c r="A2744" t="str">
        <f t="shared" si="42"/>
        <v>Middelweg 64</v>
      </c>
      <c r="B2744" t="s">
        <v>561</v>
      </c>
      <c r="C2744" t="s">
        <v>296</v>
      </c>
      <c r="D2744">
        <v>1967</v>
      </c>
      <c r="E2744">
        <v>115</v>
      </c>
      <c r="F2744" t="s">
        <v>559</v>
      </c>
      <c r="G2744">
        <v>64</v>
      </c>
    </row>
    <row r="2745" spans="1:7">
      <c r="A2745" t="str">
        <f t="shared" si="42"/>
        <v>Middelweg 65</v>
      </c>
      <c r="B2745" t="s">
        <v>562</v>
      </c>
      <c r="C2745" t="s">
        <v>296</v>
      </c>
      <c r="D2745">
        <v>1964</v>
      </c>
      <c r="E2745">
        <v>146</v>
      </c>
      <c r="F2745" t="s">
        <v>559</v>
      </c>
      <c r="G2745">
        <v>65</v>
      </c>
    </row>
    <row r="2746" spans="1:7">
      <c r="A2746" t="str">
        <f t="shared" si="42"/>
        <v>Middelweg 66</v>
      </c>
      <c r="B2746" t="s">
        <v>561</v>
      </c>
      <c r="C2746" t="s">
        <v>296</v>
      </c>
      <c r="D2746">
        <v>1967</v>
      </c>
      <c r="E2746">
        <v>105</v>
      </c>
      <c r="F2746" t="s">
        <v>559</v>
      </c>
      <c r="G2746">
        <v>66</v>
      </c>
    </row>
    <row r="2747" spans="1:7">
      <c r="A2747" t="str">
        <f t="shared" si="42"/>
        <v>Middelweg 67</v>
      </c>
      <c r="B2747" t="s">
        <v>562</v>
      </c>
      <c r="C2747" t="s">
        <v>296</v>
      </c>
      <c r="D2747">
        <v>1964</v>
      </c>
      <c r="E2747">
        <v>159</v>
      </c>
      <c r="F2747" t="s">
        <v>559</v>
      </c>
      <c r="G2747">
        <v>67</v>
      </c>
    </row>
    <row r="2748" spans="1:7">
      <c r="A2748" t="str">
        <f t="shared" si="42"/>
        <v>Middelweg 68</v>
      </c>
      <c r="B2748" t="s">
        <v>561</v>
      </c>
      <c r="C2748" t="s">
        <v>296</v>
      </c>
      <c r="D2748">
        <v>1966</v>
      </c>
      <c r="E2748">
        <v>102</v>
      </c>
      <c r="F2748" t="s">
        <v>559</v>
      </c>
      <c r="G2748">
        <v>68</v>
      </c>
    </row>
    <row r="2749" spans="1:7">
      <c r="A2749" t="str">
        <f t="shared" si="42"/>
        <v>Middelweg 69</v>
      </c>
      <c r="B2749" t="s">
        <v>562</v>
      </c>
      <c r="C2749" t="s">
        <v>296</v>
      </c>
      <c r="D2749">
        <v>1965</v>
      </c>
      <c r="E2749">
        <v>132</v>
      </c>
      <c r="F2749" t="s">
        <v>559</v>
      </c>
      <c r="G2749">
        <v>69</v>
      </c>
    </row>
    <row r="2750" spans="1:7">
      <c r="A2750" t="str">
        <f t="shared" si="42"/>
        <v>Middelweg 71</v>
      </c>
      <c r="B2750" t="s">
        <v>562</v>
      </c>
      <c r="C2750" t="s">
        <v>296</v>
      </c>
      <c r="D2750">
        <v>1965</v>
      </c>
      <c r="E2750">
        <v>159</v>
      </c>
      <c r="F2750" t="s">
        <v>559</v>
      </c>
      <c r="G2750">
        <v>71</v>
      </c>
    </row>
    <row r="2751" spans="1:7">
      <c r="A2751" t="str">
        <f t="shared" si="42"/>
        <v>Middelweg 72</v>
      </c>
      <c r="B2751" t="s">
        <v>561</v>
      </c>
      <c r="C2751" t="s">
        <v>296</v>
      </c>
      <c r="D2751">
        <v>1973</v>
      </c>
      <c r="E2751">
        <v>225</v>
      </c>
      <c r="F2751" t="s">
        <v>559</v>
      </c>
      <c r="G2751">
        <v>72</v>
      </c>
    </row>
    <row r="2752" spans="1:7">
      <c r="A2752" t="str">
        <f t="shared" si="42"/>
        <v>Middelweg 73</v>
      </c>
      <c r="B2752" t="s">
        <v>562</v>
      </c>
      <c r="C2752" t="s">
        <v>296</v>
      </c>
      <c r="D2752">
        <v>1965</v>
      </c>
      <c r="E2752">
        <v>178</v>
      </c>
      <c r="F2752" t="s">
        <v>559</v>
      </c>
      <c r="G2752">
        <v>73</v>
      </c>
    </row>
    <row r="2753" spans="1:7">
      <c r="A2753" t="str">
        <f t="shared" si="42"/>
        <v>Middelweg 74</v>
      </c>
      <c r="B2753" t="s">
        <v>561</v>
      </c>
      <c r="C2753" t="s">
        <v>296</v>
      </c>
      <c r="D2753">
        <v>1930</v>
      </c>
      <c r="E2753">
        <v>175</v>
      </c>
      <c r="F2753" t="s">
        <v>559</v>
      </c>
      <c r="G2753">
        <v>74</v>
      </c>
    </row>
    <row r="2754" spans="1:7">
      <c r="A2754" t="str">
        <f t="shared" ref="A2754:A2817" si="43">CONCATENATE(F2754," ",G2754,H2754)</f>
        <v>Middelweg 75</v>
      </c>
      <c r="B2754" t="s">
        <v>562</v>
      </c>
      <c r="C2754" t="s">
        <v>296</v>
      </c>
      <c r="D2754">
        <v>1965</v>
      </c>
      <c r="E2754">
        <v>150</v>
      </c>
      <c r="F2754" t="s">
        <v>559</v>
      </c>
      <c r="G2754">
        <v>75</v>
      </c>
    </row>
    <row r="2755" spans="1:7">
      <c r="A2755" t="str">
        <f t="shared" si="43"/>
        <v>Middelweg 76</v>
      </c>
      <c r="B2755" t="s">
        <v>561</v>
      </c>
      <c r="C2755" t="s">
        <v>296</v>
      </c>
      <c r="D2755">
        <v>1988</v>
      </c>
      <c r="E2755">
        <v>112</v>
      </c>
      <c r="F2755" t="s">
        <v>559</v>
      </c>
      <c r="G2755">
        <v>76</v>
      </c>
    </row>
    <row r="2756" spans="1:7">
      <c r="A2756" t="str">
        <f t="shared" si="43"/>
        <v>Middelweg 77</v>
      </c>
      <c r="B2756" t="s">
        <v>562</v>
      </c>
      <c r="C2756" t="s">
        <v>296</v>
      </c>
      <c r="D2756">
        <v>1963</v>
      </c>
      <c r="E2756">
        <v>120</v>
      </c>
      <c r="F2756" t="s">
        <v>559</v>
      </c>
      <c r="G2756">
        <v>77</v>
      </c>
    </row>
    <row r="2757" spans="1:7">
      <c r="A2757" t="str">
        <f t="shared" si="43"/>
        <v>Middelweg 78</v>
      </c>
      <c r="B2757" t="s">
        <v>561</v>
      </c>
      <c r="C2757" t="s">
        <v>296</v>
      </c>
      <c r="D2757">
        <v>1988</v>
      </c>
      <c r="E2757">
        <v>126</v>
      </c>
      <c r="F2757" t="s">
        <v>559</v>
      </c>
      <c r="G2757">
        <v>78</v>
      </c>
    </row>
    <row r="2758" spans="1:7">
      <c r="A2758" t="str">
        <f t="shared" si="43"/>
        <v>Middelweg 79</v>
      </c>
      <c r="B2758" t="s">
        <v>562</v>
      </c>
      <c r="C2758" t="s">
        <v>296</v>
      </c>
      <c r="D2758">
        <v>1963</v>
      </c>
      <c r="E2758">
        <v>199</v>
      </c>
      <c r="F2758" t="s">
        <v>559</v>
      </c>
      <c r="G2758">
        <v>79</v>
      </c>
    </row>
    <row r="2759" spans="1:7">
      <c r="A2759" t="str">
        <f t="shared" si="43"/>
        <v>Middelweg 80</v>
      </c>
      <c r="B2759" t="s">
        <v>561</v>
      </c>
      <c r="C2759" t="s">
        <v>296</v>
      </c>
      <c r="D2759">
        <v>1988</v>
      </c>
      <c r="E2759">
        <v>123</v>
      </c>
      <c r="F2759" t="s">
        <v>559</v>
      </c>
      <c r="G2759">
        <v>80</v>
      </c>
    </row>
    <row r="2760" spans="1:7">
      <c r="A2760" t="str">
        <f t="shared" si="43"/>
        <v>Middelweg 81</v>
      </c>
      <c r="B2760" t="s">
        <v>562</v>
      </c>
      <c r="C2760" t="s">
        <v>296</v>
      </c>
      <c r="D2760">
        <v>1966</v>
      </c>
      <c r="E2760">
        <v>130</v>
      </c>
      <c r="F2760" t="s">
        <v>559</v>
      </c>
      <c r="G2760">
        <v>81</v>
      </c>
    </row>
    <row r="2761" spans="1:7">
      <c r="A2761" t="str">
        <f t="shared" si="43"/>
        <v>Middelweg 82</v>
      </c>
      <c r="B2761" t="s">
        <v>561</v>
      </c>
      <c r="C2761" t="s">
        <v>296</v>
      </c>
      <c r="D2761">
        <v>1988</v>
      </c>
      <c r="E2761">
        <v>110</v>
      </c>
      <c r="F2761" t="s">
        <v>559</v>
      </c>
      <c r="G2761">
        <v>82</v>
      </c>
    </row>
    <row r="2762" spans="1:7">
      <c r="A2762" t="str">
        <f t="shared" si="43"/>
        <v>Middelweg 83</v>
      </c>
      <c r="B2762" t="s">
        <v>562</v>
      </c>
      <c r="C2762" t="s">
        <v>296</v>
      </c>
      <c r="D2762">
        <v>1964</v>
      </c>
      <c r="E2762">
        <v>105</v>
      </c>
      <c r="F2762" t="s">
        <v>559</v>
      </c>
      <c r="G2762">
        <v>83</v>
      </c>
    </row>
    <row r="2763" spans="1:7">
      <c r="A2763" t="str">
        <f t="shared" si="43"/>
        <v>Middelweg 84</v>
      </c>
      <c r="B2763" t="s">
        <v>561</v>
      </c>
      <c r="C2763" t="s">
        <v>296</v>
      </c>
      <c r="D2763">
        <v>1987</v>
      </c>
      <c r="E2763">
        <v>118</v>
      </c>
      <c r="F2763" t="s">
        <v>559</v>
      </c>
      <c r="G2763">
        <v>84</v>
      </c>
    </row>
    <row r="2764" spans="1:7">
      <c r="A2764" t="str">
        <f t="shared" si="43"/>
        <v>Middelweg 86</v>
      </c>
      <c r="B2764" t="s">
        <v>561</v>
      </c>
      <c r="C2764" t="s">
        <v>296</v>
      </c>
      <c r="D2764">
        <v>1987</v>
      </c>
      <c r="E2764">
        <v>115</v>
      </c>
      <c r="F2764" t="s">
        <v>559</v>
      </c>
      <c r="G2764">
        <v>86</v>
      </c>
    </row>
    <row r="2765" spans="1:7">
      <c r="A2765" t="str">
        <f t="shared" si="43"/>
        <v>Middelweg 87</v>
      </c>
      <c r="B2765" t="s">
        <v>562</v>
      </c>
      <c r="C2765" t="s">
        <v>296</v>
      </c>
      <c r="D2765">
        <v>1979</v>
      </c>
      <c r="E2765">
        <v>225</v>
      </c>
      <c r="F2765" t="s">
        <v>559</v>
      </c>
      <c r="G2765">
        <v>87</v>
      </c>
    </row>
    <row r="2766" spans="1:7">
      <c r="A2766" t="str">
        <f t="shared" si="43"/>
        <v>Middelweg 88</v>
      </c>
      <c r="B2766" t="s">
        <v>561</v>
      </c>
      <c r="C2766" t="s">
        <v>296</v>
      </c>
      <c r="D2766">
        <v>1988</v>
      </c>
      <c r="E2766">
        <v>138</v>
      </c>
      <c r="F2766" t="s">
        <v>559</v>
      </c>
      <c r="G2766">
        <v>88</v>
      </c>
    </row>
    <row r="2767" spans="1:7">
      <c r="A2767" t="str">
        <f t="shared" si="43"/>
        <v>Middelweg 89</v>
      </c>
      <c r="B2767" t="s">
        <v>562</v>
      </c>
      <c r="C2767" t="s">
        <v>296</v>
      </c>
      <c r="D2767">
        <v>1987</v>
      </c>
      <c r="E2767">
        <v>223</v>
      </c>
      <c r="F2767" t="s">
        <v>559</v>
      </c>
      <c r="G2767">
        <v>89</v>
      </c>
    </row>
    <row r="2768" spans="1:7">
      <c r="A2768" t="str">
        <f t="shared" si="43"/>
        <v>Middelweg 90</v>
      </c>
      <c r="B2768" t="s">
        <v>561</v>
      </c>
      <c r="C2768" t="s">
        <v>296</v>
      </c>
      <c r="D2768">
        <v>1988</v>
      </c>
      <c r="E2768">
        <v>150</v>
      </c>
      <c r="F2768" t="s">
        <v>559</v>
      </c>
      <c r="G2768">
        <v>90</v>
      </c>
    </row>
    <row r="2769" spans="1:8">
      <c r="A2769" t="str">
        <f t="shared" si="43"/>
        <v>Middelweg 91</v>
      </c>
      <c r="B2769" t="s">
        <v>562</v>
      </c>
      <c r="C2769" t="s">
        <v>296</v>
      </c>
      <c r="D2769">
        <v>1987</v>
      </c>
      <c r="E2769">
        <v>188</v>
      </c>
      <c r="F2769" t="s">
        <v>559</v>
      </c>
      <c r="G2769">
        <v>91</v>
      </c>
    </row>
    <row r="2770" spans="1:8">
      <c r="A2770" t="str">
        <f t="shared" si="43"/>
        <v>Middelweg 92</v>
      </c>
      <c r="B2770" t="s">
        <v>561</v>
      </c>
      <c r="C2770" t="s">
        <v>296</v>
      </c>
      <c r="D2770">
        <v>1988</v>
      </c>
      <c r="E2770">
        <v>166</v>
      </c>
      <c r="F2770" t="s">
        <v>559</v>
      </c>
      <c r="G2770">
        <v>92</v>
      </c>
    </row>
    <row r="2771" spans="1:8">
      <c r="A2771" t="str">
        <f t="shared" si="43"/>
        <v>Middelweg 93</v>
      </c>
      <c r="B2771" t="s">
        <v>562</v>
      </c>
      <c r="C2771" t="s">
        <v>296</v>
      </c>
      <c r="D2771">
        <v>1987</v>
      </c>
      <c r="E2771">
        <v>127</v>
      </c>
      <c r="F2771" t="s">
        <v>559</v>
      </c>
      <c r="G2771">
        <v>93</v>
      </c>
    </row>
    <row r="2772" spans="1:8">
      <c r="A2772" t="str">
        <f t="shared" si="43"/>
        <v>Middelweg 94</v>
      </c>
      <c r="B2772" t="s">
        <v>561</v>
      </c>
      <c r="C2772" t="s">
        <v>296</v>
      </c>
      <c r="D2772">
        <v>1988</v>
      </c>
      <c r="E2772">
        <v>164</v>
      </c>
      <c r="F2772" t="s">
        <v>559</v>
      </c>
      <c r="G2772">
        <v>94</v>
      </c>
    </row>
    <row r="2773" spans="1:8">
      <c r="A2773" t="str">
        <f t="shared" si="43"/>
        <v>Middelweg 95</v>
      </c>
      <c r="B2773" t="s">
        <v>562</v>
      </c>
      <c r="C2773" t="s">
        <v>296</v>
      </c>
      <c r="D2773">
        <v>1987</v>
      </c>
      <c r="E2773">
        <v>154</v>
      </c>
      <c r="F2773" t="s">
        <v>559</v>
      </c>
      <c r="G2773">
        <v>95</v>
      </c>
    </row>
    <row r="2774" spans="1:8">
      <c r="A2774" t="str">
        <f t="shared" si="43"/>
        <v>Middelweg 96</v>
      </c>
      <c r="B2774" t="s">
        <v>561</v>
      </c>
      <c r="C2774" t="s">
        <v>296</v>
      </c>
      <c r="D2774">
        <v>1988</v>
      </c>
      <c r="E2774">
        <v>137</v>
      </c>
      <c r="F2774" t="s">
        <v>559</v>
      </c>
      <c r="G2774">
        <v>96</v>
      </c>
    </row>
    <row r="2775" spans="1:8">
      <c r="A2775" t="str">
        <f t="shared" si="43"/>
        <v>Middelweg 97</v>
      </c>
      <c r="B2775" t="s">
        <v>562</v>
      </c>
      <c r="C2775" t="s">
        <v>296</v>
      </c>
      <c r="D2775">
        <v>1987</v>
      </c>
      <c r="E2775">
        <v>142</v>
      </c>
      <c r="F2775" t="s">
        <v>559</v>
      </c>
      <c r="G2775">
        <v>97</v>
      </c>
    </row>
    <row r="2776" spans="1:8">
      <c r="A2776" t="str">
        <f t="shared" si="43"/>
        <v>Middelweg 98t</v>
      </c>
      <c r="C2776" t="s">
        <v>296</v>
      </c>
      <c r="D2776">
        <v>2022</v>
      </c>
      <c r="E2776">
        <v>10</v>
      </c>
      <c r="F2776" t="s">
        <v>559</v>
      </c>
      <c r="G2776">
        <v>98</v>
      </c>
      <c r="H2776" t="s">
        <v>427</v>
      </c>
    </row>
    <row r="2777" spans="1:8">
      <c r="A2777" t="str">
        <f t="shared" si="43"/>
        <v>Middelweg 98</v>
      </c>
      <c r="B2777" t="s">
        <v>561</v>
      </c>
      <c r="C2777" t="s">
        <v>296</v>
      </c>
      <c r="D2777">
        <v>2022</v>
      </c>
      <c r="E2777">
        <v>54</v>
      </c>
      <c r="F2777" t="s">
        <v>559</v>
      </c>
      <c r="G2777">
        <v>98</v>
      </c>
    </row>
    <row r="2778" spans="1:8">
      <c r="A2778" t="str">
        <f t="shared" si="43"/>
        <v>Middelweg 98</v>
      </c>
      <c r="B2778" t="s">
        <v>561</v>
      </c>
      <c r="C2778" t="s">
        <v>296</v>
      </c>
      <c r="D2778">
        <v>1981</v>
      </c>
      <c r="E2778">
        <v>182</v>
      </c>
      <c r="F2778" t="s">
        <v>559</v>
      </c>
      <c r="G2778">
        <v>98</v>
      </c>
    </row>
    <row r="2779" spans="1:8">
      <c r="A2779" t="str">
        <f t="shared" si="43"/>
        <v>Middelweg 99</v>
      </c>
      <c r="B2779" t="s">
        <v>562</v>
      </c>
      <c r="C2779" t="s">
        <v>296</v>
      </c>
      <c r="D2779">
        <v>1987</v>
      </c>
      <c r="E2779">
        <v>157</v>
      </c>
      <c r="F2779" t="s">
        <v>559</v>
      </c>
      <c r="G2779">
        <v>99</v>
      </c>
    </row>
    <row r="2780" spans="1:8">
      <c r="A2780" t="str">
        <f t="shared" si="43"/>
        <v>Middelweg 100</v>
      </c>
      <c r="B2780" t="s">
        <v>561</v>
      </c>
      <c r="C2780" t="s">
        <v>296</v>
      </c>
      <c r="D2780">
        <v>2022</v>
      </c>
      <c r="E2780">
        <v>54</v>
      </c>
      <c r="F2780" t="s">
        <v>559</v>
      </c>
      <c r="G2780">
        <v>100</v>
      </c>
    </row>
    <row r="2781" spans="1:8">
      <c r="A2781" t="str">
        <f t="shared" si="43"/>
        <v>Middelweg 101</v>
      </c>
      <c r="B2781" t="s">
        <v>562</v>
      </c>
      <c r="C2781" t="s">
        <v>296</v>
      </c>
      <c r="D2781">
        <v>1987</v>
      </c>
      <c r="E2781">
        <v>159</v>
      </c>
      <c r="F2781" t="s">
        <v>559</v>
      </c>
      <c r="G2781">
        <v>101</v>
      </c>
    </row>
    <row r="2782" spans="1:8">
      <c r="A2782" t="str">
        <f t="shared" si="43"/>
        <v>Middelweg 102</v>
      </c>
      <c r="B2782" t="s">
        <v>561</v>
      </c>
      <c r="C2782" t="s">
        <v>296</v>
      </c>
      <c r="D2782">
        <v>2022</v>
      </c>
      <c r="E2782">
        <v>54</v>
      </c>
      <c r="F2782" t="s">
        <v>559</v>
      </c>
      <c r="G2782">
        <v>102</v>
      </c>
    </row>
    <row r="2783" spans="1:8">
      <c r="A2783" t="str">
        <f t="shared" si="43"/>
        <v>Middelweg 103</v>
      </c>
      <c r="B2783" t="s">
        <v>562</v>
      </c>
      <c r="C2783" t="s">
        <v>296</v>
      </c>
      <c r="D2783">
        <v>1987</v>
      </c>
      <c r="E2783">
        <v>143</v>
      </c>
      <c r="F2783" t="s">
        <v>559</v>
      </c>
      <c r="G2783">
        <v>103</v>
      </c>
    </row>
    <row r="2784" spans="1:8">
      <c r="A2784" t="str">
        <f t="shared" si="43"/>
        <v>Middelweg 104</v>
      </c>
      <c r="B2784" t="s">
        <v>561</v>
      </c>
      <c r="C2784" t="s">
        <v>296</v>
      </c>
      <c r="D2784">
        <v>2022</v>
      </c>
      <c r="E2784">
        <v>54</v>
      </c>
      <c r="F2784" t="s">
        <v>559</v>
      </c>
      <c r="G2784">
        <v>104</v>
      </c>
    </row>
    <row r="2785" spans="1:7">
      <c r="A2785" t="str">
        <f t="shared" si="43"/>
        <v>Middelweg 105</v>
      </c>
      <c r="B2785" t="s">
        <v>562</v>
      </c>
      <c r="C2785" t="s">
        <v>296</v>
      </c>
      <c r="D2785">
        <v>1987</v>
      </c>
      <c r="E2785">
        <v>144</v>
      </c>
      <c r="F2785" t="s">
        <v>559</v>
      </c>
      <c r="G2785">
        <v>105</v>
      </c>
    </row>
    <row r="2786" spans="1:7">
      <c r="A2786" t="str">
        <f t="shared" si="43"/>
        <v>Middelweg 106</v>
      </c>
      <c r="B2786" t="s">
        <v>561</v>
      </c>
      <c r="C2786" t="s">
        <v>296</v>
      </c>
      <c r="D2786">
        <v>2022</v>
      </c>
      <c r="E2786">
        <v>54</v>
      </c>
      <c r="F2786" t="s">
        <v>559</v>
      </c>
      <c r="G2786">
        <v>106</v>
      </c>
    </row>
    <row r="2787" spans="1:7">
      <c r="A2787" t="str">
        <f t="shared" si="43"/>
        <v>Middelweg 107</v>
      </c>
      <c r="B2787" t="s">
        <v>562</v>
      </c>
      <c r="C2787" t="s">
        <v>296</v>
      </c>
      <c r="D2787">
        <v>1987</v>
      </c>
      <c r="E2787">
        <v>172</v>
      </c>
      <c r="F2787" t="s">
        <v>559</v>
      </c>
      <c r="G2787">
        <v>107</v>
      </c>
    </row>
    <row r="2788" spans="1:7">
      <c r="A2788" t="str">
        <f t="shared" si="43"/>
        <v>Middelweg 108</v>
      </c>
      <c r="B2788" t="s">
        <v>561</v>
      </c>
      <c r="C2788" t="s">
        <v>296</v>
      </c>
      <c r="D2788">
        <v>2022</v>
      </c>
      <c r="E2788">
        <v>54</v>
      </c>
      <c r="F2788" t="s">
        <v>559</v>
      </c>
      <c r="G2788">
        <v>108</v>
      </c>
    </row>
    <row r="2789" spans="1:7">
      <c r="A2789" t="str">
        <f t="shared" si="43"/>
        <v>Middelweg 109</v>
      </c>
      <c r="B2789" t="s">
        <v>562</v>
      </c>
      <c r="C2789" t="s">
        <v>296</v>
      </c>
      <c r="D2789">
        <v>1987</v>
      </c>
      <c r="E2789">
        <v>86</v>
      </c>
      <c r="F2789" t="s">
        <v>559</v>
      </c>
      <c r="G2789">
        <v>109</v>
      </c>
    </row>
    <row r="2790" spans="1:7">
      <c r="A2790" t="str">
        <f t="shared" si="43"/>
        <v>Middelweg 110</v>
      </c>
      <c r="B2790" t="s">
        <v>561</v>
      </c>
      <c r="C2790" t="s">
        <v>296</v>
      </c>
      <c r="D2790">
        <v>2022</v>
      </c>
      <c r="E2790">
        <v>54</v>
      </c>
      <c r="F2790" t="s">
        <v>559</v>
      </c>
      <c r="G2790">
        <v>110</v>
      </c>
    </row>
    <row r="2791" spans="1:7">
      <c r="A2791" t="str">
        <f t="shared" si="43"/>
        <v>Middelweg 111</v>
      </c>
      <c r="B2791" t="s">
        <v>562</v>
      </c>
      <c r="C2791" t="s">
        <v>296</v>
      </c>
      <c r="D2791">
        <v>1987</v>
      </c>
      <c r="E2791">
        <v>86</v>
      </c>
      <c r="F2791" t="s">
        <v>559</v>
      </c>
      <c r="G2791">
        <v>111</v>
      </c>
    </row>
    <row r="2792" spans="1:7">
      <c r="A2792" t="str">
        <f t="shared" si="43"/>
        <v>Middelweg 112</v>
      </c>
      <c r="B2792" t="s">
        <v>561</v>
      </c>
      <c r="C2792" t="s">
        <v>296</v>
      </c>
      <c r="D2792">
        <v>2022</v>
      </c>
      <c r="E2792">
        <v>54</v>
      </c>
      <c r="F2792" t="s">
        <v>559</v>
      </c>
      <c r="G2792">
        <v>112</v>
      </c>
    </row>
    <row r="2793" spans="1:7">
      <c r="A2793" t="str">
        <f t="shared" si="43"/>
        <v>Middelweg 113</v>
      </c>
      <c r="B2793" t="s">
        <v>562</v>
      </c>
      <c r="C2793" t="s">
        <v>296</v>
      </c>
      <c r="D2793">
        <v>1987</v>
      </c>
      <c r="E2793">
        <v>86</v>
      </c>
      <c r="F2793" t="s">
        <v>559</v>
      </c>
      <c r="G2793">
        <v>113</v>
      </c>
    </row>
    <row r="2794" spans="1:7">
      <c r="A2794" t="str">
        <f t="shared" si="43"/>
        <v>Middelweg 114</v>
      </c>
      <c r="B2794" t="s">
        <v>561</v>
      </c>
      <c r="C2794" t="s">
        <v>296</v>
      </c>
      <c r="D2794">
        <v>2022</v>
      </c>
      <c r="E2794">
        <v>54</v>
      </c>
      <c r="F2794" t="s">
        <v>559</v>
      </c>
      <c r="G2794">
        <v>114</v>
      </c>
    </row>
    <row r="2795" spans="1:7">
      <c r="A2795" t="str">
        <f t="shared" si="43"/>
        <v>Middelweg 115</v>
      </c>
      <c r="B2795" t="s">
        <v>562</v>
      </c>
      <c r="C2795" t="s">
        <v>296</v>
      </c>
      <c r="D2795">
        <v>1987</v>
      </c>
      <c r="E2795">
        <v>85</v>
      </c>
      <c r="F2795" t="s">
        <v>559</v>
      </c>
      <c r="G2795">
        <v>115</v>
      </c>
    </row>
    <row r="2796" spans="1:7">
      <c r="A2796" t="str">
        <f t="shared" si="43"/>
        <v>Middelweg 116</v>
      </c>
      <c r="B2796" t="s">
        <v>561</v>
      </c>
      <c r="C2796" t="s">
        <v>296</v>
      </c>
      <c r="D2796">
        <v>2022</v>
      </c>
      <c r="E2796">
        <v>54</v>
      </c>
      <c r="F2796" t="s">
        <v>559</v>
      </c>
      <c r="G2796">
        <v>116</v>
      </c>
    </row>
    <row r="2797" spans="1:7">
      <c r="A2797" t="str">
        <f t="shared" si="43"/>
        <v>Middelweg 118</v>
      </c>
      <c r="B2797" t="s">
        <v>561</v>
      </c>
      <c r="C2797" t="s">
        <v>296</v>
      </c>
      <c r="D2797">
        <v>2022</v>
      </c>
      <c r="E2797">
        <v>54</v>
      </c>
      <c r="F2797" t="s">
        <v>559</v>
      </c>
      <c r="G2797">
        <v>118</v>
      </c>
    </row>
    <row r="2798" spans="1:7">
      <c r="A2798" t="str">
        <f t="shared" si="43"/>
        <v>Middelweg 120</v>
      </c>
      <c r="B2798" t="s">
        <v>561</v>
      </c>
      <c r="C2798" t="s">
        <v>296</v>
      </c>
      <c r="D2798">
        <v>2022</v>
      </c>
      <c r="E2798">
        <v>54</v>
      </c>
      <c r="F2798" t="s">
        <v>559</v>
      </c>
      <c r="G2798">
        <v>120</v>
      </c>
    </row>
    <row r="2799" spans="1:7">
      <c r="A2799" t="str">
        <f t="shared" si="43"/>
        <v>Middelweg 122</v>
      </c>
      <c r="B2799" t="s">
        <v>561</v>
      </c>
      <c r="C2799" t="s">
        <v>296</v>
      </c>
      <c r="D2799">
        <v>2022</v>
      </c>
      <c r="E2799">
        <v>54</v>
      </c>
      <c r="F2799" t="s">
        <v>559</v>
      </c>
      <c r="G2799">
        <v>122</v>
      </c>
    </row>
    <row r="2800" spans="1:7">
      <c r="A2800" t="str">
        <f t="shared" si="43"/>
        <v>Middelweg 124</v>
      </c>
      <c r="B2800" t="s">
        <v>561</v>
      </c>
      <c r="C2800" t="s">
        <v>296</v>
      </c>
      <c r="D2800">
        <v>2022</v>
      </c>
      <c r="E2800">
        <v>54</v>
      </c>
      <c r="F2800" t="s">
        <v>559</v>
      </c>
      <c r="G2800">
        <v>124</v>
      </c>
    </row>
    <row r="2801" spans="1:8">
      <c r="A2801" t="str">
        <f t="shared" si="43"/>
        <v>Middelweg 126</v>
      </c>
      <c r="B2801" t="s">
        <v>561</v>
      </c>
      <c r="C2801" t="s">
        <v>296</v>
      </c>
      <c r="D2801">
        <v>2022</v>
      </c>
      <c r="E2801">
        <v>54</v>
      </c>
      <c r="F2801" t="s">
        <v>559</v>
      </c>
      <c r="G2801">
        <v>126</v>
      </c>
    </row>
    <row r="2802" spans="1:8">
      <c r="A2802" t="str">
        <f t="shared" si="43"/>
        <v>Middelweg 128</v>
      </c>
      <c r="B2802" t="s">
        <v>561</v>
      </c>
      <c r="C2802" t="s">
        <v>296</v>
      </c>
      <c r="D2802">
        <v>2022</v>
      </c>
      <c r="E2802">
        <v>54</v>
      </c>
      <c r="F2802" t="s">
        <v>559</v>
      </c>
      <c r="G2802">
        <v>128</v>
      </c>
    </row>
    <row r="2803" spans="1:8">
      <c r="A2803" t="str">
        <f t="shared" si="43"/>
        <v>Middelweg 130t</v>
      </c>
      <c r="B2803" t="s">
        <v>561</v>
      </c>
      <c r="C2803" t="s">
        <v>296</v>
      </c>
      <c r="D2803">
        <v>2022</v>
      </c>
      <c r="E2803">
        <v>10</v>
      </c>
      <c r="F2803" t="s">
        <v>559</v>
      </c>
      <c r="G2803">
        <v>130</v>
      </c>
      <c r="H2803" t="s">
        <v>427</v>
      </c>
    </row>
    <row r="2804" spans="1:8">
      <c r="A2804" t="str">
        <f t="shared" si="43"/>
        <v>Middelweg 130</v>
      </c>
      <c r="B2804" t="s">
        <v>561</v>
      </c>
      <c r="C2804" t="s">
        <v>296</v>
      </c>
      <c r="D2804">
        <v>2022</v>
      </c>
      <c r="E2804">
        <v>100</v>
      </c>
      <c r="F2804" t="s">
        <v>559</v>
      </c>
      <c r="G2804">
        <v>130</v>
      </c>
    </row>
    <row r="2805" spans="1:8">
      <c r="A2805" t="str">
        <f t="shared" si="43"/>
        <v>Middelweg 132</v>
      </c>
      <c r="B2805" t="s">
        <v>561</v>
      </c>
      <c r="C2805" t="s">
        <v>296</v>
      </c>
      <c r="D2805">
        <v>2022</v>
      </c>
      <c r="E2805">
        <v>100</v>
      </c>
      <c r="F2805" t="s">
        <v>559</v>
      </c>
      <c r="G2805">
        <v>132</v>
      </c>
    </row>
    <row r="2806" spans="1:8">
      <c r="A2806" t="str">
        <f t="shared" si="43"/>
        <v>Middelweg 134</v>
      </c>
      <c r="B2806" t="s">
        <v>561</v>
      </c>
      <c r="C2806" t="s">
        <v>296</v>
      </c>
      <c r="D2806">
        <v>2022</v>
      </c>
      <c r="E2806">
        <v>100</v>
      </c>
      <c r="F2806" t="s">
        <v>559</v>
      </c>
      <c r="G2806">
        <v>134</v>
      </c>
    </row>
    <row r="2807" spans="1:8">
      <c r="A2807" t="str">
        <f t="shared" si="43"/>
        <v>Middelweg 136</v>
      </c>
      <c r="B2807" t="s">
        <v>561</v>
      </c>
      <c r="C2807" t="s">
        <v>296</v>
      </c>
      <c r="D2807">
        <v>2022</v>
      </c>
      <c r="E2807">
        <v>100</v>
      </c>
      <c r="F2807" t="s">
        <v>559</v>
      </c>
      <c r="G2807">
        <v>136</v>
      </c>
    </row>
    <row r="2808" spans="1:8">
      <c r="A2808" t="str">
        <f t="shared" si="43"/>
        <v>Middelweg 138</v>
      </c>
      <c r="B2808" t="s">
        <v>561</v>
      </c>
      <c r="C2808" t="s">
        <v>296</v>
      </c>
      <c r="D2808">
        <v>2022</v>
      </c>
      <c r="E2808">
        <v>100</v>
      </c>
      <c r="F2808" t="s">
        <v>559</v>
      </c>
      <c r="G2808">
        <v>138</v>
      </c>
    </row>
    <row r="2809" spans="1:8">
      <c r="A2809" t="str">
        <f t="shared" si="43"/>
        <v>Middelweg 140</v>
      </c>
      <c r="B2809" t="s">
        <v>561</v>
      </c>
      <c r="C2809" t="s">
        <v>296</v>
      </c>
      <c r="D2809">
        <v>2022</v>
      </c>
      <c r="E2809">
        <v>100</v>
      </c>
      <c r="F2809" t="s">
        <v>559</v>
      </c>
      <c r="G2809">
        <v>140</v>
      </c>
    </row>
    <row r="2810" spans="1:8">
      <c r="A2810" t="str">
        <f t="shared" si="43"/>
        <v>Middelweg 142</v>
      </c>
      <c r="B2810" t="s">
        <v>561</v>
      </c>
      <c r="C2810" t="s">
        <v>296</v>
      </c>
      <c r="D2810">
        <v>2022</v>
      </c>
      <c r="E2810">
        <v>100</v>
      </c>
      <c r="F2810" t="s">
        <v>559</v>
      </c>
      <c r="G2810">
        <v>142</v>
      </c>
    </row>
    <row r="2811" spans="1:8">
      <c r="A2811" t="str">
        <f t="shared" si="43"/>
        <v>Middelweg 144</v>
      </c>
      <c r="B2811" t="s">
        <v>561</v>
      </c>
      <c r="C2811" t="s">
        <v>296</v>
      </c>
      <c r="D2811">
        <v>2022</v>
      </c>
      <c r="E2811">
        <v>100</v>
      </c>
      <c r="F2811" t="s">
        <v>559</v>
      </c>
      <c r="G2811">
        <v>144</v>
      </c>
    </row>
    <row r="2812" spans="1:8">
      <c r="A2812" t="str">
        <f t="shared" si="43"/>
        <v>Middelweg 146</v>
      </c>
      <c r="B2812" t="s">
        <v>561</v>
      </c>
      <c r="C2812" t="s">
        <v>296</v>
      </c>
      <c r="D2812">
        <v>2022</v>
      </c>
      <c r="E2812">
        <v>100</v>
      </c>
      <c r="F2812" t="s">
        <v>559</v>
      </c>
      <c r="G2812">
        <v>146</v>
      </c>
    </row>
    <row r="2813" spans="1:8">
      <c r="A2813" t="str">
        <f t="shared" si="43"/>
        <v>Middelweg 148</v>
      </c>
      <c r="B2813" t="s">
        <v>561</v>
      </c>
      <c r="C2813" t="s">
        <v>296</v>
      </c>
      <c r="D2813">
        <v>2022</v>
      </c>
      <c r="E2813">
        <v>100</v>
      </c>
      <c r="F2813" t="s">
        <v>559</v>
      </c>
      <c r="G2813">
        <v>148</v>
      </c>
    </row>
    <row r="2814" spans="1:8">
      <c r="A2814" t="str">
        <f t="shared" si="43"/>
        <v>Middelweg 150</v>
      </c>
      <c r="B2814" t="s">
        <v>561</v>
      </c>
      <c r="C2814" t="s">
        <v>296</v>
      </c>
      <c r="D2814">
        <v>2022</v>
      </c>
      <c r="E2814">
        <v>100</v>
      </c>
      <c r="F2814" t="s">
        <v>559</v>
      </c>
      <c r="G2814">
        <v>150</v>
      </c>
    </row>
    <row r="2815" spans="1:8">
      <c r="A2815" t="str">
        <f t="shared" si="43"/>
        <v>Middelweg 152</v>
      </c>
      <c r="B2815" t="s">
        <v>561</v>
      </c>
      <c r="C2815" t="s">
        <v>296</v>
      </c>
      <c r="D2815">
        <v>2022</v>
      </c>
      <c r="E2815">
        <v>100</v>
      </c>
      <c r="F2815" t="s">
        <v>559</v>
      </c>
      <c r="G2815">
        <v>152</v>
      </c>
    </row>
    <row r="2816" spans="1:8">
      <c r="A2816" t="str">
        <f t="shared" si="43"/>
        <v>Middelweg 154</v>
      </c>
      <c r="B2816" t="s">
        <v>561</v>
      </c>
      <c r="C2816" t="s">
        <v>296</v>
      </c>
      <c r="D2816">
        <v>2022</v>
      </c>
      <c r="E2816">
        <v>100</v>
      </c>
      <c r="F2816" t="s">
        <v>559</v>
      </c>
      <c r="G2816">
        <v>154</v>
      </c>
    </row>
    <row r="2817" spans="1:8">
      <c r="A2817" t="str">
        <f t="shared" si="43"/>
        <v>Middelweg 156</v>
      </c>
      <c r="B2817" t="s">
        <v>561</v>
      </c>
      <c r="C2817" t="s">
        <v>296</v>
      </c>
      <c r="D2817">
        <v>2022</v>
      </c>
      <c r="E2817">
        <v>100</v>
      </c>
      <c r="F2817" t="s">
        <v>559</v>
      </c>
      <c r="G2817">
        <v>156</v>
      </c>
    </row>
    <row r="2818" spans="1:8">
      <c r="A2818" t="str">
        <f t="shared" ref="A2818:A2881" si="44">CONCATENATE(F2818," ",G2818,H2818)</f>
        <v>Middelweg 158</v>
      </c>
      <c r="B2818" t="s">
        <v>561</v>
      </c>
      <c r="C2818" t="s">
        <v>296</v>
      </c>
      <c r="D2818">
        <v>2022</v>
      </c>
      <c r="E2818">
        <v>100</v>
      </c>
      <c r="F2818" t="s">
        <v>559</v>
      </c>
      <c r="G2818">
        <v>158</v>
      </c>
    </row>
    <row r="2819" spans="1:8">
      <c r="A2819" t="str">
        <f t="shared" si="44"/>
        <v>Middelweg 160</v>
      </c>
      <c r="B2819" t="s">
        <v>561</v>
      </c>
      <c r="C2819" t="s">
        <v>296</v>
      </c>
      <c r="D2819">
        <v>2022</v>
      </c>
      <c r="E2819">
        <v>100</v>
      </c>
      <c r="F2819" t="s">
        <v>559</v>
      </c>
      <c r="G2819">
        <v>160</v>
      </c>
    </row>
    <row r="2820" spans="1:8">
      <c r="A2820" t="str">
        <f t="shared" si="44"/>
        <v>Molenweg 3</v>
      </c>
      <c r="B2820" t="s">
        <v>563</v>
      </c>
      <c r="C2820" t="s">
        <v>343</v>
      </c>
      <c r="D2820">
        <v>1930</v>
      </c>
      <c r="E2820">
        <v>145</v>
      </c>
      <c r="F2820" t="s">
        <v>564</v>
      </c>
      <c r="G2820">
        <v>3</v>
      </c>
    </row>
    <row r="2821" spans="1:8">
      <c r="A2821" t="str">
        <f t="shared" si="44"/>
        <v>Mortel 1a</v>
      </c>
      <c r="B2821" t="s">
        <v>565</v>
      </c>
      <c r="C2821" t="s">
        <v>306</v>
      </c>
      <c r="D2821">
        <v>1973</v>
      </c>
      <c r="E2821">
        <v>23</v>
      </c>
      <c r="F2821" t="s">
        <v>566</v>
      </c>
      <c r="G2821">
        <v>1</v>
      </c>
      <c r="H2821" t="s">
        <v>304</v>
      </c>
    </row>
    <row r="2822" spans="1:8">
      <c r="A2822" t="str">
        <f t="shared" si="44"/>
        <v>Mortel 1b</v>
      </c>
      <c r="B2822" t="s">
        <v>565</v>
      </c>
      <c r="C2822" t="s">
        <v>306</v>
      </c>
      <c r="D2822">
        <v>1973</v>
      </c>
      <c r="E2822">
        <v>19</v>
      </c>
      <c r="F2822" t="s">
        <v>566</v>
      </c>
      <c r="G2822">
        <v>1</v>
      </c>
      <c r="H2822" t="s">
        <v>298</v>
      </c>
    </row>
    <row r="2823" spans="1:8">
      <c r="A2823" t="str">
        <f t="shared" si="44"/>
        <v>Mortel 1c</v>
      </c>
      <c r="B2823" t="s">
        <v>565</v>
      </c>
      <c r="C2823" t="s">
        <v>306</v>
      </c>
      <c r="D2823">
        <v>1952</v>
      </c>
      <c r="E2823">
        <v>21</v>
      </c>
      <c r="F2823" t="s">
        <v>566</v>
      </c>
      <c r="G2823">
        <v>1</v>
      </c>
      <c r="H2823" t="s">
        <v>299</v>
      </c>
    </row>
    <row r="2824" spans="1:8">
      <c r="A2824" t="str">
        <f t="shared" si="44"/>
        <v>Mortel 1d</v>
      </c>
      <c r="B2824" t="s">
        <v>565</v>
      </c>
      <c r="C2824" t="s">
        <v>306</v>
      </c>
      <c r="D2824">
        <v>1950</v>
      </c>
      <c r="E2824">
        <v>22</v>
      </c>
      <c r="F2824" t="s">
        <v>566</v>
      </c>
      <c r="G2824">
        <v>1</v>
      </c>
      <c r="H2824" t="s">
        <v>300</v>
      </c>
    </row>
    <row r="2825" spans="1:8">
      <c r="A2825" t="str">
        <f t="shared" si="44"/>
        <v>Mortel 1</v>
      </c>
      <c r="B2825" t="s">
        <v>565</v>
      </c>
      <c r="C2825" t="s">
        <v>306</v>
      </c>
      <c r="D2825">
        <v>1952</v>
      </c>
      <c r="E2825">
        <v>152</v>
      </c>
      <c r="F2825" t="s">
        <v>566</v>
      </c>
      <c r="G2825">
        <v>1</v>
      </c>
    </row>
    <row r="2826" spans="1:8">
      <c r="A2826" t="str">
        <f t="shared" si="44"/>
        <v>Mortel 2a</v>
      </c>
      <c r="B2826" t="s">
        <v>565</v>
      </c>
      <c r="C2826" t="s">
        <v>306</v>
      </c>
      <c r="D2826">
        <v>1958</v>
      </c>
      <c r="E2826">
        <v>21</v>
      </c>
      <c r="F2826" t="s">
        <v>566</v>
      </c>
      <c r="G2826">
        <v>2</v>
      </c>
      <c r="H2826" t="s">
        <v>304</v>
      </c>
    </row>
    <row r="2827" spans="1:8">
      <c r="A2827" t="str">
        <f t="shared" si="44"/>
        <v>Mortel 2</v>
      </c>
      <c r="B2827" t="s">
        <v>565</v>
      </c>
      <c r="C2827" t="s">
        <v>306</v>
      </c>
      <c r="D2827">
        <v>2010</v>
      </c>
      <c r="E2827">
        <v>208</v>
      </c>
      <c r="F2827" t="s">
        <v>566</v>
      </c>
      <c r="G2827">
        <v>2</v>
      </c>
    </row>
    <row r="2828" spans="1:8">
      <c r="A2828" t="str">
        <f t="shared" si="44"/>
        <v>Mortel 3</v>
      </c>
      <c r="B2828" t="s">
        <v>565</v>
      </c>
      <c r="C2828" t="s">
        <v>306</v>
      </c>
      <c r="D2828">
        <v>1970</v>
      </c>
      <c r="E2828">
        <v>203</v>
      </c>
      <c r="F2828" t="s">
        <v>566</v>
      </c>
      <c r="G2828">
        <v>3</v>
      </c>
    </row>
    <row r="2829" spans="1:8">
      <c r="A2829" t="str">
        <f t="shared" si="44"/>
        <v>Mortel 4</v>
      </c>
      <c r="B2829" t="s">
        <v>565</v>
      </c>
      <c r="C2829" t="s">
        <v>306</v>
      </c>
      <c r="D2829">
        <v>1920</v>
      </c>
      <c r="E2829">
        <v>222</v>
      </c>
      <c r="F2829" t="s">
        <v>566</v>
      </c>
      <c r="G2829">
        <v>4</v>
      </c>
    </row>
    <row r="2830" spans="1:8">
      <c r="A2830" t="str">
        <f t="shared" si="44"/>
        <v>Mortel 5</v>
      </c>
      <c r="B2830" t="s">
        <v>565</v>
      </c>
      <c r="C2830" t="s">
        <v>306</v>
      </c>
      <c r="D2830">
        <v>1967</v>
      </c>
      <c r="E2830">
        <v>167</v>
      </c>
      <c r="F2830" t="s">
        <v>566</v>
      </c>
      <c r="G2830">
        <v>5</v>
      </c>
    </row>
    <row r="2831" spans="1:8">
      <c r="A2831" t="str">
        <f t="shared" si="44"/>
        <v>Mortel 6</v>
      </c>
      <c r="B2831" t="s">
        <v>565</v>
      </c>
      <c r="C2831" t="s">
        <v>306</v>
      </c>
      <c r="D2831">
        <v>1920</v>
      </c>
      <c r="E2831">
        <v>216</v>
      </c>
      <c r="F2831" t="s">
        <v>566</v>
      </c>
      <c r="G2831">
        <v>6</v>
      </c>
    </row>
    <row r="2832" spans="1:8">
      <c r="A2832" t="str">
        <f t="shared" si="44"/>
        <v>Mortel 7</v>
      </c>
      <c r="B2832" t="s">
        <v>565</v>
      </c>
      <c r="C2832" t="s">
        <v>306</v>
      </c>
      <c r="D2832">
        <v>1952</v>
      </c>
      <c r="E2832">
        <v>224</v>
      </c>
      <c r="F2832" t="s">
        <v>566</v>
      </c>
      <c r="G2832">
        <v>7</v>
      </c>
    </row>
    <row r="2833" spans="1:8">
      <c r="A2833" t="str">
        <f t="shared" si="44"/>
        <v>Mortel 8a</v>
      </c>
      <c r="B2833" t="s">
        <v>565</v>
      </c>
      <c r="C2833" t="s">
        <v>306</v>
      </c>
      <c r="D2833">
        <v>2015</v>
      </c>
      <c r="E2833">
        <v>113</v>
      </c>
      <c r="F2833" t="s">
        <v>566</v>
      </c>
      <c r="G2833">
        <v>8</v>
      </c>
      <c r="H2833" t="s">
        <v>304</v>
      </c>
    </row>
    <row r="2834" spans="1:8">
      <c r="A2834" t="str">
        <f t="shared" si="44"/>
        <v>Mortel 8b</v>
      </c>
      <c r="B2834" t="s">
        <v>565</v>
      </c>
      <c r="C2834" t="s">
        <v>306</v>
      </c>
      <c r="D2834">
        <v>2015</v>
      </c>
      <c r="E2834">
        <v>113</v>
      </c>
      <c r="F2834" t="s">
        <v>566</v>
      </c>
      <c r="G2834">
        <v>8</v>
      </c>
      <c r="H2834" t="s">
        <v>298</v>
      </c>
    </row>
    <row r="2835" spans="1:8">
      <c r="A2835" t="str">
        <f t="shared" si="44"/>
        <v>Mortel 8c</v>
      </c>
      <c r="B2835" t="s">
        <v>565</v>
      </c>
      <c r="C2835" t="s">
        <v>306</v>
      </c>
      <c r="D2835">
        <v>2015</v>
      </c>
      <c r="E2835">
        <v>113</v>
      </c>
      <c r="F2835" t="s">
        <v>566</v>
      </c>
      <c r="G2835">
        <v>8</v>
      </c>
      <c r="H2835" t="s">
        <v>299</v>
      </c>
    </row>
    <row r="2836" spans="1:8">
      <c r="A2836" t="str">
        <f t="shared" si="44"/>
        <v>Mortel 8d</v>
      </c>
      <c r="B2836" t="s">
        <v>565</v>
      </c>
      <c r="C2836" t="s">
        <v>306</v>
      </c>
      <c r="D2836">
        <v>2015</v>
      </c>
      <c r="E2836">
        <v>126</v>
      </c>
      <c r="F2836" t="s">
        <v>566</v>
      </c>
      <c r="G2836">
        <v>8</v>
      </c>
      <c r="H2836" t="s">
        <v>300</v>
      </c>
    </row>
    <row r="2837" spans="1:8">
      <c r="A2837" t="str">
        <f t="shared" si="44"/>
        <v>Mortel 8e</v>
      </c>
      <c r="B2837" t="s">
        <v>565</v>
      </c>
      <c r="C2837" t="s">
        <v>306</v>
      </c>
      <c r="D2837">
        <v>2015</v>
      </c>
      <c r="E2837">
        <v>157</v>
      </c>
      <c r="F2837" t="s">
        <v>566</v>
      </c>
      <c r="G2837">
        <v>8</v>
      </c>
      <c r="H2837" t="s">
        <v>319</v>
      </c>
    </row>
    <row r="2838" spans="1:8">
      <c r="A2838" t="str">
        <f t="shared" si="44"/>
        <v>Mortel 8f</v>
      </c>
      <c r="B2838" t="s">
        <v>565</v>
      </c>
      <c r="C2838" t="s">
        <v>306</v>
      </c>
      <c r="D2838">
        <v>2015</v>
      </c>
      <c r="E2838">
        <v>133</v>
      </c>
      <c r="F2838" t="s">
        <v>566</v>
      </c>
      <c r="G2838">
        <v>8</v>
      </c>
      <c r="H2838" t="s">
        <v>329</v>
      </c>
    </row>
    <row r="2839" spans="1:8">
      <c r="A2839" t="str">
        <f t="shared" si="44"/>
        <v>Mortel 9</v>
      </c>
      <c r="B2839" t="s">
        <v>565</v>
      </c>
      <c r="C2839" t="s">
        <v>306</v>
      </c>
      <c r="D2839">
        <v>1970</v>
      </c>
      <c r="E2839">
        <v>154</v>
      </c>
      <c r="F2839" t="s">
        <v>566</v>
      </c>
      <c r="G2839">
        <v>9</v>
      </c>
    </row>
    <row r="2840" spans="1:8">
      <c r="A2840" t="str">
        <f t="shared" si="44"/>
        <v>Mortel 10</v>
      </c>
      <c r="B2840" t="s">
        <v>565</v>
      </c>
      <c r="C2840" t="s">
        <v>306</v>
      </c>
      <c r="D2840">
        <v>1880</v>
      </c>
      <c r="E2840">
        <v>160</v>
      </c>
      <c r="F2840" t="s">
        <v>566</v>
      </c>
      <c r="G2840">
        <v>10</v>
      </c>
    </row>
    <row r="2841" spans="1:8">
      <c r="A2841" t="str">
        <f t="shared" si="44"/>
        <v>Mortel 11</v>
      </c>
      <c r="B2841" t="s">
        <v>565</v>
      </c>
      <c r="C2841" t="s">
        <v>306</v>
      </c>
      <c r="D2841">
        <v>1970</v>
      </c>
      <c r="E2841">
        <v>150</v>
      </c>
      <c r="F2841" t="s">
        <v>566</v>
      </c>
      <c r="G2841">
        <v>11</v>
      </c>
    </row>
    <row r="2842" spans="1:8">
      <c r="A2842" t="str">
        <f t="shared" si="44"/>
        <v>Mortel 12</v>
      </c>
      <c r="B2842" t="s">
        <v>565</v>
      </c>
      <c r="C2842" t="s">
        <v>306</v>
      </c>
      <c r="D2842">
        <v>1983</v>
      </c>
      <c r="E2842">
        <v>161</v>
      </c>
      <c r="F2842" t="s">
        <v>566</v>
      </c>
      <c r="G2842">
        <v>12</v>
      </c>
    </row>
    <row r="2843" spans="1:8">
      <c r="A2843" t="str">
        <f t="shared" si="44"/>
        <v>Mortel 13</v>
      </c>
      <c r="B2843" t="s">
        <v>565</v>
      </c>
      <c r="C2843" t="s">
        <v>306</v>
      </c>
      <c r="D2843">
        <v>1970</v>
      </c>
      <c r="E2843">
        <v>162</v>
      </c>
      <c r="F2843" t="s">
        <v>566</v>
      </c>
      <c r="G2843">
        <v>13</v>
      </c>
    </row>
    <row r="2844" spans="1:8">
      <c r="A2844" t="str">
        <f t="shared" si="44"/>
        <v>Mortel 14</v>
      </c>
      <c r="B2844" t="s">
        <v>565</v>
      </c>
      <c r="C2844" t="s">
        <v>306</v>
      </c>
      <c r="D2844">
        <v>1983</v>
      </c>
      <c r="E2844">
        <v>152</v>
      </c>
      <c r="F2844" t="s">
        <v>566</v>
      </c>
      <c r="G2844">
        <v>14</v>
      </c>
    </row>
    <row r="2845" spans="1:8">
      <c r="A2845" t="str">
        <f t="shared" si="44"/>
        <v>Mortel 15</v>
      </c>
      <c r="B2845" t="s">
        <v>565</v>
      </c>
      <c r="C2845" t="s">
        <v>306</v>
      </c>
      <c r="D2845">
        <v>1972</v>
      </c>
      <c r="E2845">
        <v>152</v>
      </c>
      <c r="F2845" t="s">
        <v>566</v>
      </c>
      <c r="G2845">
        <v>15</v>
      </c>
    </row>
    <row r="2846" spans="1:8">
      <c r="A2846" t="str">
        <f t="shared" si="44"/>
        <v>Mortel 16</v>
      </c>
      <c r="B2846" t="s">
        <v>565</v>
      </c>
      <c r="C2846" t="s">
        <v>306</v>
      </c>
      <c r="D2846">
        <v>1978</v>
      </c>
      <c r="E2846">
        <v>178</v>
      </c>
      <c r="F2846" t="s">
        <v>566</v>
      </c>
      <c r="G2846">
        <v>16</v>
      </c>
    </row>
    <row r="2847" spans="1:8">
      <c r="A2847" t="str">
        <f t="shared" si="44"/>
        <v>Mortel 17</v>
      </c>
      <c r="B2847" t="s">
        <v>565</v>
      </c>
      <c r="C2847" t="s">
        <v>306</v>
      </c>
      <c r="D2847">
        <v>1950</v>
      </c>
      <c r="E2847">
        <v>115</v>
      </c>
      <c r="F2847" t="s">
        <v>566</v>
      </c>
      <c r="G2847">
        <v>17</v>
      </c>
    </row>
    <row r="2848" spans="1:8">
      <c r="A2848" t="str">
        <f t="shared" si="44"/>
        <v>Mortel 18</v>
      </c>
      <c r="B2848" t="s">
        <v>565</v>
      </c>
      <c r="C2848" t="s">
        <v>306</v>
      </c>
      <c r="D2848">
        <v>2020</v>
      </c>
      <c r="E2848">
        <v>156</v>
      </c>
      <c r="F2848" t="s">
        <v>566</v>
      </c>
      <c r="G2848">
        <v>18</v>
      </c>
    </row>
    <row r="2849" spans="1:8">
      <c r="A2849" t="str">
        <f t="shared" si="44"/>
        <v>Mortel 19</v>
      </c>
      <c r="B2849" t="s">
        <v>565</v>
      </c>
      <c r="C2849" t="s">
        <v>306</v>
      </c>
      <c r="D2849">
        <v>1973</v>
      </c>
      <c r="E2849">
        <v>135</v>
      </c>
      <c r="F2849" t="s">
        <v>566</v>
      </c>
      <c r="G2849">
        <v>19</v>
      </c>
    </row>
    <row r="2850" spans="1:8">
      <c r="A2850" t="str">
        <f t="shared" si="44"/>
        <v>Mortel 21</v>
      </c>
      <c r="B2850" t="s">
        <v>565</v>
      </c>
      <c r="C2850" t="s">
        <v>306</v>
      </c>
      <c r="D2850">
        <v>1974</v>
      </c>
      <c r="E2850">
        <v>221</v>
      </c>
      <c r="F2850" t="s">
        <v>566</v>
      </c>
      <c r="G2850">
        <v>21</v>
      </c>
    </row>
    <row r="2851" spans="1:8">
      <c r="A2851" t="str">
        <f t="shared" si="44"/>
        <v>Mortel 22</v>
      </c>
      <c r="B2851" t="s">
        <v>565</v>
      </c>
      <c r="C2851" t="s">
        <v>306</v>
      </c>
      <c r="D2851">
        <v>1994</v>
      </c>
      <c r="E2851">
        <v>178</v>
      </c>
      <c r="F2851" t="s">
        <v>566</v>
      </c>
      <c r="G2851">
        <v>22</v>
      </c>
    </row>
    <row r="2852" spans="1:8">
      <c r="A2852" t="str">
        <f t="shared" si="44"/>
        <v>Mortel 23</v>
      </c>
      <c r="B2852" t="s">
        <v>565</v>
      </c>
      <c r="C2852" t="s">
        <v>306</v>
      </c>
      <c r="D2852">
        <v>1975</v>
      </c>
      <c r="E2852">
        <v>249</v>
      </c>
      <c r="F2852" t="s">
        <v>566</v>
      </c>
      <c r="G2852">
        <v>23</v>
      </c>
    </row>
    <row r="2853" spans="1:8">
      <c r="A2853" t="str">
        <f t="shared" si="44"/>
        <v>Mortel 24</v>
      </c>
      <c r="B2853" t="s">
        <v>565</v>
      </c>
      <c r="C2853" t="s">
        <v>306</v>
      </c>
      <c r="D2853">
        <v>2020</v>
      </c>
      <c r="E2853">
        <v>234</v>
      </c>
      <c r="F2853" t="s">
        <v>566</v>
      </c>
      <c r="G2853">
        <v>24</v>
      </c>
    </row>
    <row r="2854" spans="1:8">
      <c r="A2854" t="str">
        <f t="shared" si="44"/>
        <v>Mortel 25</v>
      </c>
      <c r="B2854" t="s">
        <v>565</v>
      </c>
      <c r="C2854" t="s">
        <v>306</v>
      </c>
      <c r="D2854">
        <v>2004</v>
      </c>
      <c r="E2854">
        <v>152</v>
      </c>
      <c r="F2854" t="s">
        <v>566</v>
      </c>
      <c r="G2854">
        <v>25</v>
      </c>
    </row>
    <row r="2855" spans="1:8">
      <c r="A2855" t="str">
        <f t="shared" si="44"/>
        <v>Mortel 27a</v>
      </c>
      <c r="B2855" t="s">
        <v>565</v>
      </c>
      <c r="C2855" t="s">
        <v>306</v>
      </c>
      <c r="D2855">
        <v>2003</v>
      </c>
      <c r="E2855">
        <v>36</v>
      </c>
      <c r="F2855" t="s">
        <v>566</v>
      </c>
      <c r="G2855">
        <v>27</v>
      </c>
      <c r="H2855" t="s">
        <v>304</v>
      </c>
    </row>
    <row r="2856" spans="1:8">
      <c r="A2856" t="str">
        <f t="shared" si="44"/>
        <v>Mortel 27b</v>
      </c>
      <c r="B2856" t="s">
        <v>565</v>
      </c>
      <c r="C2856" t="s">
        <v>306</v>
      </c>
      <c r="D2856">
        <v>2003</v>
      </c>
      <c r="E2856">
        <v>18</v>
      </c>
      <c r="F2856" t="s">
        <v>566</v>
      </c>
      <c r="G2856">
        <v>27</v>
      </c>
      <c r="H2856" t="s">
        <v>298</v>
      </c>
    </row>
    <row r="2857" spans="1:8">
      <c r="A2857" t="str">
        <f t="shared" si="44"/>
        <v>Mortel 27</v>
      </c>
      <c r="B2857" t="s">
        <v>565</v>
      </c>
      <c r="C2857" t="s">
        <v>306</v>
      </c>
      <c r="D2857">
        <v>1963</v>
      </c>
      <c r="E2857">
        <v>141</v>
      </c>
      <c r="F2857" t="s">
        <v>566</v>
      </c>
      <c r="G2857">
        <v>27</v>
      </c>
    </row>
    <row r="2858" spans="1:8">
      <c r="A2858" t="str">
        <f t="shared" si="44"/>
        <v>Mortel 31a</v>
      </c>
      <c r="B2858" t="s">
        <v>565</v>
      </c>
      <c r="C2858" t="s">
        <v>306</v>
      </c>
      <c r="D2858">
        <v>1949</v>
      </c>
      <c r="E2858">
        <v>148</v>
      </c>
      <c r="F2858" t="s">
        <v>566</v>
      </c>
      <c r="G2858">
        <v>31</v>
      </c>
      <c r="H2858" t="s">
        <v>304</v>
      </c>
    </row>
    <row r="2859" spans="1:8">
      <c r="A2859" t="str">
        <f t="shared" si="44"/>
        <v>Mortel 31</v>
      </c>
      <c r="B2859" t="s">
        <v>565</v>
      </c>
      <c r="C2859" t="s">
        <v>306</v>
      </c>
      <c r="D2859">
        <v>1949</v>
      </c>
      <c r="E2859">
        <v>149</v>
      </c>
      <c r="F2859" t="s">
        <v>566</v>
      </c>
      <c r="G2859">
        <v>31</v>
      </c>
    </row>
    <row r="2860" spans="1:8">
      <c r="A2860" t="str">
        <f t="shared" si="44"/>
        <v>Mortel 33</v>
      </c>
      <c r="B2860" t="s">
        <v>565</v>
      </c>
      <c r="C2860" t="s">
        <v>306</v>
      </c>
      <c r="D2860">
        <v>1974</v>
      </c>
      <c r="E2860">
        <v>134</v>
      </c>
      <c r="F2860" t="s">
        <v>566</v>
      </c>
      <c r="G2860">
        <v>33</v>
      </c>
    </row>
    <row r="2861" spans="1:8">
      <c r="A2861" t="str">
        <f t="shared" si="44"/>
        <v>Mozartstraat 1</v>
      </c>
      <c r="B2861" t="s">
        <v>567</v>
      </c>
      <c r="C2861" t="s">
        <v>296</v>
      </c>
      <c r="D2861">
        <v>1987</v>
      </c>
      <c r="E2861">
        <v>86</v>
      </c>
      <c r="F2861" t="s">
        <v>568</v>
      </c>
      <c r="G2861">
        <v>1</v>
      </c>
    </row>
    <row r="2862" spans="1:8">
      <c r="A2862" t="str">
        <f t="shared" si="44"/>
        <v>Mozartstraat 2</v>
      </c>
      <c r="B2862" t="s">
        <v>567</v>
      </c>
      <c r="C2862" t="s">
        <v>296</v>
      </c>
      <c r="D2862">
        <v>1968</v>
      </c>
      <c r="E2862">
        <v>292</v>
      </c>
      <c r="F2862" t="s">
        <v>568</v>
      </c>
      <c r="G2862">
        <v>2</v>
      </c>
    </row>
    <row r="2863" spans="1:8">
      <c r="A2863" t="str">
        <f t="shared" si="44"/>
        <v>Mozartstraat 3</v>
      </c>
      <c r="B2863" t="s">
        <v>567</v>
      </c>
      <c r="C2863" t="s">
        <v>296</v>
      </c>
      <c r="D2863">
        <v>1987</v>
      </c>
      <c r="E2863">
        <v>78</v>
      </c>
      <c r="F2863" t="s">
        <v>568</v>
      </c>
      <c r="G2863">
        <v>3</v>
      </c>
    </row>
    <row r="2864" spans="1:8">
      <c r="A2864" t="str">
        <f t="shared" si="44"/>
        <v>Mozartstraat 4</v>
      </c>
      <c r="B2864" t="s">
        <v>567</v>
      </c>
      <c r="C2864" t="s">
        <v>296</v>
      </c>
      <c r="D2864">
        <v>1981</v>
      </c>
      <c r="E2864">
        <v>270</v>
      </c>
      <c r="F2864" t="s">
        <v>568</v>
      </c>
      <c r="G2864">
        <v>4</v>
      </c>
    </row>
    <row r="2865" spans="1:7">
      <c r="A2865" t="str">
        <f t="shared" si="44"/>
        <v>Mozartstraat 5</v>
      </c>
      <c r="B2865" t="s">
        <v>567</v>
      </c>
      <c r="C2865" t="s">
        <v>296</v>
      </c>
      <c r="D2865">
        <v>1987</v>
      </c>
      <c r="E2865">
        <v>86</v>
      </c>
      <c r="F2865" t="s">
        <v>568</v>
      </c>
      <c r="G2865">
        <v>5</v>
      </c>
    </row>
    <row r="2866" spans="1:7">
      <c r="A2866" t="str">
        <f t="shared" si="44"/>
        <v>Mozartstraat 6</v>
      </c>
      <c r="B2866" t="s">
        <v>567</v>
      </c>
      <c r="C2866" t="s">
        <v>296</v>
      </c>
      <c r="D2866">
        <v>1969</v>
      </c>
      <c r="E2866">
        <v>152</v>
      </c>
      <c r="F2866" t="s">
        <v>568</v>
      </c>
      <c r="G2866">
        <v>6</v>
      </c>
    </row>
    <row r="2867" spans="1:7">
      <c r="A2867" t="str">
        <f t="shared" si="44"/>
        <v>Mozartstraat 7</v>
      </c>
      <c r="B2867" t="s">
        <v>567</v>
      </c>
      <c r="C2867" t="s">
        <v>296</v>
      </c>
      <c r="D2867">
        <v>1987</v>
      </c>
      <c r="E2867">
        <v>86</v>
      </c>
      <c r="F2867" t="s">
        <v>568</v>
      </c>
      <c r="G2867">
        <v>7</v>
      </c>
    </row>
    <row r="2868" spans="1:7">
      <c r="A2868" t="str">
        <f t="shared" si="44"/>
        <v>Mozartstraat 8</v>
      </c>
      <c r="B2868" t="s">
        <v>567</v>
      </c>
      <c r="C2868" t="s">
        <v>296</v>
      </c>
      <c r="D2868">
        <v>1987</v>
      </c>
      <c r="E2868">
        <v>128</v>
      </c>
      <c r="F2868" t="s">
        <v>568</v>
      </c>
      <c r="G2868">
        <v>8</v>
      </c>
    </row>
    <row r="2869" spans="1:7">
      <c r="A2869" t="str">
        <f t="shared" si="44"/>
        <v>Mozartstraat 9</v>
      </c>
      <c r="B2869" t="s">
        <v>567</v>
      </c>
      <c r="C2869" t="s">
        <v>296</v>
      </c>
      <c r="D2869">
        <v>1987</v>
      </c>
      <c r="E2869">
        <v>109</v>
      </c>
      <c r="F2869" t="s">
        <v>568</v>
      </c>
      <c r="G2869">
        <v>9</v>
      </c>
    </row>
    <row r="2870" spans="1:7">
      <c r="A2870" t="str">
        <f t="shared" si="44"/>
        <v>Mozartstraat 10</v>
      </c>
      <c r="B2870" t="s">
        <v>567</v>
      </c>
      <c r="C2870" t="s">
        <v>296</v>
      </c>
      <c r="D2870">
        <v>1987</v>
      </c>
      <c r="E2870">
        <v>125</v>
      </c>
      <c r="F2870" t="s">
        <v>568</v>
      </c>
      <c r="G2870">
        <v>10</v>
      </c>
    </row>
    <row r="2871" spans="1:7">
      <c r="A2871" t="str">
        <f t="shared" si="44"/>
        <v>Mozartstraat 11</v>
      </c>
      <c r="B2871" t="s">
        <v>567</v>
      </c>
      <c r="C2871" t="s">
        <v>296</v>
      </c>
      <c r="D2871">
        <v>1987</v>
      </c>
      <c r="E2871">
        <v>109</v>
      </c>
      <c r="F2871" t="s">
        <v>568</v>
      </c>
      <c r="G2871">
        <v>11</v>
      </c>
    </row>
    <row r="2872" spans="1:7">
      <c r="A2872" t="str">
        <f t="shared" si="44"/>
        <v>Mozartstraat 12</v>
      </c>
      <c r="B2872" t="s">
        <v>567</v>
      </c>
      <c r="C2872" t="s">
        <v>296</v>
      </c>
      <c r="D2872">
        <v>1988</v>
      </c>
      <c r="E2872">
        <v>118</v>
      </c>
      <c r="F2872" t="s">
        <v>568</v>
      </c>
      <c r="G2872">
        <v>12</v>
      </c>
    </row>
    <row r="2873" spans="1:7">
      <c r="A2873" t="str">
        <f t="shared" si="44"/>
        <v>Mozartstraat 13</v>
      </c>
      <c r="B2873" t="s">
        <v>567</v>
      </c>
      <c r="C2873" t="s">
        <v>296</v>
      </c>
      <c r="D2873">
        <v>1987</v>
      </c>
      <c r="E2873">
        <v>109</v>
      </c>
      <c r="F2873" t="s">
        <v>568</v>
      </c>
      <c r="G2873">
        <v>13</v>
      </c>
    </row>
    <row r="2874" spans="1:7">
      <c r="A2874" t="str">
        <f t="shared" si="44"/>
        <v>Mozartstraat 14</v>
      </c>
      <c r="B2874" t="s">
        <v>567</v>
      </c>
      <c r="C2874" t="s">
        <v>296</v>
      </c>
      <c r="D2874">
        <v>1988</v>
      </c>
      <c r="E2874">
        <v>114</v>
      </c>
      <c r="F2874" t="s">
        <v>568</v>
      </c>
      <c r="G2874">
        <v>14</v>
      </c>
    </row>
    <row r="2875" spans="1:7">
      <c r="A2875" t="str">
        <f t="shared" si="44"/>
        <v>Mozartstraat 15</v>
      </c>
      <c r="B2875" t="s">
        <v>567</v>
      </c>
      <c r="C2875" t="s">
        <v>296</v>
      </c>
      <c r="D2875">
        <v>1987</v>
      </c>
      <c r="E2875">
        <v>109</v>
      </c>
      <c r="F2875" t="s">
        <v>568</v>
      </c>
      <c r="G2875">
        <v>15</v>
      </c>
    </row>
    <row r="2876" spans="1:7">
      <c r="A2876" t="str">
        <f t="shared" si="44"/>
        <v>Mozartstraat 16</v>
      </c>
      <c r="B2876" t="s">
        <v>567</v>
      </c>
      <c r="C2876" t="s">
        <v>296</v>
      </c>
      <c r="D2876">
        <v>1988</v>
      </c>
      <c r="E2876">
        <v>145</v>
      </c>
      <c r="F2876" t="s">
        <v>568</v>
      </c>
      <c r="G2876">
        <v>16</v>
      </c>
    </row>
    <row r="2877" spans="1:7">
      <c r="A2877" t="str">
        <f t="shared" si="44"/>
        <v>Mozartstraat 17</v>
      </c>
      <c r="B2877" t="s">
        <v>567</v>
      </c>
      <c r="C2877" t="s">
        <v>296</v>
      </c>
      <c r="D2877">
        <v>1987</v>
      </c>
      <c r="E2877">
        <v>109</v>
      </c>
      <c r="F2877" t="s">
        <v>568</v>
      </c>
      <c r="G2877">
        <v>17</v>
      </c>
    </row>
    <row r="2878" spans="1:7">
      <c r="A2878" t="str">
        <f t="shared" si="44"/>
        <v>Mozartstraat 18</v>
      </c>
      <c r="B2878" t="s">
        <v>567</v>
      </c>
      <c r="C2878" t="s">
        <v>296</v>
      </c>
      <c r="D2878">
        <v>1988</v>
      </c>
      <c r="E2878">
        <v>129</v>
      </c>
      <c r="F2878" t="s">
        <v>568</v>
      </c>
      <c r="G2878">
        <v>18</v>
      </c>
    </row>
    <row r="2879" spans="1:7">
      <c r="A2879" t="str">
        <f t="shared" si="44"/>
        <v>Mozartstraat 19</v>
      </c>
      <c r="B2879" t="s">
        <v>567</v>
      </c>
      <c r="C2879" t="s">
        <v>296</v>
      </c>
      <c r="D2879">
        <v>1987</v>
      </c>
      <c r="E2879">
        <v>109</v>
      </c>
      <c r="F2879" t="s">
        <v>568</v>
      </c>
      <c r="G2879">
        <v>19</v>
      </c>
    </row>
    <row r="2880" spans="1:7">
      <c r="A2880" t="str">
        <f t="shared" si="44"/>
        <v>Mozartstraat 20</v>
      </c>
      <c r="B2880" t="s">
        <v>567</v>
      </c>
      <c r="C2880" t="s">
        <v>296</v>
      </c>
      <c r="D2880">
        <v>1988</v>
      </c>
      <c r="E2880">
        <v>157</v>
      </c>
      <c r="F2880" t="s">
        <v>568</v>
      </c>
      <c r="G2880">
        <v>20</v>
      </c>
    </row>
    <row r="2881" spans="1:8">
      <c r="A2881" t="str">
        <f t="shared" si="44"/>
        <v>Mozartstraat 21</v>
      </c>
      <c r="B2881" t="s">
        <v>567</v>
      </c>
      <c r="C2881" t="s">
        <v>296</v>
      </c>
      <c r="D2881">
        <v>1987</v>
      </c>
      <c r="E2881">
        <v>109</v>
      </c>
      <c r="F2881" t="s">
        <v>568</v>
      </c>
      <c r="G2881">
        <v>21</v>
      </c>
    </row>
    <row r="2882" spans="1:8">
      <c r="A2882" t="str">
        <f t="shared" ref="A2882:A2945" si="45">CONCATENATE(F2882," ",G2882,H2882)</f>
        <v>Mozartstraat 22</v>
      </c>
      <c r="B2882" t="s">
        <v>567</v>
      </c>
      <c r="C2882" t="s">
        <v>296</v>
      </c>
      <c r="D2882">
        <v>1988</v>
      </c>
      <c r="E2882">
        <v>165</v>
      </c>
      <c r="F2882" t="s">
        <v>568</v>
      </c>
      <c r="G2882">
        <v>22</v>
      </c>
    </row>
    <row r="2883" spans="1:8">
      <c r="A2883" t="str">
        <f t="shared" si="45"/>
        <v>Mozartstraat 23</v>
      </c>
      <c r="B2883" t="s">
        <v>567</v>
      </c>
      <c r="C2883" t="s">
        <v>296</v>
      </c>
      <c r="D2883">
        <v>1987</v>
      </c>
      <c r="E2883">
        <v>109</v>
      </c>
      <c r="F2883" t="s">
        <v>568</v>
      </c>
      <c r="G2883">
        <v>23</v>
      </c>
    </row>
    <row r="2884" spans="1:8">
      <c r="A2884" t="str">
        <f t="shared" si="45"/>
        <v>Mozartstraat 24</v>
      </c>
      <c r="B2884" t="s">
        <v>567</v>
      </c>
      <c r="C2884" t="s">
        <v>296</v>
      </c>
      <c r="D2884">
        <v>1988</v>
      </c>
      <c r="E2884">
        <v>172</v>
      </c>
      <c r="F2884" t="s">
        <v>568</v>
      </c>
      <c r="G2884">
        <v>24</v>
      </c>
    </row>
    <row r="2885" spans="1:8">
      <c r="A2885" t="str">
        <f t="shared" si="45"/>
        <v>Mozartstraat 25</v>
      </c>
      <c r="B2885" t="s">
        <v>567</v>
      </c>
      <c r="C2885" t="s">
        <v>296</v>
      </c>
      <c r="D2885">
        <v>1987</v>
      </c>
      <c r="E2885">
        <v>115</v>
      </c>
      <c r="F2885" t="s">
        <v>568</v>
      </c>
      <c r="G2885">
        <v>25</v>
      </c>
    </row>
    <row r="2886" spans="1:8">
      <c r="A2886" t="str">
        <f t="shared" si="45"/>
        <v>Mozartstraat 26</v>
      </c>
      <c r="B2886" t="s">
        <v>567</v>
      </c>
      <c r="C2886" t="s">
        <v>296</v>
      </c>
      <c r="D2886">
        <v>1988</v>
      </c>
      <c r="E2886">
        <v>155</v>
      </c>
      <c r="F2886" t="s">
        <v>568</v>
      </c>
      <c r="G2886">
        <v>26</v>
      </c>
    </row>
    <row r="2887" spans="1:8">
      <c r="A2887" t="str">
        <f t="shared" si="45"/>
        <v>Mozartstraat 28</v>
      </c>
      <c r="B2887" t="s">
        <v>567</v>
      </c>
      <c r="C2887" t="s">
        <v>296</v>
      </c>
      <c r="D2887">
        <v>1988</v>
      </c>
      <c r="E2887">
        <v>149</v>
      </c>
      <c r="F2887" t="s">
        <v>568</v>
      </c>
      <c r="G2887">
        <v>28</v>
      </c>
    </row>
    <row r="2888" spans="1:8">
      <c r="A2888" t="str">
        <f t="shared" si="45"/>
        <v>Mozartstraat 30</v>
      </c>
      <c r="B2888" t="s">
        <v>567</v>
      </c>
      <c r="C2888" t="s">
        <v>296</v>
      </c>
      <c r="D2888">
        <v>1988</v>
      </c>
      <c r="E2888">
        <v>139</v>
      </c>
      <c r="F2888" t="s">
        <v>568</v>
      </c>
      <c r="G2888">
        <v>30</v>
      </c>
    </row>
    <row r="2889" spans="1:8">
      <c r="A2889" t="str">
        <f t="shared" si="45"/>
        <v>Mozartstraat 32</v>
      </c>
      <c r="B2889" t="s">
        <v>567</v>
      </c>
      <c r="C2889" t="s">
        <v>296</v>
      </c>
      <c r="D2889">
        <v>1989</v>
      </c>
      <c r="E2889">
        <v>236</v>
      </c>
      <c r="F2889" t="s">
        <v>568</v>
      </c>
      <c r="G2889">
        <v>32</v>
      </c>
    </row>
    <row r="2890" spans="1:8">
      <c r="A2890" t="str">
        <f t="shared" si="45"/>
        <v>Muldershofweg 1a</v>
      </c>
      <c r="B2890" t="s">
        <v>569</v>
      </c>
      <c r="C2890" t="s">
        <v>343</v>
      </c>
      <c r="D2890">
        <v>1960</v>
      </c>
      <c r="E2890">
        <v>106</v>
      </c>
      <c r="F2890" t="s">
        <v>570</v>
      </c>
      <c r="G2890">
        <v>1</v>
      </c>
      <c r="H2890" t="s">
        <v>304</v>
      </c>
    </row>
    <row r="2891" spans="1:8">
      <c r="A2891" t="str">
        <f t="shared" si="45"/>
        <v>Muldershofweg 1</v>
      </c>
      <c r="B2891" t="s">
        <v>569</v>
      </c>
      <c r="C2891" t="s">
        <v>343</v>
      </c>
      <c r="D2891">
        <v>1960</v>
      </c>
      <c r="E2891">
        <v>113</v>
      </c>
      <c r="F2891" t="s">
        <v>570</v>
      </c>
      <c r="G2891">
        <v>1</v>
      </c>
    </row>
    <row r="2892" spans="1:8">
      <c r="A2892" t="str">
        <f t="shared" si="45"/>
        <v>Muldershofweg 3a</v>
      </c>
      <c r="B2892" t="s">
        <v>569</v>
      </c>
      <c r="C2892" t="s">
        <v>343</v>
      </c>
      <c r="D2892">
        <v>1960</v>
      </c>
      <c r="E2892">
        <v>87</v>
      </c>
      <c r="F2892" t="s">
        <v>570</v>
      </c>
      <c r="G2892">
        <v>3</v>
      </c>
      <c r="H2892" t="s">
        <v>304</v>
      </c>
    </row>
    <row r="2893" spans="1:8">
      <c r="A2893" t="str">
        <f t="shared" si="45"/>
        <v>Muldershofweg 3</v>
      </c>
      <c r="B2893" t="s">
        <v>569</v>
      </c>
      <c r="C2893" t="s">
        <v>343</v>
      </c>
      <c r="D2893">
        <v>1960</v>
      </c>
      <c r="E2893">
        <v>304</v>
      </c>
      <c r="F2893" t="s">
        <v>570</v>
      </c>
      <c r="G2893">
        <v>3</v>
      </c>
    </row>
    <row r="2894" spans="1:8">
      <c r="A2894" t="str">
        <f t="shared" si="45"/>
        <v>Muldershofweg 5</v>
      </c>
      <c r="B2894" t="s">
        <v>569</v>
      </c>
      <c r="C2894" t="s">
        <v>343</v>
      </c>
      <c r="D2894">
        <v>1974</v>
      </c>
      <c r="E2894">
        <v>120</v>
      </c>
      <c r="F2894" t="s">
        <v>570</v>
      </c>
      <c r="G2894">
        <v>5</v>
      </c>
    </row>
    <row r="2895" spans="1:8">
      <c r="A2895" t="str">
        <f t="shared" si="45"/>
        <v>Muldershofweg 6</v>
      </c>
      <c r="B2895" t="s">
        <v>569</v>
      </c>
      <c r="C2895" t="s">
        <v>343</v>
      </c>
      <c r="D2895">
        <v>1957</v>
      </c>
      <c r="E2895">
        <v>307</v>
      </c>
      <c r="F2895" t="s">
        <v>570</v>
      </c>
      <c r="G2895">
        <v>6</v>
      </c>
    </row>
    <row r="2896" spans="1:8">
      <c r="A2896" t="str">
        <f t="shared" si="45"/>
        <v>Muldershofweg 7</v>
      </c>
      <c r="B2896" t="s">
        <v>569</v>
      </c>
      <c r="C2896" t="s">
        <v>343</v>
      </c>
      <c r="D2896">
        <v>1963</v>
      </c>
      <c r="E2896">
        <v>507</v>
      </c>
      <c r="F2896" t="s">
        <v>570</v>
      </c>
      <c r="G2896">
        <v>7</v>
      </c>
    </row>
    <row r="2897" spans="1:7">
      <c r="A2897" t="str">
        <f t="shared" si="45"/>
        <v>Muldershofweg 8</v>
      </c>
      <c r="B2897" t="s">
        <v>569</v>
      </c>
      <c r="C2897" t="s">
        <v>343</v>
      </c>
      <c r="D2897">
        <v>1965</v>
      </c>
      <c r="E2897">
        <v>254</v>
      </c>
      <c r="F2897" t="s">
        <v>570</v>
      </c>
      <c r="G2897">
        <v>8</v>
      </c>
    </row>
    <row r="2898" spans="1:7">
      <c r="A2898" t="str">
        <f t="shared" si="45"/>
        <v>Muldershofweg 9</v>
      </c>
      <c r="B2898" t="s">
        <v>569</v>
      </c>
      <c r="C2898" t="s">
        <v>343</v>
      </c>
      <c r="D2898">
        <v>2008</v>
      </c>
      <c r="E2898">
        <v>360</v>
      </c>
      <c r="F2898" t="s">
        <v>570</v>
      </c>
      <c r="G2898">
        <v>9</v>
      </c>
    </row>
    <row r="2899" spans="1:7">
      <c r="A2899" t="str">
        <f t="shared" si="45"/>
        <v>Muldershofweg 10</v>
      </c>
      <c r="B2899" t="s">
        <v>569</v>
      </c>
      <c r="C2899" t="s">
        <v>343</v>
      </c>
      <c r="D2899">
        <v>1963</v>
      </c>
      <c r="E2899">
        <v>244</v>
      </c>
      <c r="F2899" t="s">
        <v>570</v>
      </c>
      <c r="G2899">
        <v>10</v>
      </c>
    </row>
    <row r="2900" spans="1:7">
      <c r="A2900" t="str">
        <f t="shared" si="45"/>
        <v>Muldershofweg 11</v>
      </c>
      <c r="B2900" t="s">
        <v>569</v>
      </c>
      <c r="C2900" t="s">
        <v>343</v>
      </c>
      <c r="D2900">
        <v>1958</v>
      </c>
      <c r="E2900">
        <v>236</v>
      </c>
      <c r="F2900" t="s">
        <v>570</v>
      </c>
      <c r="G2900">
        <v>11</v>
      </c>
    </row>
    <row r="2901" spans="1:7">
      <c r="A2901" t="str">
        <f t="shared" si="45"/>
        <v>Muldershofweg 12</v>
      </c>
      <c r="B2901" t="s">
        <v>569</v>
      </c>
      <c r="C2901" t="s">
        <v>343</v>
      </c>
      <c r="D2901">
        <v>1964</v>
      </c>
      <c r="E2901">
        <v>184</v>
      </c>
      <c r="F2901" t="s">
        <v>570</v>
      </c>
      <c r="G2901">
        <v>12</v>
      </c>
    </row>
    <row r="2902" spans="1:7">
      <c r="A2902" t="str">
        <f t="shared" si="45"/>
        <v>Muldershofweg 13</v>
      </c>
      <c r="B2902" t="s">
        <v>569</v>
      </c>
      <c r="C2902" t="s">
        <v>343</v>
      </c>
      <c r="D2902">
        <v>1960</v>
      </c>
      <c r="E2902">
        <v>134</v>
      </c>
      <c r="F2902" t="s">
        <v>570</v>
      </c>
      <c r="G2902">
        <v>13</v>
      </c>
    </row>
    <row r="2903" spans="1:7">
      <c r="A2903" t="str">
        <f t="shared" si="45"/>
        <v>Muldershofweg 14</v>
      </c>
      <c r="B2903" t="s">
        <v>569</v>
      </c>
      <c r="C2903" t="s">
        <v>343</v>
      </c>
      <c r="D2903">
        <v>1972</v>
      </c>
      <c r="E2903">
        <v>257</v>
      </c>
      <c r="F2903" t="s">
        <v>570</v>
      </c>
      <c r="G2903">
        <v>14</v>
      </c>
    </row>
    <row r="2904" spans="1:7">
      <c r="A2904" t="str">
        <f t="shared" si="45"/>
        <v>Muldershofweg 15</v>
      </c>
      <c r="B2904" t="s">
        <v>569</v>
      </c>
      <c r="C2904" t="s">
        <v>343</v>
      </c>
      <c r="D2904">
        <v>1968</v>
      </c>
      <c r="E2904">
        <v>171</v>
      </c>
      <c r="F2904" t="s">
        <v>570</v>
      </c>
      <c r="G2904">
        <v>15</v>
      </c>
    </row>
    <row r="2905" spans="1:7">
      <c r="A2905" t="str">
        <f t="shared" si="45"/>
        <v>Muldershofweg 16</v>
      </c>
      <c r="B2905" t="s">
        <v>569</v>
      </c>
      <c r="C2905" t="s">
        <v>343</v>
      </c>
      <c r="D2905">
        <v>1965</v>
      </c>
      <c r="E2905">
        <v>248</v>
      </c>
      <c r="F2905" t="s">
        <v>570</v>
      </c>
      <c r="G2905">
        <v>16</v>
      </c>
    </row>
    <row r="2906" spans="1:7">
      <c r="A2906" t="str">
        <f t="shared" si="45"/>
        <v>Muldershofweg 17</v>
      </c>
      <c r="B2906" t="s">
        <v>569</v>
      </c>
      <c r="C2906" t="s">
        <v>343</v>
      </c>
      <c r="D2906">
        <v>1950</v>
      </c>
      <c r="E2906">
        <v>143</v>
      </c>
      <c r="F2906" t="s">
        <v>570</v>
      </c>
      <c r="G2906">
        <v>17</v>
      </c>
    </row>
    <row r="2907" spans="1:7">
      <c r="A2907" t="str">
        <f t="shared" si="45"/>
        <v>Muldershofweg 18</v>
      </c>
      <c r="B2907" t="s">
        <v>569</v>
      </c>
      <c r="C2907" t="s">
        <v>343</v>
      </c>
      <c r="D2907">
        <v>1960</v>
      </c>
      <c r="E2907">
        <v>155</v>
      </c>
      <c r="F2907" t="s">
        <v>570</v>
      </c>
      <c r="G2907">
        <v>18</v>
      </c>
    </row>
    <row r="2908" spans="1:7">
      <c r="A2908" t="str">
        <f t="shared" si="45"/>
        <v>Muldershofweg 19</v>
      </c>
      <c r="B2908" t="s">
        <v>569</v>
      </c>
      <c r="C2908" t="s">
        <v>343</v>
      </c>
      <c r="D2908">
        <v>1958</v>
      </c>
      <c r="E2908">
        <v>204</v>
      </c>
      <c r="F2908" t="s">
        <v>570</v>
      </c>
      <c r="G2908">
        <v>19</v>
      </c>
    </row>
    <row r="2909" spans="1:7">
      <c r="A2909" t="str">
        <f t="shared" si="45"/>
        <v>Muldershofweg 21</v>
      </c>
      <c r="B2909" t="s">
        <v>569</v>
      </c>
      <c r="C2909" t="s">
        <v>343</v>
      </c>
      <c r="D2909">
        <v>1965</v>
      </c>
      <c r="E2909">
        <v>227</v>
      </c>
      <c r="F2909" t="s">
        <v>570</v>
      </c>
      <c r="G2909">
        <v>21</v>
      </c>
    </row>
    <row r="2910" spans="1:7">
      <c r="A2910" t="str">
        <f t="shared" si="45"/>
        <v>Muldershofweg 23</v>
      </c>
      <c r="B2910" t="s">
        <v>569</v>
      </c>
      <c r="C2910" t="s">
        <v>343</v>
      </c>
      <c r="D2910">
        <v>1965</v>
      </c>
      <c r="E2910">
        <v>216</v>
      </c>
      <c r="F2910" t="s">
        <v>570</v>
      </c>
      <c r="G2910">
        <v>23</v>
      </c>
    </row>
    <row r="2911" spans="1:7">
      <c r="A2911" t="str">
        <f t="shared" si="45"/>
        <v>Muldershofweg 25</v>
      </c>
      <c r="B2911" t="s">
        <v>569</v>
      </c>
      <c r="C2911" t="s">
        <v>343</v>
      </c>
      <c r="D2911">
        <v>1957</v>
      </c>
      <c r="E2911">
        <v>206</v>
      </c>
      <c r="F2911" t="s">
        <v>570</v>
      </c>
      <c r="G2911">
        <v>25</v>
      </c>
    </row>
    <row r="2912" spans="1:7">
      <c r="A2912" t="str">
        <f t="shared" si="45"/>
        <v>Muldershofweg 27</v>
      </c>
      <c r="B2912" t="s">
        <v>569</v>
      </c>
      <c r="C2912" t="s">
        <v>343</v>
      </c>
      <c r="D2912">
        <v>1960</v>
      </c>
      <c r="E2912">
        <v>163</v>
      </c>
      <c r="F2912" t="s">
        <v>570</v>
      </c>
      <c r="G2912">
        <v>27</v>
      </c>
    </row>
    <row r="2913" spans="1:8">
      <c r="A2913" t="str">
        <f t="shared" si="45"/>
        <v>Oude Bovensteweg 1</v>
      </c>
      <c r="B2913" t="s">
        <v>571</v>
      </c>
      <c r="C2913" t="s">
        <v>296</v>
      </c>
      <c r="D2913">
        <v>1970</v>
      </c>
      <c r="E2913">
        <v>135</v>
      </c>
      <c r="F2913" t="s">
        <v>572</v>
      </c>
      <c r="G2913">
        <v>1</v>
      </c>
    </row>
    <row r="2914" spans="1:8">
      <c r="A2914" t="str">
        <f t="shared" si="45"/>
        <v>Oude Bovensteweg 2a</v>
      </c>
      <c r="B2914" t="s">
        <v>573</v>
      </c>
      <c r="C2914" t="s">
        <v>296</v>
      </c>
      <c r="D2914">
        <v>1986</v>
      </c>
      <c r="E2914">
        <v>240</v>
      </c>
      <c r="F2914" t="s">
        <v>572</v>
      </c>
      <c r="G2914">
        <v>2</v>
      </c>
      <c r="H2914" t="s">
        <v>304</v>
      </c>
    </row>
    <row r="2915" spans="1:8">
      <c r="A2915" t="str">
        <f t="shared" si="45"/>
        <v>Oude Bovensteweg 2</v>
      </c>
      <c r="B2915" t="s">
        <v>573</v>
      </c>
      <c r="C2915" t="s">
        <v>296</v>
      </c>
      <c r="D2915">
        <v>1976</v>
      </c>
      <c r="E2915">
        <v>462</v>
      </c>
      <c r="F2915" t="s">
        <v>572</v>
      </c>
      <c r="G2915">
        <v>2</v>
      </c>
    </row>
    <row r="2916" spans="1:8">
      <c r="A2916" t="str">
        <f t="shared" si="45"/>
        <v>Oude Bovensteweg 3</v>
      </c>
      <c r="B2916" t="s">
        <v>571</v>
      </c>
      <c r="C2916" t="s">
        <v>296</v>
      </c>
      <c r="D2916">
        <v>1970</v>
      </c>
      <c r="E2916">
        <v>135</v>
      </c>
      <c r="F2916" t="s">
        <v>572</v>
      </c>
      <c r="G2916">
        <v>3</v>
      </c>
    </row>
    <row r="2917" spans="1:8">
      <c r="A2917" t="str">
        <f t="shared" si="45"/>
        <v>Oude Bovensteweg 4</v>
      </c>
      <c r="B2917" t="s">
        <v>573</v>
      </c>
      <c r="C2917" t="s">
        <v>296</v>
      </c>
      <c r="D2917">
        <v>1975</v>
      </c>
      <c r="E2917">
        <v>206</v>
      </c>
      <c r="F2917" t="s">
        <v>572</v>
      </c>
      <c r="G2917">
        <v>4</v>
      </c>
    </row>
    <row r="2918" spans="1:8">
      <c r="A2918" t="str">
        <f t="shared" si="45"/>
        <v>Oude Bovensteweg 5</v>
      </c>
      <c r="B2918" t="s">
        <v>571</v>
      </c>
      <c r="C2918" t="s">
        <v>296</v>
      </c>
      <c r="D2918">
        <v>1970</v>
      </c>
      <c r="E2918">
        <v>144</v>
      </c>
      <c r="F2918" t="s">
        <v>572</v>
      </c>
      <c r="G2918">
        <v>5</v>
      </c>
    </row>
    <row r="2919" spans="1:8">
      <c r="A2919" t="str">
        <f t="shared" si="45"/>
        <v>Oude Bovensteweg 6</v>
      </c>
      <c r="B2919" t="s">
        <v>573</v>
      </c>
      <c r="C2919" t="s">
        <v>296</v>
      </c>
      <c r="D2919">
        <v>1976</v>
      </c>
      <c r="E2919">
        <v>266</v>
      </c>
      <c r="F2919" t="s">
        <v>572</v>
      </c>
      <c r="G2919">
        <v>6</v>
      </c>
    </row>
    <row r="2920" spans="1:8">
      <c r="A2920" t="str">
        <f t="shared" si="45"/>
        <v>Oude Bovensteweg 7</v>
      </c>
      <c r="B2920" t="s">
        <v>571</v>
      </c>
      <c r="C2920" t="s">
        <v>296</v>
      </c>
      <c r="D2920">
        <v>1970</v>
      </c>
      <c r="E2920">
        <v>163</v>
      </c>
      <c r="F2920" t="s">
        <v>572</v>
      </c>
      <c r="G2920">
        <v>7</v>
      </c>
    </row>
    <row r="2921" spans="1:8">
      <c r="A2921" t="str">
        <f t="shared" si="45"/>
        <v>Oude Bovensteweg 8</v>
      </c>
      <c r="B2921" t="s">
        <v>573</v>
      </c>
      <c r="C2921" t="s">
        <v>296</v>
      </c>
      <c r="D2921">
        <v>1976</v>
      </c>
      <c r="E2921">
        <v>386</v>
      </c>
      <c r="F2921" t="s">
        <v>572</v>
      </c>
      <c r="G2921">
        <v>8</v>
      </c>
    </row>
    <row r="2922" spans="1:8">
      <c r="A2922" t="str">
        <f t="shared" si="45"/>
        <v>Oude Bovensteweg 9</v>
      </c>
      <c r="B2922" t="s">
        <v>571</v>
      </c>
      <c r="C2922" t="s">
        <v>296</v>
      </c>
      <c r="D2922">
        <v>1971</v>
      </c>
      <c r="E2922">
        <v>152</v>
      </c>
      <c r="F2922" t="s">
        <v>572</v>
      </c>
      <c r="G2922">
        <v>9</v>
      </c>
    </row>
    <row r="2923" spans="1:8">
      <c r="A2923" t="str">
        <f t="shared" si="45"/>
        <v>Oude Bovensteweg 11</v>
      </c>
      <c r="B2923" t="s">
        <v>571</v>
      </c>
      <c r="C2923" t="s">
        <v>296</v>
      </c>
      <c r="D2923">
        <v>1971</v>
      </c>
      <c r="E2923">
        <v>152</v>
      </c>
      <c r="F2923" t="s">
        <v>572</v>
      </c>
      <c r="G2923">
        <v>11</v>
      </c>
    </row>
    <row r="2924" spans="1:8">
      <c r="A2924" t="str">
        <f t="shared" si="45"/>
        <v>Oude Bovensteweg 12</v>
      </c>
      <c r="B2924" t="s">
        <v>573</v>
      </c>
      <c r="C2924" t="s">
        <v>296</v>
      </c>
      <c r="D2924">
        <v>1976</v>
      </c>
      <c r="E2924">
        <v>220</v>
      </c>
      <c r="F2924" t="s">
        <v>572</v>
      </c>
      <c r="G2924">
        <v>12</v>
      </c>
    </row>
    <row r="2925" spans="1:8">
      <c r="A2925" t="str">
        <f t="shared" si="45"/>
        <v>Oude Bovensteweg 13a</v>
      </c>
      <c r="B2925" t="s">
        <v>571</v>
      </c>
      <c r="C2925" t="s">
        <v>296</v>
      </c>
      <c r="D2925">
        <v>1990</v>
      </c>
      <c r="E2925">
        <v>186</v>
      </c>
      <c r="F2925" t="s">
        <v>572</v>
      </c>
      <c r="G2925">
        <v>13</v>
      </c>
      <c r="H2925" t="s">
        <v>304</v>
      </c>
    </row>
    <row r="2926" spans="1:8">
      <c r="A2926" t="str">
        <f t="shared" si="45"/>
        <v>Oude Bovensteweg 13b</v>
      </c>
      <c r="B2926" t="s">
        <v>571</v>
      </c>
      <c r="C2926" t="s">
        <v>296</v>
      </c>
      <c r="D2926">
        <v>1990</v>
      </c>
      <c r="E2926">
        <v>211</v>
      </c>
      <c r="F2926" t="s">
        <v>572</v>
      </c>
      <c r="G2926">
        <v>13</v>
      </c>
      <c r="H2926" t="s">
        <v>298</v>
      </c>
    </row>
    <row r="2927" spans="1:8">
      <c r="A2927" t="str">
        <f t="shared" si="45"/>
        <v>Oude Bovensteweg 13</v>
      </c>
      <c r="B2927" t="s">
        <v>571</v>
      </c>
      <c r="C2927" t="s">
        <v>296</v>
      </c>
      <c r="D2927">
        <v>1960</v>
      </c>
      <c r="E2927">
        <v>223</v>
      </c>
      <c r="F2927" t="s">
        <v>572</v>
      </c>
      <c r="G2927">
        <v>13</v>
      </c>
    </row>
    <row r="2928" spans="1:8">
      <c r="A2928" t="str">
        <f t="shared" si="45"/>
        <v>Oude Bovensteweg 14</v>
      </c>
      <c r="B2928" t="s">
        <v>573</v>
      </c>
      <c r="C2928" t="s">
        <v>296</v>
      </c>
      <c r="D2928">
        <v>1975</v>
      </c>
      <c r="E2928">
        <v>219</v>
      </c>
      <c r="F2928" t="s">
        <v>572</v>
      </c>
      <c r="G2928">
        <v>14</v>
      </c>
    </row>
    <row r="2929" spans="1:7">
      <c r="A2929" t="str">
        <f t="shared" si="45"/>
        <v>Oude Bovensteweg 15</v>
      </c>
      <c r="B2929" t="s">
        <v>571</v>
      </c>
      <c r="C2929" t="s">
        <v>296</v>
      </c>
      <c r="D2929">
        <v>1977</v>
      </c>
      <c r="E2929">
        <v>162</v>
      </c>
      <c r="F2929" t="s">
        <v>572</v>
      </c>
      <c r="G2929">
        <v>15</v>
      </c>
    </row>
    <row r="2930" spans="1:7">
      <c r="A2930" t="str">
        <f t="shared" si="45"/>
        <v>Oude Bovensteweg 16</v>
      </c>
      <c r="B2930" t="s">
        <v>573</v>
      </c>
      <c r="C2930" t="s">
        <v>296</v>
      </c>
      <c r="D2930">
        <v>1976</v>
      </c>
      <c r="E2930">
        <v>295</v>
      </c>
      <c r="F2930" t="s">
        <v>572</v>
      </c>
      <c r="G2930">
        <v>16</v>
      </c>
    </row>
    <row r="2931" spans="1:7">
      <c r="A2931" t="str">
        <f t="shared" si="45"/>
        <v>Oude Bovensteweg 17</v>
      </c>
      <c r="B2931" t="s">
        <v>571</v>
      </c>
      <c r="C2931" t="s">
        <v>296</v>
      </c>
      <c r="D2931">
        <v>1977</v>
      </c>
      <c r="E2931">
        <v>165</v>
      </c>
      <c r="F2931" t="s">
        <v>572</v>
      </c>
      <c r="G2931">
        <v>17</v>
      </c>
    </row>
    <row r="2932" spans="1:7">
      <c r="A2932" t="str">
        <f t="shared" si="45"/>
        <v>Oude Bovensteweg 18</v>
      </c>
      <c r="B2932" t="s">
        <v>573</v>
      </c>
      <c r="C2932" t="s">
        <v>296</v>
      </c>
      <c r="D2932">
        <v>1978</v>
      </c>
      <c r="E2932">
        <v>210</v>
      </c>
      <c r="F2932" t="s">
        <v>572</v>
      </c>
      <c r="G2932">
        <v>18</v>
      </c>
    </row>
    <row r="2933" spans="1:7">
      <c r="A2933" t="str">
        <f t="shared" si="45"/>
        <v>Oude Bovensteweg 19</v>
      </c>
      <c r="B2933" t="s">
        <v>571</v>
      </c>
      <c r="C2933" t="s">
        <v>296</v>
      </c>
      <c r="D2933">
        <v>1977</v>
      </c>
      <c r="E2933">
        <v>179</v>
      </c>
      <c r="F2933" t="s">
        <v>572</v>
      </c>
      <c r="G2933">
        <v>19</v>
      </c>
    </row>
    <row r="2934" spans="1:7">
      <c r="A2934" t="str">
        <f t="shared" si="45"/>
        <v>Oude Bovensteweg 20</v>
      </c>
      <c r="B2934" t="s">
        <v>573</v>
      </c>
      <c r="C2934" t="s">
        <v>296</v>
      </c>
      <c r="D2934">
        <v>1978</v>
      </c>
      <c r="E2934">
        <v>182</v>
      </c>
      <c r="F2934" t="s">
        <v>572</v>
      </c>
      <c r="G2934">
        <v>20</v>
      </c>
    </row>
    <row r="2935" spans="1:7">
      <c r="A2935" t="str">
        <f t="shared" si="45"/>
        <v>Oude Bovensteweg 21</v>
      </c>
      <c r="B2935" t="s">
        <v>571</v>
      </c>
      <c r="C2935" t="s">
        <v>296</v>
      </c>
      <c r="D2935">
        <v>1977</v>
      </c>
      <c r="E2935">
        <v>166</v>
      </c>
      <c r="F2935" t="s">
        <v>572</v>
      </c>
      <c r="G2935">
        <v>21</v>
      </c>
    </row>
    <row r="2936" spans="1:7">
      <c r="A2936" t="str">
        <f t="shared" si="45"/>
        <v>Oude Bovensteweg 22</v>
      </c>
      <c r="B2936" t="s">
        <v>573</v>
      </c>
      <c r="C2936" t="s">
        <v>296</v>
      </c>
      <c r="D2936">
        <v>1978</v>
      </c>
      <c r="E2936">
        <v>195</v>
      </c>
      <c r="F2936" t="s">
        <v>572</v>
      </c>
      <c r="G2936">
        <v>22</v>
      </c>
    </row>
    <row r="2937" spans="1:7">
      <c r="A2937" t="str">
        <f t="shared" si="45"/>
        <v>Oude Bovensteweg 23</v>
      </c>
      <c r="B2937" t="s">
        <v>571</v>
      </c>
      <c r="C2937" t="s">
        <v>296</v>
      </c>
      <c r="D2937">
        <v>1977</v>
      </c>
      <c r="E2937">
        <v>146</v>
      </c>
      <c r="F2937" t="s">
        <v>572</v>
      </c>
      <c r="G2937">
        <v>23</v>
      </c>
    </row>
    <row r="2938" spans="1:7">
      <c r="A2938" t="str">
        <f t="shared" si="45"/>
        <v>Oude Bovensteweg 24</v>
      </c>
      <c r="B2938" t="s">
        <v>573</v>
      </c>
      <c r="C2938" t="s">
        <v>296</v>
      </c>
      <c r="D2938">
        <v>1978</v>
      </c>
      <c r="E2938">
        <v>182</v>
      </c>
      <c r="F2938" t="s">
        <v>572</v>
      </c>
      <c r="G2938">
        <v>24</v>
      </c>
    </row>
    <row r="2939" spans="1:7">
      <c r="A2939" t="str">
        <f t="shared" si="45"/>
        <v>Oude Bovensteweg 25</v>
      </c>
      <c r="B2939" t="s">
        <v>571</v>
      </c>
      <c r="C2939" t="s">
        <v>296</v>
      </c>
      <c r="D2939">
        <v>1977</v>
      </c>
      <c r="E2939">
        <v>165</v>
      </c>
      <c r="F2939" t="s">
        <v>572</v>
      </c>
      <c r="G2939">
        <v>25</v>
      </c>
    </row>
    <row r="2940" spans="1:7">
      <c r="A2940" t="str">
        <f t="shared" si="45"/>
        <v>Oude Bovensteweg 26</v>
      </c>
      <c r="B2940" t="s">
        <v>573</v>
      </c>
      <c r="C2940" t="s">
        <v>296</v>
      </c>
      <c r="D2940">
        <v>1978</v>
      </c>
      <c r="E2940">
        <v>185</v>
      </c>
      <c r="F2940" t="s">
        <v>572</v>
      </c>
      <c r="G2940">
        <v>26</v>
      </c>
    </row>
    <row r="2941" spans="1:7">
      <c r="A2941" t="str">
        <f t="shared" si="45"/>
        <v>Oude Bovensteweg 27</v>
      </c>
      <c r="B2941" t="s">
        <v>571</v>
      </c>
      <c r="C2941" t="s">
        <v>296</v>
      </c>
      <c r="D2941">
        <v>1977</v>
      </c>
      <c r="E2941">
        <v>154</v>
      </c>
      <c r="F2941" t="s">
        <v>572</v>
      </c>
      <c r="G2941">
        <v>27</v>
      </c>
    </row>
    <row r="2942" spans="1:7">
      <c r="A2942" t="str">
        <f t="shared" si="45"/>
        <v>Oude Bovensteweg 28</v>
      </c>
      <c r="B2942" t="s">
        <v>573</v>
      </c>
      <c r="C2942" t="s">
        <v>296</v>
      </c>
      <c r="D2942">
        <v>1978</v>
      </c>
      <c r="E2942">
        <v>182</v>
      </c>
      <c r="F2942" t="s">
        <v>572</v>
      </c>
      <c r="G2942">
        <v>28</v>
      </c>
    </row>
    <row r="2943" spans="1:7">
      <c r="A2943" t="str">
        <f t="shared" si="45"/>
        <v>Oude Bovensteweg 30</v>
      </c>
      <c r="B2943" t="s">
        <v>573</v>
      </c>
      <c r="C2943" t="s">
        <v>296</v>
      </c>
      <c r="D2943">
        <v>1978</v>
      </c>
      <c r="E2943">
        <v>181</v>
      </c>
      <c r="F2943" t="s">
        <v>572</v>
      </c>
      <c r="G2943">
        <v>30</v>
      </c>
    </row>
    <row r="2944" spans="1:7">
      <c r="A2944" t="str">
        <f t="shared" si="45"/>
        <v>Oude Bovensteweg 31</v>
      </c>
      <c r="B2944" t="s">
        <v>571</v>
      </c>
      <c r="C2944" t="s">
        <v>296</v>
      </c>
      <c r="D2944">
        <v>1977</v>
      </c>
      <c r="E2944">
        <v>165</v>
      </c>
      <c r="F2944" t="s">
        <v>572</v>
      </c>
      <c r="G2944">
        <v>31</v>
      </c>
    </row>
    <row r="2945" spans="1:7">
      <c r="A2945" t="str">
        <f t="shared" si="45"/>
        <v>Oude Bovensteweg 32</v>
      </c>
      <c r="B2945" t="s">
        <v>573</v>
      </c>
      <c r="C2945" t="s">
        <v>296</v>
      </c>
      <c r="D2945">
        <v>1978</v>
      </c>
      <c r="E2945">
        <v>183</v>
      </c>
      <c r="F2945" t="s">
        <v>572</v>
      </c>
      <c r="G2945">
        <v>32</v>
      </c>
    </row>
    <row r="2946" spans="1:7">
      <c r="A2946" t="str">
        <f t="shared" ref="A2946:A3009" si="46">CONCATENATE(F2946," ",G2946,H2946)</f>
        <v>Oude Bovensteweg 33</v>
      </c>
      <c r="B2946" t="s">
        <v>571</v>
      </c>
      <c r="C2946" t="s">
        <v>296</v>
      </c>
      <c r="D2946">
        <v>1977</v>
      </c>
      <c r="E2946">
        <v>133</v>
      </c>
      <c r="F2946" t="s">
        <v>572</v>
      </c>
      <c r="G2946">
        <v>33</v>
      </c>
    </row>
    <row r="2947" spans="1:7">
      <c r="A2947" t="str">
        <f t="shared" si="46"/>
        <v>Oude Bovensteweg 34</v>
      </c>
      <c r="B2947" t="s">
        <v>573</v>
      </c>
      <c r="C2947" t="s">
        <v>296</v>
      </c>
      <c r="D2947">
        <v>1978</v>
      </c>
      <c r="E2947">
        <v>208</v>
      </c>
      <c r="F2947" t="s">
        <v>572</v>
      </c>
      <c r="G2947">
        <v>34</v>
      </c>
    </row>
    <row r="2948" spans="1:7">
      <c r="A2948" t="str">
        <f t="shared" si="46"/>
        <v>Oude Bovensteweg 35</v>
      </c>
      <c r="B2948" t="s">
        <v>571</v>
      </c>
      <c r="C2948" t="s">
        <v>296</v>
      </c>
      <c r="D2948">
        <v>1977</v>
      </c>
      <c r="E2948">
        <v>134</v>
      </c>
      <c r="F2948" t="s">
        <v>572</v>
      </c>
      <c r="G2948">
        <v>35</v>
      </c>
    </row>
    <row r="2949" spans="1:7">
      <c r="A2949" t="str">
        <f t="shared" si="46"/>
        <v>Oude Bovensteweg 36</v>
      </c>
      <c r="B2949" t="s">
        <v>573</v>
      </c>
      <c r="C2949" t="s">
        <v>296</v>
      </c>
      <c r="D2949">
        <v>1978</v>
      </c>
      <c r="E2949">
        <v>183</v>
      </c>
      <c r="F2949" t="s">
        <v>572</v>
      </c>
      <c r="G2949">
        <v>36</v>
      </c>
    </row>
    <row r="2950" spans="1:7">
      <c r="A2950" t="str">
        <f t="shared" si="46"/>
        <v>Oude Bovensteweg 37</v>
      </c>
      <c r="B2950" t="s">
        <v>571</v>
      </c>
      <c r="C2950" t="s">
        <v>296</v>
      </c>
      <c r="D2950">
        <v>1977</v>
      </c>
      <c r="E2950">
        <v>160</v>
      </c>
      <c r="F2950" t="s">
        <v>572</v>
      </c>
      <c r="G2950">
        <v>37</v>
      </c>
    </row>
    <row r="2951" spans="1:7">
      <c r="A2951" t="str">
        <f t="shared" si="46"/>
        <v>Oude Bovensteweg 38</v>
      </c>
      <c r="B2951" t="s">
        <v>573</v>
      </c>
      <c r="C2951" t="s">
        <v>296</v>
      </c>
      <c r="D2951">
        <v>1978</v>
      </c>
      <c r="E2951">
        <v>210</v>
      </c>
      <c r="F2951" t="s">
        <v>572</v>
      </c>
      <c r="G2951">
        <v>38</v>
      </c>
    </row>
    <row r="2952" spans="1:7">
      <c r="A2952" t="str">
        <f t="shared" si="46"/>
        <v>Oude Bovensteweg 39</v>
      </c>
      <c r="B2952" t="s">
        <v>571</v>
      </c>
      <c r="C2952" t="s">
        <v>296</v>
      </c>
      <c r="D2952">
        <v>1977</v>
      </c>
      <c r="E2952">
        <v>161</v>
      </c>
      <c r="F2952" t="s">
        <v>572</v>
      </c>
      <c r="G2952">
        <v>39</v>
      </c>
    </row>
    <row r="2953" spans="1:7">
      <c r="A2953" t="str">
        <f t="shared" si="46"/>
        <v>Oude Bovensteweg 40</v>
      </c>
      <c r="B2953" t="s">
        <v>573</v>
      </c>
      <c r="C2953" t="s">
        <v>296</v>
      </c>
      <c r="D2953">
        <v>1978</v>
      </c>
      <c r="E2953">
        <v>200</v>
      </c>
      <c r="F2953" t="s">
        <v>572</v>
      </c>
      <c r="G2953">
        <v>40</v>
      </c>
    </row>
    <row r="2954" spans="1:7">
      <c r="A2954" t="str">
        <f t="shared" si="46"/>
        <v>Oude Bovensteweg 41</v>
      </c>
      <c r="B2954" t="s">
        <v>571</v>
      </c>
      <c r="C2954" t="s">
        <v>296</v>
      </c>
      <c r="D2954">
        <v>1977</v>
      </c>
      <c r="E2954">
        <v>144</v>
      </c>
      <c r="F2954" t="s">
        <v>572</v>
      </c>
      <c r="G2954">
        <v>41</v>
      </c>
    </row>
    <row r="2955" spans="1:7">
      <c r="A2955" t="str">
        <f t="shared" si="46"/>
        <v>Oude Bovensteweg 43</v>
      </c>
      <c r="B2955" t="s">
        <v>571</v>
      </c>
      <c r="C2955" t="s">
        <v>296</v>
      </c>
      <c r="D2955">
        <v>1977</v>
      </c>
      <c r="E2955">
        <v>142</v>
      </c>
      <c r="F2955" t="s">
        <v>572</v>
      </c>
      <c r="G2955">
        <v>43</v>
      </c>
    </row>
    <row r="2956" spans="1:7">
      <c r="A2956" t="str">
        <f t="shared" si="46"/>
        <v>Oude Bovensteweg 45</v>
      </c>
      <c r="B2956" t="s">
        <v>571</v>
      </c>
      <c r="C2956" t="s">
        <v>296</v>
      </c>
      <c r="D2956">
        <v>1977</v>
      </c>
      <c r="E2956">
        <v>188</v>
      </c>
      <c r="F2956" t="s">
        <v>572</v>
      </c>
      <c r="G2956">
        <v>45</v>
      </c>
    </row>
    <row r="2957" spans="1:7">
      <c r="A2957" t="str">
        <f t="shared" si="46"/>
        <v>Oude Bovensteweg 47</v>
      </c>
      <c r="B2957" t="s">
        <v>571</v>
      </c>
      <c r="C2957" t="s">
        <v>296</v>
      </c>
      <c r="D2957">
        <v>1977</v>
      </c>
      <c r="E2957">
        <v>159</v>
      </c>
      <c r="F2957" t="s">
        <v>572</v>
      </c>
      <c r="G2957">
        <v>47</v>
      </c>
    </row>
    <row r="2958" spans="1:7">
      <c r="A2958" t="str">
        <f t="shared" si="46"/>
        <v>Oude Bovensteweg 49</v>
      </c>
      <c r="B2958" t="s">
        <v>571</v>
      </c>
      <c r="C2958" t="s">
        <v>296</v>
      </c>
      <c r="D2958">
        <v>1977</v>
      </c>
      <c r="E2958">
        <v>155</v>
      </c>
      <c r="F2958" t="s">
        <v>572</v>
      </c>
      <c r="G2958">
        <v>49</v>
      </c>
    </row>
    <row r="2959" spans="1:7">
      <c r="A2959" t="str">
        <f t="shared" si="46"/>
        <v>Oude Bovensteweg 51</v>
      </c>
      <c r="B2959" t="s">
        <v>571</v>
      </c>
      <c r="C2959" t="s">
        <v>296</v>
      </c>
      <c r="D2959">
        <v>1977</v>
      </c>
      <c r="E2959">
        <v>149</v>
      </c>
      <c r="F2959" t="s">
        <v>572</v>
      </c>
      <c r="G2959">
        <v>51</v>
      </c>
    </row>
    <row r="2960" spans="1:7">
      <c r="A2960" t="str">
        <f t="shared" si="46"/>
        <v>Oude Bovensteweg 53</v>
      </c>
      <c r="B2960" t="s">
        <v>571</v>
      </c>
      <c r="C2960" t="s">
        <v>296</v>
      </c>
      <c r="D2960">
        <v>1977</v>
      </c>
      <c r="E2960">
        <v>165</v>
      </c>
      <c r="F2960" t="s">
        <v>572</v>
      </c>
      <c r="G2960">
        <v>53</v>
      </c>
    </row>
    <row r="2961" spans="1:8">
      <c r="A2961" t="str">
        <f t="shared" si="46"/>
        <v>Oude Bovensteweg 55</v>
      </c>
      <c r="B2961" t="s">
        <v>571</v>
      </c>
      <c r="C2961" t="s">
        <v>296</v>
      </c>
      <c r="D2961">
        <v>1977</v>
      </c>
      <c r="E2961">
        <v>166</v>
      </c>
      <c r="F2961" t="s">
        <v>572</v>
      </c>
      <c r="G2961">
        <v>55</v>
      </c>
    </row>
    <row r="2962" spans="1:8">
      <c r="A2962" t="str">
        <f t="shared" si="46"/>
        <v>Oude Bovensteweg 57</v>
      </c>
      <c r="B2962" t="s">
        <v>571</v>
      </c>
      <c r="C2962" t="s">
        <v>296</v>
      </c>
      <c r="D2962">
        <v>1977</v>
      </c>
      <c r="E2962">
        <v>177</v>
      </c>
      <c r="F2962" t="s">
        <v>572</v>
      </c>
      <c r="G2962">
        <v>57</v>
      </c>
    </row>
    <row r="2963" spans="1:8">
      <c r="A2963" t="str">
        <f t="shared" si="46"/>
        <v>Oude Bovensteweg 59</v>
      </c>
      <c r="B2963" t="s">
        <v>571</v>
      </c>
      <c r="C2963" t="s">
        <v>296</v>
      </c>
      <c r="D2963">
        <v>1977</v>
      </c>
      <c r="E2963">
        <v>181</v>
      </c>
      <c r="F2963" t="s">
        <v>572</v>
      </c>
      <c r="G2963">
        <v>59</v>
      </c>
    </row>
    <row r="2964" spans="1:8">
      <c r="A2964" t="str">
        <f t="shared" si="46"/>
        <v>Overkwartierstraat 2</v>
      </c>
      <c r="B2964" t="s">
        <v>574</v>
      </c>
      <c r="C2964" t="s">
        <v>306</v>
      </c>
      <c r="D2964">
        <v>1980</v>
      </c>
      <c r="E2964">
        <v>157</v>
      </c>
      <c r="F2964" t="s">
        <v>575</v>
      </c>
      <c r="G2964">
        <v>2</v>
      </c>
    </row>
    <row r="2965" spans="1:8">
      <c r="A2965" t="str">
        <f t="shared" si="46"/>
        <v>Overkwartierstraat 3</v>
      </c>
      <c r="B2965" t="s">
        <v>574</v>
      </c>
      <c r="C2965" t="s">
        <v>306</v>
      </c>
      <c r="D2965">
        <v>1960</v>
      </c>
      <c r="E2965">
        <v>165</v>
      </c>
      <c r="F2965" t="s">
        <v>575</v>
      </c>
      <c r="G2965">
        <v>3</v>
      </c>
    </row>
    <row r="2966" spans="1:8">
      <c r="A2966" t="str">
        <f t="shared" si="46"/>
        <v>Overkwartierstraat 4</v>
      </c>
      <c r="B2966" t="s">
        <v>574</v>
      </c>
      <c r="C2966" t="s">
        <v>306</v>
      </c>
      <c r="D2966">
        <v>1980</v>
      </c>
      <c r="E2966">
        <v>165</v>
      </c>
      <c r="F2966" t="s">
        <v>575</v>
      </c>
      <c r="G2966">
        <v>4</v>
      </c>
    </row>
    <row r="2967" spans="1:8">
      <c r="A2967" t="str">
        <f t="shared" si="46"/>
        <v>Overkwartierstraat 5</v>
      </c>
      <c r="B2967" t="s">
        <v>574</v>
      </c>
      <c r="C2967" t="s">
        <v>306</v>
      </c>
      <c r="D2967">
        <v>1965</v>
      </c>
      <c r="E2967">
        <v>180</v>
      </c>
      <c r="F2967" t="s">
        <v>575</v>
      </c>
      <c r="G2967">
        <v>5</v>
      </c>
    </row>
    <row r="2968" spans="1:8">
      <c r="A2968" t="str">
        <f t="shared" si="46"/>
        <v>Overkwartierstraat 6</v>
      </c>
      <c r="B2968" t="s">
        <v>574</v>
      </c>
      <c r="C2968" t="s">
        <v>306</v>
      </c>
      <c r="D2968">
        <v>1960</v>
      </c>
      <c r="E2968">
        <v>165</v>
      </c>
      <c r="F2968" t="s">
        <v>575</v>
      </c>
      <c r="G2968">
        <v>6</v>
      </c>
    </row>
    <row r="2969" spans="1:8">
      <c r="A2969" t="str">
        <f t="shared" si="46"/>
        <v>Overkwartierstraat 7</v>
      </c>
      <c r="B2969" t="s">
        <v>574</v>
      </c>
      <c r="C2969" t="s">
        <v>306</v>
      </c>
      <c r="D2969">
        <v>1960</v>
      </c>
      <c r="E2969">
        <v>149</v>
      </c>
      <c r="F2969" t="s">
        <v>575</v>
      </c>
      <c r="G2969">
        <v>7</v>
      </c>
    </row>
    <row r="2970" spans="1:8">
      <c r="A2970" t="str">
        <f t="shared" si="46"/>
        <v>Overkwartierstraat 8</v>
      </c>
      <c r="B2970" t="s">
        <v>574</v>
      </c>
      <c r="C2970" t="s">
        <v>306</v>
      </c>
      <c r="D2970">
        <v>1960</v>
      </c>
      <c r="E2970">
        <v>148</v>
      </c>
      <c r="F2970" t="s">
        <v>575</v>
      </c>
      <c r="G2970">
        <v>8</v>
      </c>
    </row>
    <row r="2971" spans="1:8">
      <c r="A2971" t="str">
        <f t="shared" si="46"/>
        <v>Overkwartierstraat 9</v>
      </c>
      <c r="B2971" t="s">
        <v>574</v>
      </c>
      <c r="C2971" t="s">
        <v>306</v>
      </c>
      <c r="D2971">
        <v>1960</v>
      </c>
      <c r="E2971">
        <v>253</v>
      </c>
      <c r="F2971" t="s">
        <v>575</v>
      </c>
      <c r="G2971">
        <v>9</v>
      </c>
    </row>
    <row r="2972" spans="1:8">
      <c r="A2972" t="str">
        <f t="shared" si="46"/>
        <v>Overkwartierstraat 10</v>
      </c>
      <c r="B2972" t="s">
        <v>574</v>
      </c>
      <c r="C2972" t="s">
        <v>306</v>
      </c>
      <c r="D2972">
        <v>1960</v>
      </c>
      <c r="E2972">
        <v>208</v>
      </c>
      <c r="F2972" t="s">
        <v>575</v>
      </c>
      <c r="G2972">
        <v>10</v>
      </c>
    </row>
    <row r="2973" spans="1:8">
      <c r="A2973" t="str">
        <f t="shared" si="46"/>
        <v>Overkwartierstraat 11a</v>
      </c>
      <c r="B2973" t="s">
        <v>574</v>
      </c>
      <c r="C2973" t="s">
        <v>306</v>
      </c>
      <c r="D2973">
        <v>1962</v>
      </c>
      <c r="E2973">
        <v>20</v>
      </c>
      <c r="F2973" t="s">
        <v>575</v>
      </c>
      <c r="G2973">
        <v>11</v>
      </c>
      <c r="H2973" t="s">
        <v>304</v>
      </c>
    </row>
    <row r="2974" spans="1:8">
      <c r="A2974" t="str">
        <f t="shared" si="46"/>
        <v>Overkwartierstraat 11</v>
      </c>
      <c r="B2974" t="s">
        <v>574</v>
      </c>
      <c r="C2974" t="s">
        <v>306</v>
      </c>
      <c r="D2974">
        <v>1960</v>
      </c>
      <c r="E2974">
        <v>163</v>
      </c>
      <c r="F2974" t="s">
        <v>575</v>
      </c>
      <c r="G2974">
        <v>11</v>
      </c>
    </row>
    <row r="2975" spans="1:8">
      <c r="A2975" t="str">
        <f t="shared" si="46"/>
        <v>Overkwartierstraat 12</v>
      </c>
      <c r="B2975" t="s">
        <v>574</v>
      </c>
      <c r="C2975" t="s">
        <v>306</v>
      </c>
      <c r="D2975">
        <v>1960</v>
      </c>
      <c r="E2975">
        <v>138</v>
      </c>
      <c r="F2975" t="s">
        <v>575</v>
      </c>
      <c r="G2975">
        <v>12</v>
      </c>
    </row>
    <row r="2976" spans="1:8">
      <c r="A2976" t="str">
        <f t="shared" si="46"/>
        <v>Papenbergseweg 4</v>
      </c>
      <c r="B2976" t="s">
        <v>576</v>
      </c>
      <c r="C2976" t="s">
        <v>306</v>
      </c>
      <c r="D2976">
        <v>1946</v>
      </c>
      <c r="E2976">
        <v>101</v>
      </c>
      <c r="F2976" t="s">
        <v>577</v>
      </c>
      <c r="G2976">
        <v>4</v>
      </c>
    </row>
    <row r="2977" spans="1:7">
      <c r="A2977" t="str">
        <f t="shared" si="46"/>
        <v>Papenbergseweg 5</v>
      </c>
      <c r="B2977" t="s">
        <v>578</v>
      </c>
      <c r="C2977" t="s">
        <v>306</v>
      </c>
      <c r="D2977">
        <v>1960</v>
      </c>
      <c r="E2977">
        <v>195</v>
      </c>
      <c r="F2977" t="s">
        <v>577</v>
      </c>
      <c r="G2977">
        <v>5</v>
      </c>
    </row>
    <row r="2978" spans="1:7">
      <c r="A2978" t="str">
        <f t="shared" si="46"/>
        <v>Papenbergseweg 6</v>
      </c>
      <c r="B2978" t="s">
        <v>576</v>
      </c>
      <c r="C2978" t="s">
        <v>306</v>
      </c>
      <c r="D2978">
        <v>1946</v>
      </c>
      <c r="E2978">
        <v>110</v>
      </c>
      <c r="F2978" t="s">
        <v>577</v>
      </c>
      <c r="G2978">
        <v>6</v>
      </c>
    </row>
    <row r="2979" spans="1:7">
      <c r="A2979" t="str">
        <f t="shared" si="46"/>
        <v>Papenbergseweg 7</v>
      </c>
      <c r="B2979" t="s">
        <v>578</v>
      </c>
      <c r="C2979" t="s">
        <v>306</v>
      </c>
      <c r="D2979">
        <v>1968</v>
      </c>
      <c r="E2979">
        <v>147</v>
      </c>
      <c r="F2979" t="s">
        <v>577</v>
      </c>
      <c r="G2979">
        <v>7</v>
      </c>
    </row>
    <row r="2980" spans="1:7">
      <c r="A2980" t="str">
        <f t="shared" si="46"/>
        <v>Papenbergseweg 8</v>
      </c>
      <c r="B2980" t="s">
        <v>576</v>
      </c>
      <c r="C2980" t="s">
        <v>306</v>
      </c>
      <c r="D2980">
        <v>1946</v>
      </c>
      <c r="E2980">
        <v>137</v>
      </c>
      <c r="F2980" t="s">
        <v>577</v>
      </c>
      <c r="G2980">
        <v>8</v>
      </c>
    </row>
    <row r="2981" spans="1:7">
      <c r="A2981" t="str">
        <f t="shared" si="46"/>
        <v>Papenbergseweg 9</v>
      </c>
      <c r="B2981" t="s">
        <v>578</v>
      </c>
      <c r="C2981" t="s">
        <v>306</v>
      </c>
      <c r="D2981">
        <v>1960</v>
      </c>
      <c r="E2981">
        <v>362</v>
      </c>
      <c r="F2981" t="s">
        <v>577</v>
      </c>
      <c r="G2981">
        <v>9</v>
      </c>
    </row>
    <row r="2982" spans="1:7">
      <c r="A2982" t="str">
        <f t="shared" si="46"/>
        <v>Papenbergseweg 11</v>
      </c>
      <c r="B2982" t="s">
        <v>578</v>
      </c>
      <c r="C2982" t="s">
        <v>306</v>
      </c>
      <c r="D2982">
        <v>1967</v>
      </c>
      <c r="E2982">
        <v>152</v>
      </c>
      <c r="F2982" t="s">
        <v>577</v>
      </c>
      <c r="G2982">
        <v>11</v>
      </c>
    </row>
    <row r="2983" spans="1:7">
      <c r="A2983" t="str">
        <f t="shared" si="46"/>
        <v>Papenbergseweg 13</v>
      </c>
      <c r="B2983" t="s">
        <v>578</v>
      </c>
      <c r="C2983" t="s">
        <v>306</v>
      </c>
      <c r="D2983">
        <v>1960</v>
      </c>
      <c r="E2983">
        <v>73</v>
      </c>
      <c r="F2983" t="s">
        <v>577</v>
      </c>
      <c r="G2983">
        <v>13</v>
      </c>
    </row>
    <row r="2984" spans="1:7">
      <c r="A2984" t="str">
        <f t="shared" si="46"/>
        <v>Papenbergseweg 14</v>
      </c>
      <c r="B2984" t="s">
        <v>576</v>
      </c>
      <c r="C2984" t="s">
        <v>306</v>
      </c>
      <c r="D2984">
        <v>1973</v>
      </c>
      <c r="E2984">
        <v>326</v>
      </c>
      <c r="F2984" t="s">
        <v>577</v>
      </c>
      <c r="G2984">
        <v>14</v>
      </c>
    </row>
    <row r="2985" spans="1:7">
      <c r="A2985" t="str">
        <f t="shared" si="46"/>
        <v>Papenbergseweg 15</v>
      </c>
      <c r="B2985" t="s">
        <v>578</v>
      </c>
      <c r="C2985" t="s">
        <v>306</v>
      </c>
      <c r="D2985">
        <v>1939</v>
      </c>
      <c r="E2985">
        <v>99</v>
      </c>
      <c r="F2985" t="s">
        <v>577</v>
      </c>
      <c r="G2985">
        <v>15</v>
      </c>
    </row>
    <row r="2986" spans="1:7">
      <c r="A2986" t="str">
        <f t="shared" si="46"/>
        <v>Papenbergseweg 22</v>
      </c>
      <c r="B2986" t="s">
        <v>576</v>
      </c>
      <c r="C2986" t="s">
        <v>306</v>
      </c>
      <c r="D2986">
        <v>1961</v>
      </c>
      <c r="E2986">
        <v>224</v>
      </c>
      <c r="F2986" t="s">
        <v>577</v>
      </c>
      <c r="G2986">
        <v>22</v>
      </c>
    </row>
    <row r="2987" spans="1:7">
      <c r="A2987" t="str">
        <f t="shared" si="46"/>
        <v>Papenbergseweg 23</v>
      </c>
      <c r="B2987" t="s">
        <v>578</v>
      </c>
      <c r="C2987" t="s">
        <v>306</v>
      </c>
      <c r="D2987">
        <v>2007</v>
      </c>
      <c r="E2987">
        <v>302</v>
      </c>
      <c r="F2987" t="s">
        <v>577</v>
      </c>
      <c r="G2987">
        <v>23</v>
      </c>
    </row>
    <row r="2988" spans="1:7">
      <c r="A2988" t="str">
        <f t="shared" si="46"/>
        <v>Papenbergseweg 25</v>
      </c>
      <c r="B2988" t="s">
        <v>578</v>
      </c>
      <c r="C2988" t="s">
        <v>306</v>
      </c>
      <c r="D2988">
        <v>1950</v>
      </c>
      <c r="E2988">
        <v>185</v>
      </c>
      <c r="F2988" t="s">
        <v>577</v>
      </c>
      <c r="G2988">
        <v>25</v>
      </c>
    </row>
    <row r="2989" spans="1:7">
      <c r="A2989" t="str">
        <f t="shared" si="46"/>
        <v>Papenbergseweg 26</v>
      </c>
      <c r="B2989" t="s">
        <v>576</v>
      </c>
      <c r="C2989" t="s">
        <v>306</v>
      </c>
      <c r="D2989">
        <v>1965</v>
      </c>
      <c r="E2989">
        <v>105</v>
      </c>
      <c r="F2989" t="s">
        <v>577</v>
      </c>
      <c r="G2989">
        <v>26</v>
      </c>
    </row>
    <row r="2990" spans="1:7">
      <c r="A2990" t="str">
        <f t="shared" si="46"/>
        <v>Papenbergseweg 27</v>
      </c>
      <c r="B2990" t="s">
        <v>578</v>
      </c>
      <c r="C2990" t="s">
        <v>306</v>
      </c>
      <c r="D2990">
        <v>1935</v>
      </c>
      <c r="E2990">
        <v>239</v>
      </c>
      <c r="F2990" t="s">
        <v>577</v>
      </c>
      <c r="G2990">
        <v>27</v>
      </c>
    </row>
    <row r="2991" spans="1:7">
      <c r="A2991" t="str">
        <f t="shared" si="46"/>
        <v>Papenbergseweg 28</v>
      </c>
      <c r="B2991" t="s">
        <v>576</v>
      </c>
      <c r="C2991" t="s">
        <v>306</v>
      </c>
      <c r="D2991">
        <v>1985</v>
      </c>
      <c r="E2991">
        <v>134</v>
      </c>
      <c r="F2991" t="s">
        <v>577</v>
      </c>
      <c r="G2991">
        <v>28</v>
      </c>
    </row>
    <row r="2992" spans="1:7">
      <c r="A2992" t="str">
        <f t="shared" si="46"/>
        <v>Papenbergseweg 36</v>
      </c>
      <c r="B2992" t="s">
        <v>576</v>
      </c>
      <c r="C2992" t="s">
        <v>306</v>
      </c>
      <c r="D2992">
        <v>1973</v>
      </c>
      <c r="E2992">
        <v>171</v>
      </c>
      <c r="F2992" t="s">
        <v>577</v>
      </c>
      <c r="G2992">
        <v>36</v>
      </c>
    </row>
    <row r="2993" spans="1:7">
      <c r="A2993" t="str">
        <f t="shared" si="46"/>
        <v>Papenbergseweg 38</v>
      </c>
      <c r="B2993" t="s">
        <v>576</v>
      </c>
      <c r="C2993" t="s">
        <v>306</v>
      </c>
      <c r="D2993">
        <v>1963</v>
      </c>
      <c r="E2993">
        <v>256</v>
      </c>
      <c r="F2993" t="s">
        <v>577</v>
      </c>
      <c r="G2993">
        <v>38</v>
      </c>
    </row>
    <row r="2994" spans="1:7">
      <c r="A2994" t="str">
        <f t="shared" si="46"/>
        <v>Papenbergseweg 40</v>
      </c>
      <c r="B2994" t="s">
        <v>576</v>
      </c>
      <c r="C2994" t="s">
        <v>306</v>
      </c>
      <c r="D2994">
        <v>1993</v>
      </c>
      <c r="E2994">
        <v>278</v>
      </c>
      <c r="F2994" t="s">
        <v>577</v>
      </c>
      <c r="G2994">
        <v>40</v>
      </c>
    </row>
    <row r="2995" spans="1:7">
      <c r="A2995" t="str">
        <f t="shared" si="46"/>
        <v>Passionistenstraat 1</v>
      </c>
      <c r="B2995" t="s">
        <v>579</v>
      </c>
      <c r="C2995" t="s">
        <v>296</v>
      </c>
      <c r="D2995">
        <v>1991</v>
      </c>
      <c r="E2995">
        <v>172</v>
      </c>
      <c r="F2995" t="s">
        <v>580</v>
      </c>
      <c r="G2995">
        <v>1</v>
      </c>
    </row>
    <row r="2996" spans="1:7">
      <c r="A2996" t="str">
        <f t="shared" si="46"/>
        <v>Passionistenstraat 2</v>
      </c>
      <c r="B2996" t="s">
        <v>581</v>
      </c>
      <c r="C2996" t="s">
        <v>296</v>
      </c>
      <c r="D2996">
        <v>1991</v>
      </c>
      <c r="E2996">
        <v>172</v>
      </c>
      <c r="F2996" t="s">
        <v>580</v>
      </c>
      <c r="G2996">
        <v>2</v>
      </c>
    </row>
    <row r="2997" spans="1:7">
      <c r="A2997" t="str">
        <f t="shared" si="46"/>
        <v>Passionistenstraat 3</v>
      </c>
      <c r="B2997" t="s">
        <v>579</v>
      </c>
      <c r="C2997" t="s">
        <v>296</v>
      </c>
      <c r="D2997">
        <v>1991</v>
      </c>
      <c r="E2997">
        <v>165</v>
      </c>
      <c r="F2997" t="s">
        <v>580</v>
      </c>
      <c r="G2997">
        <v>3</v>
      </c>
    </row>
    <row r="2998" spans="1:7">
      <c r="A2998" t="str">
        <f t="shared" si="46"/>
        <v>Passionistenstraat 4</v>
      </c>
      <c r="B2998" t="s">
        <v>581</v>
      </c>
      <c r="C2998" t="s">
        <v>296</v>
      </c>
      <c r="D2998">
        <v>1991</v>
      </c>
      <c r="E2998">
        <v>154</v>
      </c>
      <c r="F2998" t="s">
        <v>580</v>
      </c>
      <c r="G2998">
        <v>4</v>
      </c>
    </row>
    <row r="2999" spans="1:7">
      <c r="A2999" t="str">
        <f t="shared" si="46"/>
        <v>Passionistenstraat 5</v>
      </c>
      <c r="B2999" t="s">
        <v>579</v>
      </c>
      <c r="C2999" t="s">
        <v>296</v>
      </c>
      <c r="D2999">
        <v>1991</v>
      </c>
      <c r="E2999">
        <v>166</v>
      </c>
      <c r="F2999" t="s">
        <v>580</v>
      </c>
      <c r="G2999">
        <v>5</v>
      </c>
    </row>
    <row r="3000" spans="1:7">
      <c r="A3000" t="str">
        <f t="shared" si="46"/>
        <v>Passionistenstraat 6</v>
      </c>
      <c r="B3000" t="s">
        <v>581</v>
      </c>
      <c r="C3000" t="s">
        <v>296</v>
      </c>
      <c r="D3000">
        <v>1991</v>
      </c>
      <c r="E3000">
        <v>153</v>
      </c>
      <c r="F3000" t="s">
        <v>580</v>
      </c>
      <c r="G3000">
        <v>6</v>
      </c>
    </row>
    <row r="3001" spans="1:7">
      <c r="A3001" t="str">
        <f t="shared" si="46"/>
        <v>Passionistenstraat 7</v>
      </c>
      <c r="B3001" t="s">
        <v>579</v>
      </c>
      <c r="C3001" t="s">
        <v>296</v>
      </c>
      <c r="D3001">
        <v>1991</v>
      </c>
      <c r="E3001">
        <v>166</v>
      </c>
      <c r="F3001" t="s">
        <v>580</v>
      </c>
      <c r="G3001">
        <v>7</v>
      </c>
    </row>
    <row r="3002" spans="1:7">
      <c r="A3002" t="str">
        <f t="shared" si="46"/>
        <v>Passionistenstraat 8</v>
      </c>
      <c r="B3002" t="s">
        <v>581</v>
      </c>
      <c r="C3002" t="s">
        <v>296</v>
      </c>
      <c r="D3002">
        <v>1991</v>
      </c>
      <c r="E3002">
        <v>158</v>
      </c>
      <c r="F3002" t="s">
        <v>580</v>
      </c>
      <c r="G3002">
        <v>8</v>
      </c>
    </row>
    <row r="3003" spans="1:7">
      <c r="A3003" t="str">
        <f t="shared" si="46"/>
        <v>Passionistenstraat 9</v>
      </c>
      <c r="B3003" t="s">
        <v>579</v>
      </c>
      <c r="C3003" t="s">
        <v>296</v>
      </c>
      <c r="D3003">
        <v>1991</v>
      </c>
      <c r="E3003">
        <v>211</v>
      </c>
      <c r="F3003" t="s">
        <v>580</v>
      </c>
      <c r="G3003">
        <v>9</v>
      </c>
    </row>
    <row r="3004" spans="1:7">
      <c r="A3004" t="str">
        <f t="shared" si="46"/>
        <v>Passionistenstraat 10</v>
      </c>
      <c r="B3004" t="s">
        <v>581</v>
      </c>
      <c r="C3004" t="s">
        <v>296</v>
      </c>
      <c r="D3004">
        <v>2004</v>
      </c>
      <c r="E3004">
        <v>112</v>
      </c>
      <c r="F3004" t="s">
        <v>580</v>
      </c>
      <c r="G3004">
        <v>10</v>
      </c>
    </row>
    <row r="3005" spans="1:7">
      <c r="A3005" t="str">
        <f t="shared" si="46"/>
        <v>Passionistenstraat 11</v>
      </c>
      <c r="B3005" t="s">
        <v>579</v>
      </c>
      <c r="C3005" t="s">
        <v>296</v>
      </c>
      <c r="D3005">
        <v>1991</v>
      </c>
      <c r="E3005">
        <v>166</v>
      </c>
      <c r="F3005" t="s">
        <v>580</v>
      </c>
      <c r="G3005">
        <v>11</v>
      </c>
    </row>
    <row r="3006" spans="1:7">
      <c r="A3006" t="str">
        <f t="shared" si="46"/>
        <v>Passionistenstraat 12</v>
      </c>
      <c r="B3006" t="s">
        <v>581</v>
      </c>
      <c r="C3006" t="s">
        <v>296</v>
      </c>
      <c r="D3006">
        <v>2004</v>
      </c>
      <c r="E3006">
        <v>118</v>
      </c>
      <c r="F3006" t="s">
        <v>580</v>
      </c>
      <c r="G3006">
        <v>12</v>
      </c>
    </row>
    <row r="3007" spans="1:7">
      <c r="A3007" t="str">
        <f t="shared" si="46"/>
        <v>Passionistenstraat 13</v>
      </c>
      <c r="B3007" t="s">
        <v>579</v>
      </c>
      <c r="C3007" t="s">
        <v>296</v>
      </c>
      <c r="D3007">
        <v>1991</v>
      </c>
      <c r="E3007">
        <v>167</v>
      </c>
      <c r="F3007" t="s">
        <v>580</v>
      </c>
      <c r="G3007">
        <v>13</v>
      </c>
    </row>
    <row r="3008" spans="1:7">
      <c r="A3008" t="str">
        <f t="shared" si="46"/>
        <v>Passionistenstraat 14</v>
      </c>
      <c r="B3008" t="s">
        <v>581</v>
      </c>
      <c r="C3008" t="s">
        <v>296</v>
      </c>
      <c r="D3008">
        <v>2004</v>
      </c>
      <c r="E3008">
        <v>120</v>
      </c>
      <c r="F3008" t="s">
        <v>580</v>
      </c>
      <c r="G3008">
        <v>14</v>
      </c>
    </row>
    <row r="3009" spans="1:8">
      <c r="A3009" t="str">
        <f t="shared" si="46"/>
        <v>Passionistenstraat 15</v>
      </c>
      <c r="B3009" t="s">
        <v>579</v>
      </c>
      <c r="C3009" t="s">
        <v>296</v>
      </c>
      <c r="D3009">
        <v>1991</v>
      </c>
      <c r="E3009">
        <v>182</v>
      </c>
      <c r="F3009" t="s">
        <v>580</v>
      </c>
      <c r="G3009">
        <v>15</v>
      </c>
    </row>
    <row r="3010" spans="1:8">
      <c r="A3010" t="str">
        <f t="shared" ref="A3010:A3073" si="47">CONCATENATE(F3010," ",G3010,H3010)</f>
        <v>Passionistenstraat 16</v>
      </c>
      <c r="B3010" t="s">
        <v>581</v>
      </c>
      <c r="C3010" t="s">
        <v>296</v>
      </c>
      <c r="D3010">
        <v>2004</v>
      </c>
      <c r="E3010">
        <v>106</v>
      </c>
      <c r="F3010" t="s">
        <v>580</v>
      </c>
      <c r="G3010">
        <v>16</v>
      </c>
    </row>
    <row r="3011" spans="1:8">
      <c r="A3011" t="str">
        <f t="shared" si="47"/>
        <v>Passionistenstraat 17</v>
      </c>
      <c r="B3011" t="s">
        <v>579</v>
      </c>
      <c r="C3011" t="s">
        <v>296</v>
      </c>
      <c r="D3011">
        <v>1991</v>
      </c>
      <c r="E3011">
        <v>170</v>
      </c>
      <c r="F3011" t="s">
        <v>580</v>
      </c>
      <c r="G3011">
        <v>17</v>
      </c>
    </row>
    <row r="3012" spans="1:8">
      <c r="A3012" t="str">
        <f t="shared" si="47"/>
        <v>Passionistenstraat 18</v>
      </c>
      <c r="B3012" t="s">
        <v>581</v>
      </c>
      <c r="C3012" t="s">
        <v>296</v>
      </c>
      <c r="D3012">
        <v>2004</v>
      </c>
      <c r="E3012">
        <v>111</v>
      </c>
      <c r="F3012" t="s">
        <v>580</v>
      </c>
      <c r="G3012">
        <v>18</v>
      </c>
    </row>
    <row r="3013" spans="1:8">
      <c r="A3013" t="str">
        <f t="shared" si="47"/>
        <v>Passionistenstraat 19</v>
      </c>
      <c r="B3013" t="s">
        <v>579</v>
      </c>
      <c r="C3013" t="s">
        <v>296</v>
      </c>
      <c r="D3013">
        <v>1991</v>
      </c>
      <c r="E3013">
        <v>166</v>
      </c>
      <c r="F3013" t="s">
        <v>580</v>
      </c>
      <c r="G3013">
        <v>19</v>
      </c>
    </row>
    <row r="3014" spans="1:8">
      <c r="A3014" t="str">
        <f t="shared" si="47"/>
        <v>Passionistenstraat 20</v>
      </c>
      <c r="B3014" t="s">
        <v>581</v>
      </c>
      <c r="C3014" t="s">
        <v>296</v>
      </c>
      <c r="D3014">
        <v>2004</v>
      </c>
      <c r="E3014">
        <v>112</v>
      </c>
      <c r="F3014" t="s">
        <v>580</v>
      </c>
      <c r="G3014">
        <v>20</v>
      </c>
    </row>
    <row r="3015" spans="1:8">
      <c r="A3015" t="str">
        <f t="shared" si="47"/>
        <v>Passionistenstraat 21</v>
      </c>
      <c r="B3015" t="s">
        <v>579</v>
      </c>
      <c r="C3015" t="s">
        <v>296</v>
      </c>
      <c r="D3015">
        <v>1991</v>
      </c>
      <c r="E3015">
        <v>149</v>
      </c>
      <c r="F3015" t="s">
        <v>580</v>
      </c>
      <c r="G3015">
        <v>21</v>
      </c>
    </row>
    <row r="3016" spans="1:8">
      <c r="A3016" t="str">
        <f t="shared" si="47"/>
        <v>Passionistenstraat 22</v>
      </c>
      <c r="B3016" t="s">
        <v>581</v>
      </c>
      <c r="C3016" t="s">
        <v>296</v>
      </c>
      <c r="D3016">
        <v>2004</v>
      </c>
      <c r="E3016">
        <v>111</v>
      </c>
      <c r="F3016" t="s">
        <v>580</v>
      </c>
      <c r="G3016">
        <v>22</v>
      </c>
    </row>
    <row r="3017" spans="1:8">
      <c r="A3017" t="str">
        <f t="shared" si="47"/>
        <v>Passionistenstraat 24</v>
      </c>
      <c r="B3017" t="s">
        <v>581</v>
      </c>
      <c r="C3017" t="s">
        <v>296</v>
      </c>
      <c r="D3017">
        <v>2004</v>
      </c>
      <c r="E3017">
        <v>112</v>
      </c>
      <c r="F3017" t="s">
        <v>580</v>
      </c>
      <c r="G3017">
        <v>24</v>
      </c>
    </row>
    <row r="3018" spans="1:8">
      <c r="A3018" t="str">
        <f t="shared" si="47"/>
        <v>Passionistenstraat 26</v>
      </c>
      <c r="B3018" t="s">
        <v>581</v>
      </c>
      <c r="C3018" t="s">
        <v>296</v>
      </c>
      <c r="D3018">
        <v>2004</v>
      </c>
      <c r="E3018">
        <v>117</v>
      </c>
      <c r="F3018" t="s">
        <v>580</v>
      </c>
      <c r="G3018">
        <v>26</v>
      </c>
    </row>
    <row r="3019" spans="1:8">
      <c r="A3019" t="str">
        <f t="shared" si="47"/>
        <v>Passionistenstraat 28a</v>
      </c>
      <c r="C3019" t="s">
        <v>296</v>
      </c>
      <c r="D3019">
        <v>2004</v>
      </c>
      <c r="E3019">
        <v>17</v>
      </c>
      <c r="F3019" t="s">
        <v>580</v>
      </c>
      <c r="G3019">
        <v>28</v>
      </c>
      <c r="H3019" t="s">
        <v>304</v>
      </c>
    </row>
    <row r="3020" spans="1:8">
      <c r="A3020" t="str">
        <f t="shared" si="47"/>
        <v>Passionistenstraat 28b</v>
      </c>
      <c r="C3020" t="s">
        <v>296</v>
      </c>
      <c r="D3020">
        <v>2004</v>
      </c>
      <c r="E3020">
        <v>16</v>
      </c>
      <c r="F3020" t="s">
        <v>580</v>
      </c>
      <c r="G3020">
        <v>28</v>
      </c>
      <c r="H3020" t="s">
        <v>298</v>
      </c>
    </row>
    <row r="3021" spans="1:8">
      <c r="A3021" t="str">
        <f t="shared" si="47"/>
        <v>Passionistenstraat 28c</v>
      </c>
      <c r="C3021" t="s">
        <v>296</v>
      </c>
      <c r="D3021">
        <v>2004</v>
      </c>
      <c r="E3021">
        <v>127</v>
      </c>
      <c r="F3021" t="s">
        <v>580</v>
      </c>
      <c r="G3021">
        <v>28</v>
      </c>
      <c r="H3021" t="s">
        <v>299</v>
      </c>
    </row>
    <row r="3022" spans="1:8">
      <c r="A3022" t="str">
        <f t="shared" si="47"/>
        <v>Passionistenstraat 28d</v>
      </c>
      <c r="C3022" t="s">
        <v>296</v>
      </c>
      <c r="D3022">
        <v>2004</v>
      </c>
      <c r="E3022">
        <v>16</v>
      </c>
      <c r="F3022" t="s">
        <v>580</v>
      </c>
      <c r="G3022">
        <v>28</v>
      </c>
      <c r="H3022" t="s">
        <v>300</v>
      </c>
    </row>
    <row r="3023" spans="1:8">
      <c r="A3023" t="str">
        <f t="shared" si="47"/>
        <v>Passionistenstraat 28e</v>
      </c>
      <c r="C3023" t="s">
        <v>296</v>
      </c>
      <c r="D3023">
        <v>2004</v>
      </c>
      <c r="E3023">
        <v>129</v>
      </c>
      <c r="F3023" t="s">
        <v>580</v>
      </c>
      <c r="G3023">
        <v>28</v>
      </c>
      <c r="H3023" t="s">
        <v>319</v>
      </c>
    </row>
    <row r="3024" spans="1:8">
      <c r="A3024" t="str">
        <f t="shared" si="47"/>
        <v>Passionistenstraat 28f</v>
      </c>
      <c r="C3024" t="s">
        <v>296</v>
      </c>
      <c r="D3024">
        <v>2004</v>
      </c>
      <c r="E3024">
        <v>17</v>
      </c>
      <c r="F3024" t="s">
        <v>580</v>
      </c>
      <c r="G3024">
        <v>28</v>
      </c>
      <c r="H3024" t="s">
        <v>329</v>
      </c>
    </row>
    <row r="3025" spans="1:8">
      <c r="A3025" t="str">
        <f t="shared" si="47"/>
        <v>Passionistenstraat 28</v>
      </c>
      <c r="B3025" t="s">
        <v>581</v>
      </c>
      <c r="C3025" t="s">
        <v>296</v>
      </c>
      <c r="D3025">
        <v>2004</v>
      </c>
      <c r="E3025">
        <v>125</v>
      </c>
      <c r="F3025" t="s">
        <v>580</v>
      </c>
      <c r="G3025">
        <v>28</v>
      </c>
    </row>
    <row r="3026" spans="1:8">
      <c r="A3026" t="str">
        <f t="shared" si="47"/>
        <v>Passionistenstraat 29a</v>
      </c>
      <c r="C3026" t="s">
        <v>296</v>
      </c>
      <c r="D3026">
        <v>1980</v>
      </c>
      <c r="E3026">
        <v>143</v>
      </c>
      <c r="F3026" t="s">
        <v>580</v>
      </c>
      <c r="G3026">
        <v>29</v>
      </c>
      <c r="H3026" t="s">
        <v>304</v>
      </c>
    </row>
    <row r="3027" spans="1:8">
      <c r="A3027" t="str">
        <f t="shared" si="47"/>
        <v>Passionistenstraat 29b</v>
      </c>
      <c r="C3027" t="s">
        <v>296</v>
      </c>
      <c r="D3027">
        <v>1980</v>
      </c>
      <c r="E3027">
        <v>271</v>
      </c>
      <c r="F3027" t="s">
        <v>580</v>
      </c>
      <c r="G3027">
        <v>29</v>
      </c>
      <c r="H3027" t="s">
        <v>298</v>
      </c>
    </row>
    <row r="3028" spans="1:8">
      <c r="A3028" t="str">
        <f t="shared" si="47"/>
        <v>Passionistenstraat 29c</v>
      </c>
      <c r="C3028" t="s">
        <v>296</v>
      </c>
      <c r="D3028">
        <v>1980</v>
      </c>
      <c r="E3028">
        <v>271</v>
      </c>
      <c r="F3028" t="s">
        <v>580</v>
      </c>
      <c r="G3028">
        <v>29</v>
      </c>
      <c r="H3028" t="s">
        <v>299</v>
      </c>
    </row>
    <row r="3029" spans="1:8">
      <c r="A3029" t="str">
        <f t="shared" si="47"/>
        <v>Pastoor Driessenstraat 2</v>
      </c>
      <c r="B3029" t="s">
        <v>582</v>
      </c>
      <c r="C3029" t="s">
        <v>302</v>
      </c>
      <c r="D3029">
        <v>1978</v>
      </c>
      <c r="E3029">
        <v>207</v>
      </c>
      <c r="F3029" t="s">
        <v>583</v>
      </c>
      <c r="G3029">
        <v>2</v>
      </c>
    </row>
    <row r="3030" spans="1:8">
      <c r="A3030" t="str">
        <f t="shared" si="47"/>
        <v>Pastoor Driessenstraat 4</v>
      </c>
      <c r="B3030" t="s">
        <v>582</v>
      </c>
      <c r="C3030" t="s">
        <v>302</v>
      </c>
      <c r="D3030">
        <v>1978</v>
      </c>
      <c r="E3030">
        <v>146</v>
      </c>
      <c r="F3030" t="s">
        <v>583</v>
      </c>
      <c r="G3030">
        <v>4</v>
      </c>
    </row>
    <row r="3031" spans="1:8">
      <c r="A3031" t="str">
        <f t="shared" si="47"/>
        <v>Pastoor Driessenstraat 6</v>
      </c>
      <c r="B3031" t="s">
        <v>582</v>
      </c>
      <c r="C3031" t="s">
        <v>302</v>
      </c>
      <c r="D3031">
        <v>1978</v>
      </c>
      <c r="E3031">
        <v>204</v>
      </c>
      <c r="F3031" t="s">
        <v>583</v>
      </c>
      <c r="G3031">
        <v>6</v>
      </c>
    </row>
    <row r="3032" spans="1:8">
      <c r="A3032" t="str">
        <f t="shared" si="47"/>
        <v>Pastoor Fabritiusstraat 1</v>
      </c>
      <c r="B3032" t="s">
        <v>584</v>
      </c>
      <c r="C3032" t="s">
        <v>306</v>
      </c>
      <c r="D3032">
        <v>1962</v>
      </c>
      <c r="E3032">
        <v>97</v>
      </c>
      <c r="F3032" t="s">
        <v>585</v>
      </c>
      <c r="G3032">
        <v>1</v>
      </c>
    </row>
    <row r="3033" spans="1:8">
      <c r="A3033" t="str">
        <f t="shared" si="47"/>
        <v>Pastoor Fabritiusstraat 2</v>
      </c>
      <c r="B3033" t="s">
        <v>586</v>
      </c>
      <c r="C3033" t="s">
        <v>306</v>
      </c>
      <c r="D3033">
        <v>1955</v>
      </c>
      <c r="E3033">
        <v>123</v>
      </c>
      <c r="F3033" t="s">
        <v>585</v>
      </c>
      <c r="G3033">
        <v>2</v>
      </c>
    </row>
    <row r="3034" spans="1:8">
      <c r="A3034" t="str">
        <f t="shared" si="47"/>
        <v>Pastoor Fabritiusstraat 3</v>
      </c>
      <c r="B3034" t="s">
        <v>584</v>
      </c>
      <c r="C3034" t="s">
        <v>306</v>
      </c>
      <c r="D3034">
        <v>1962</v>
      </c>
      <c r="E3034">
        <v>146</v>
      </c>
      <c r="F3034" t="s">
        <v>585</v>
      </c>
      <c r="G3034">
        <v>3</v>
      </c>
    </row>
    <row r="3035" spans="1:8">
      <c r="A3035" t="str">
        <f t="shared" si="47"/>
        <v>Pastoor Fabritiusstraat 4</v>
      </c>
      <c r="B3035" t="s">
        <v>586</v>
      </c>
      <c r="C3035" t="s">
        <v>306</v>
      </c>
      <c r="D3035">
        <v>1960</v>
      </c>
      <c r="E3035">
        <v>127</v>
      </c>
      <c r="F3035" t="s">
        <v>585</v>
      </c>
      <c r="G3035">
        <v>4</v>
      </c>
    </row>
    <row r="3036" spans="1:8">
      <c r="A3036" t="str">
        <f t="shared" si="47"/>
        <v>Pastoor Fabritiusstraat 6</v>
      </c>
      <c r="B3036" t="s">
        <v>586</v>
      </c>
      <c r="C3036" t="s">
        <v>306</v>
      </c>
      <c r="D3036">
        <v>1955</v>
      </c>
      <c r="E3036">
        <v>137</v>
      </c>
      <c r="F3036" t="s">
        <v>585</v>
      </c>
      <c r="G3036">
        <v>6</v>
      </c>
    </row>
    <row r="3037" spans="1:8">
      <c r="A3037" t="str">
        <f t="shared" si="47"/>
        <v>Pastoor Fabritiusstraat 8</v>
      </c>
      <c r="B3037" t="s">
        <v>586</v>
      </c>
      <c r="C3037" t="s">
        <v>306</v>
      </c>
      <c r="D3037">
        <v>1958</v>
      </c>
      <c r="E3037">
        <v>168</v>
      </c>
      <c r="F3037" t="s">
        <v>585</v>
      </c>
      <c r="G3037">
        <v>8</v>
      </c>
    </row>
    <row r="3038" spans="1:8">
      <c r="A3038" t="str">
        <f t="shared" si="47"/>
        <v>Pastoor Fabritiusstraat 10</v>
      </c>
      <c r="B3038" t="s">
        <v>586</v>
      </c>
      <c r="C3038" t="s">
        <v>306</v>
      </c>
      <c r="D3038">
        <v>1959</v>
      </c>
      <c r="E3038">
        <v>169</v>
      </c>
      <c r="F3038" t="s">
        <v>585</v>
      </c>
      <c r="G3038">
        <v>10</v>
      </c>
    </row>
    <row r="3039" spans="1:8">
      <c r="A3039" t="str">
        <f t="shared" si="47"/>
        <v>Pastoor Fabritiusstraat 12</v>
      </c>
      <c r="B3039" t="s">
        <v>586</v>
      </c>
      <c r="C3039" t="s">
        <v>306</v>
      </c>
      <c r="D3039">
        <v>1957</v>
      </c>
      <c r="E3039">
        <v>158</v>
      </c>
      <c r="F3039" t="s">
        <v>585</v>
      </c>
      <c r="G3039">
        <v>12</v>
      </c>
    </row>
    <row r="3040" spans="1:8">
      <c r="A3040" t="str">
        <f t="shared" si="47"/>
        <v>Pastoor Fabritiusstraat 14</v>
      </c>
      <c r="B3040" t="s">
        <v>586</v>
      </c>
      <c r="C3040" t="s">
        <v>306</v>
      </c>
      <c r="D3040">
        <v>1957</v>
      </c>
      <c r="E3040">
        <v>115</v>
      </c>
      <c r="F3040" t="s">
        <v>585</v>
      </c>
      <c r="G3040">
        <v>14</v>
      </c>
    </row>
    <row r="3041" spans="1:7">
      <c r="A3041" t="str">
        <f t="shared" si="47"/>
        <v>Pastoor Fabritiusstraat 19</v>
      </c>
      <c r="B3041" t="s">
        <v>584</v>
      </c>
      <c r="C3041" t="s">
        <v>306</v>
      </c>
      <c r="D3041">
        <v>1953</v>
      </c>
      <c r="E3041">
        <v>103</v>
      </c>
      <c r="F3041" t="s">
        <v>585</v>
      </c>
      <c r="G3041">
        <v>19</v>
      </c>
    </row>
    <row r="3042" spans="1:7">
      <c r="A3042" t="str">
        <f t="shared" si="47"/>
        <v>Pastoor Fabritiusstraat 21</v>
      </c>
      <c r="B3042" t="s">
        <v>584</v>
      </c>
      <c r="C3042" t="s">
        <v>306</v>
      </c>
      <c r="D3042">
        <v>1953</v>
      </c>
      <c r="E3042">
        <v>85</v>
      </c>
      <c r="F3042" t="s">
        <v>585</v>
      </c>
      <c r="G3042">
        <v>21</v>
      </c>
    </row>
    <row r="3043" spans="1:7">
      <c r="A3043" t="str">
        <f t="shared" si="47"/>
        <v>Pastoor Fabritiusstraat 22</v>
      </c>
      <c r="B3043" t="s">
        <v>586</v>
      </c>
      <c r="C3043" t="s">
        <v>306</v>
      </c>
      <c r="D3043">
        <v>1958</v>
      </c>
      <c r="E3043">
        <v>111</v>
      </c>
      <c r="F3043" t="s">
        <v>585</v>
      </c>
      <c r="G3043">
        <v>22</v>
      </c>
    </row>
    <row r="3044" spans="1:7">
      <c r="A3044" t="str">
        <f t="shared" si="47"/>
        <v>Pastoor Fabritiusstraat 23</v>
      </c>
      <c r="B3044" t="s">
        <v>584</v>
      </c>
      <c r="C3044" t="s">
        <v>306</v>
      </c>
      <c r="D3044">
        <v>1953</v>
      </c>
      <c r="E3044">
        <v>85</v>
      </c>
      <c r="F3044" t="s">
        <v>585</v>
      </c>
      <c r="G3044">
        <v>23</v>
      </c>
    </row>
    <row r="3045" spans="1:7">
      <c r="A3045" t="str">
        <f t="shared" si="47"/>
        <v>Pastoor Fabritiusstraat 24</v>
      </c>
      <c r="B3045" t="s">
        <v>586</v>
      </c>
      <c r="C3045" t="s">
        <v>306</v>
      </c>
      <c r="D3045">
        <v>1958</v>
      </c>
      <c r="E3045">
        <v>110</v>
      </c>
      <c r="F3045" t="s">
        <v>585</v>
      </c>
      <c r="G3045">
        <v>24</v>
      </c>
    </row>
    <row r="3046" spans="1:7">
      <c r="A3046" t="str">
        <f t="shared" si="47"/>
        <v>Pastoor Fabritiusstraat 25</v>
      </c>
      <c r="B3046" t="s">
        <v>584</v>
      </c>
      <c r="C3046" t="s">
        <v>306</v>
      </c>
      <c r="D3046">
        <v>1953</v>
      </c>
      <c r="E3046">
        <v>114</v>
      </c>
      <c r="F3046" t="s">
        <v>585</v>
      </c>
      <c r="G3046">
        <v>25</v>
      </c>
    </row>
    <row r="3047" spans="1:7">
      <c r="A3047" t="str">
        <f t="shared" si="47"/>
        <v>Pastoor Fabritiusstraat 26</v>
      </c>
      <c r="B3047" t="s">
        <v>586</v>
      </c>
      <c r="C3047" t="s">
        <v>306</v>
      </c>
      <c r="D3047">
        <v>1956</v>
      </c>
      <c r="E3047">
        <v>150</v>
      </c>
      <c r="F3047" t="s">
        <v>585</v>
      </c>
      <c r="G3047">
        <v>26</v>
      </c>
    </row>
    <row r="3048" spans="1:7">
      <c r="A3048" t="str">
        <f t="shared" si="47"/>
        <v>Pastoor Fabritiusstraat 27</v>
      </c>
      <c r="B3048" t="s">
        <v>584</v>
      </c>
      <c r="C3048" t="s">
        <v>306</v>
      </c>
      <c r="D3048">
        <v>1953</v>
      </c>
      <c r="E3048">
        <v>92</v>
      </c>
      <c r="F3048" t="s">
        <v>585</v>
      </c>
      <c r="G3048">
        <v>27</v>
      </c>
    </row>
    <row r="3049" spans="1:7">
      <c r="A3049" t="str">
        <f t="shared" si="47"/>
        <v>Pastoor Fabritiusstraat 28</v>
      </c>
      <c r="B3049" t="s">
        <v>586</v>
      </c>
      <c r="C3049" t="s">
        <v>306</v>
      </c>
      <c r="D3049">
        <v>1956</v>
      </c>
      <c r="E3049">
        <v>124</v>
      </c>
      <c r="F3049" t="s">
        <v>585</v>
      </c>
      <c r="G3049">
        <v>28</v>
      </c>
    </row>
    <row r="3050" spans="1:7">
      <c r="A3050" t="str">
        <f t="shared" si="47"/>
        <v>Pastoor Fabritiusstraat 29</v>
      </c>
      <c r="B3050" t="s">
        <v>584</v>
      </c>
      <c r="C3050" t="s">
        <v>306</v>
      </c>
      <c r="D3050">
        <v>1953</v>
      </c>
      <c r="E3050">
        <v>97</v>
      </c>
      <c r="F3050" t="s">
        <v>585</v>
      </c>
      <c r="G3050">
        <v>29</v>
      </c>
    </row>
    <row r="3051" spans="1:7">
      <c r="A3051" t="str">
        <f t="shared" si="47"/>
        <v>Pastoor Fabritiusstraat 30</v>
      </c>
      <c r="B3051" t="s">
        <v>586</v>
      </c>
      <c r="C3051" t="s">
        <v>306</v>
      </c>
      <c r="D3051">
        <v>1956</v>
      </c>
      <c r="E3051">
        <v>112</v>
      </c>
      <c r="F3051" t="s">
        <v>585</v>
      </c>
      <c r="G3051">
        <v>30</v>
      </c>
    </row>
    <row r="3052" spans="1:7">
      <c r="A3052" t="str">
        <f t="shared" si="47"/>
        <v>Pastoor Fabritiusstraat 31</v>
      </c>
      <c r="B3052" t="s">
        <v>584</v>
      </c>
      <c r="C3052" t="s">
        <v>306</v>
      </c>
      <c r="D3052">
        <v>1953</v>
      </c>
      <c r="E3052">
        <v>143</v>
      </c>
      <c r="F3052" t="s">
        <v>585</v>
      </c>
      <c r="G3052">
        <v>31</v>
      </c>
    </row>
    <row r="3053" spans="1:7">
      <c r="A3053" t="str">
        <f t="shared" si="47"/>
        <v>Pastoor Fabritiusstraat 32</v>
      </c>
      <c r="B3053" t="s">
        <v>586</v>
      </c>
      <c r="C3053" t="s">
        <v>306</v>
      </c>
      <c r="D3053">
        <v>1956</v>
      </c>
      <c r="E3053">
        <v>167</v>
      </c>
      <c r="F3053" t="s">
        <v>585</v>
      </c>
      <c r="G3053">
        <v>32</v>
      </c>
    </row>
    <row r="3054" spans="1:7">
      <c r="A3054" t="str">
        <f t="shared" si="47"/>
        <v>Pastoor Fabritiusstraat 33</v>
      </c>
      <c r="B3054" t="s">
        <v>584</v>
      </c>
      <c r="C3054" t="s">
        <v>306</v>
      </c>
      <c r="D3054">
        <v>1953</v>
      </c>
      <c r="E3054">
        <v>112</v>
      </c>
      <c r="F3054" t="s">
        <v>585</v>
      </c>
      <c r="G3054">
        <v>33</v>
      </c>
    </row>
    <row r="3055" spans="1:7">
      <c r="A3055" t="str">
        <f t="shared" si="47"/>
        <v>Pastoor Fabritiusstraat 34</v>
      </c>
      <c r="B3055" t="s">
        <v>586</v>
      </c>
      <c r="C3055" t="s">
        <v>306</v>
      </c>
      <c r="D3055">
        <v>1958</v>
      </c>
      <c r="E3055">
        <v>109</v>
      </c>
      <c r="F3055" t="s">
        <v>585</v>
      </c>
      <c r="G3055">
        <v>34</v>
      </c>
    </row>
    <row r="3056" spans="1:7">
      <c r="A3056" t="str">
        <f t="shared" si="47"/>
        <v>Pastoor Fabritiusstraat 35</v>
      </c>
      <c r="B3056" t="s">
        <v>584</v>
      </c>
      <c r="C3056" t="s">
        <v>306</v>
      </c>
      <c r="D3056">
        <v>1962</v>
      </c>
      <c r="E3056">
        <v>84</v>
      </c>
      <c r="F3056" t="s">
        <v>585</v>
      </c>
      <c r="G3056">
        <v>35</v>
      </c>
    </row>
    <row r="3057" spans="1:7">
      <c r="A3057" t="str">
        <f t="shared" si="47"/>
        <v>Pastoor Fabritiusstraat 37</v>
      </c>
      <c r="B3057" t="s">
        <v>584</v>
      </c>
      <c r="C3057" t="s">
        <v>306</v>
      </c>
      <c r="D3057">
        <v>1961</v>
      </c>
      <c r="E3057">
        <v>143</v>
      </c>
      <c r="F3057" t="s">
        <v>585</v>
      </c>
      <c r="G3057">
        <v>37</v>
      </c>
    </row>
    <row r="3058" spans="1:7">
      <c r="A3058" t="str">
        <f t="shared" si="47"/>
        <v>Pastoor Fabritiusstraat 39</v>
      </c>
      <c r="B3058" t="s">
        <v>584</v>
      </c>
      <c r="C3058" t="s">
        <v>306</v>
      </c>
      <c r="D3058">
        <v>1961</v>
      </c>
      <c r="E3058">
        <v>105</v>
      </c>
      <c r="F3058" t="s">
        <v>585</v>
      </c>
      <c r="G3058">
        <v>39</v>
      </c>
    </row>
    <row r="3059" spans="1:7">
      <c r="A3059" t="str">
        <f t="shared" si="47"/>
        <v>Pastoor Fabritiusstraat 40</v>
      </c>
      <c r="B3059" t="s">
        <v>587</v>
      </c>
      <c r="C3059" t="s">
        <v>306</v>
      </c>
      <c r="D3059">
        <v>1956</v>
      </c>
      <c r="E3059">
        <v>119</v>
      </c>
      <c r="F3059" t="s">
        <v>585</v>
      </c>
      <c r="G3059">
        <v>40</v>
      </c>
    </row>
    <row r="3060" spans="1:7">
      <c r="A3060" t="str">
        <f t="shared" si="47"/>
        <v>Pastoor Fabritiusstraat 41</v>
      </c>
      <c r="B3060" t="s">
        <v>584</v>
      </c>
      <c r="C3060" t="s">
        <v>306</v>
      </c>
      <c r="D3060">
        <v>1961</v>
      </c>
      <c r="E3060">
        <v>232</v>
      </c>
      <c r="F3060" t="s">
        <v>585</v>
      </c>
      <c r="G3060">
        <v>41</v>
      </c>
    </row>
    <row r="3061" spans="1:7">
      <c r="A3061" t="str">
        <f t="shared" si="47"/>
        <v>Pastoor Fabritiusstraat 42</v>
      </c>
      <c r="B3061" t="s">
        <v>587</v>
      </c>
      <c r="C3061" t="s">
        <v>306</v>
      </c>
      <c r="D3061">
        <v>1956</v>
      </c>
      <c r="E3061">
        <v>121</v>
      </c>
      <c r="F3061" t="s">
        <v>585</v>
      </c>
      <c r="G3061">
        <v>42</v>
      </c>
    </row>
    <row r="3062" spans="1:7">
      <c r="A3062" t="str">
        <f t="shared" si="47"/>
        <v>Pastoor Fabritiusstraat 43</v>
      </c>
      <c r="B3062" t="s">
        <v>584</v>
      </c>
      <c r="C3062" t="s">
        <v>306</v>
      </c>
      <c r="D3062">
        <v>1953</v>
      </c>
      <c r="E3062">
        <v>177</v>
      </c>
      <c r="F3062" t="s">
        <v>585</v>
      </c>
      <c r="G3062">
        <v>43</v>
      </c>
    </row>
    <row r="3063" spans="1:7">
      <c r="A3063" t="str">
        <f t="shared" si="47"/>
        <v>Pastoor Fabritiusstraat 44</v>
      </c>
      <c r="B3063" t="s">
        <v>587</v>
      </c>
      <c r="C3063" t="s">
        <v>306</v>
      </c>
      <c r="D3063">
        <v>1956</v>
      </c>
      <c r="E3063">
        <v>111</v>
      </c>
      <c r="F3063" t="s">
        <v>585</v>
      </c>
      <c r="G3063">
        <v>44</v>
      </c>
    </row>
    <row r="3064" spans="1:7">
      <c r="A3064" t="str">
        <f t="shared" si="47"/>
        <v>Pastoor Fabritiusstraat 45</v>
      </c>
      <c r="B3064" t="s">
        <v>584</v>
      </c>
      <c r="C3064" t="s">
        <v>306</v>
      </c>
      <c r="D3064">
        <v>1967</v>
      </c>
      <c r="E3064">
        <v>209</v>
      </c>
      <c r="F3064" t="s">
        <v>585</v>
      </c>
      <c r="G3064">
        <v>45</v>
      </c>
    </row>
    <row r="3065" spans="1:7">
      <c r="A3065" t="str">
        <f t="shared" si="47"/>
        <v>Pastoor Fabritiusstraat 46</v>
      </c>
      <c r="B3065" t="s">
        <v>587</v>
      </c>
      <c r="C3065" t="s">
        <v>306</v>
      </c>
      <c r="D3065">
        <v>1956</v>
      </c>
      <c r="E3065">
        <v>186</v>
      </c>
      <c r="F3065" t="s">
        <v>585</v>
      </c>
      <c r="G3065">
        <v>46</v>
      </c>
    </row>
    <row r="3066" spans="1:7">
      <c r="A3066" t="str">
        <f t="shared" si="47"/>
        <v>Pastoor Fabritiusstraat 47</v>
      </c>
      <c r="B3066" t="s">
        <v>588</v>
      </c>
      <c r="C3066" t="s">
        <v>306</v>
      </c>
      <c r="D3066">
        <v>1960</v>
      </c>
      <c r="E3066">
        <v>119</v>
      </c>
      <c r="F3066" t="s">
        <v>585</v>
      </c>
      <c r="G3066">
        <v>47</v>
      </c>
    </row>
    <row r="3067" spans="1:7">
      <c r="A3067" t="str">
        <f t="shared" si="47"/>
        <v>Pastoor Fabritiusstraat 48</v>
      </c>
      <c r="B3067" t="s">
        <v>587</v>
      </c>
      <c r="C3067" t="s">
        <v>306</v>
      </c>
      <c r="D3067">
        <v>1973</v>
      </c>
      <c r="E3067">
        <v>127</v>
      </c>
      <c r="F3067" t="s">
        <v>585</v>
      </c>
      <c r="G3067">
        <v>48</v>
      </c>
    </row>
    <row r="3068" spans="1:7">
      <c r="A3068" t="str">
        <f t="shared" si="47"/>
        <v>Pastoor Fabritiusstraat 49</v>
      </c>
      <c r="B3068" t="s">
        <v>588</v>
      </c>
      <c r="C3068" t="s">
        <v>306</v>
      </c>
      <c r="D3068">
        <v>1960</v>
      </c>
      <c r="E3068">
        <v>84</v>
      </c>
      <c r="F3068" t="s">
        <v>585</v>
      </c>
      <c r="G3068">
        <v>49</v>
      </c>
    </row>
    <row r="3069" spans="1:7">
      <c r="A3069" t="str">
        <f t="shared" si="47"/>
        <v>Pastoor Fabritiusstraat 50</v>
      </c>
      <c r="B3069" t="s">
        <v>587</v>
      </c>
      <c r="C3069" t="s">
        <v>306</v>
      </c>
      <c r="D3069">
        <v>1973</v>
      </c>
      <c r="E3069">
        <v>153</v>
      </c>
      <c r="F3069" t="s">
        <v>585</v>
      </c>
      <c r="G3069">
        <v>50</v>
      </c>
    </row>
    <row r="3070" spans="1:7">
      <c r="A3070" t="str">
        <f t="shared" si="47"/>
        <v>Pastoor Fabritiusstraat 51</v>
      </c>
      <c r="B3070" t="s">
        <v>588</v>
      </c>
      <c r="C3070" t="s">
        <v>306</v>
      </c>
      <c r="D3070">
        <v>1956</v>
      </c>
      <c r="E3070">
        <v>111</v>
      </c>
      <c r="F3070" t="s">
        <v>585</v>
      </c>
      <c r="G3070">
        <v>51</v>
      </c>
    </row>
    <row r="3071" spans="1:7">
      <c r="A3071" t="str">
        <f t="shared" si="47"/>
        <v>Pastoor Fabritiusstraat 52</v>
      </c>
      <c r="B3071" t="s">
        <v>587</v>
      </c>
      <c r="C3071" t="s">
        <v>306</v>
      </c>
      <c r="D3071">
        <v>1960</v>
      </c>
      <c r="E3071">
        <v>111</v>
      </c>
      <c r="F3071" t="s">
        <v>585</v>
      </c>
      <c r="G3071">
        <v>52</v>
      </c>
    </row>
    <row r="3072" spans="1:7">
      <c r="A3072" t="str">
        <f t="shared" si="47"/>
        <v>Pastoor Fabritiusstraat 53</v>
      </c>
      <c r="B3072" t="s">
        <v>588</v>
      </c>
      <c r="C3072" t="s">
        <v>306</v>
      </c>
      <c r="D3072">
        <v>1956</v>
      </c>
      <c r="E3072">
        <v>117</v>
      </c>
      <c r="F3072" t="s">
        <v>585</v>
      </c>
      <c r="G3072">
        <v>53</v>
      </c>
    </row>
    <row r="3073" spans="1:8">
      <c r="A3073" t="str">
        <f t="shared" si="47"/>
        <v>Pastoor Fabritiusstraat 54</v>
      </c>
      <c r="B3073" t="s">
        <v>587</v>
      </c>
      <c r="C3073" t="s">
        <v>306</v>
      </c>
      <c r="D3073">
        <v>1960</v>
      </c>
      <c r="E3073">
        <v>132</v>
      </c>
      <c r="F3073" t="s">
        <v>585</v>
      </c>
      <c r="G3073">
        <v>54</v>
      </c>
    </row>
    <row r="3074" spans="1:8">
      <c r="A3074" t="str">
        <f t="shared" ref="A3074:A3137" si="48">CONCATENATE(F3074," ",G3074,H3074)</f>
        <v>Pastoor Fabritiusstraat 55</v>
      </c>
      <c r="B3074" t="s">
        <v>588</v>
      </c>
      <c r="C3074" t="s">
        <v>306</v>
      </c>
      <c r="D3074">
        <v>1956</v>
      </c>
      <c r="E3074">
        <v>125</v>
      </c>
      <c r="F3074" t="s">
        <v>585</v>
      </c>
      <c r="G3074">
        <v>55</v>
      </c>
    </row>
    <row r="3075" spans="1:8">
      <c r="A3075" t="str">
        <f t="shared" si="48"/>
        <v>Pastoor Fabritiusstraat 57</v>
      </c>
      <c r="B3075" t="s">
        <v>588</v>
      </c>
      <c r="C3075" t="s">
        <v>306</v>
      </c>
      <c r="D3075">
        <v>1956</v>
      </c>
      <c r="E3075">
        <v>128</v>
      </c>
      <c r="F3075" t="s">
        <v>585</v>
      </c>
      <c r="G3075">
        <v>57</v>
      </c>
    </row>
    <row r="3076" spans="1:8">
      <c r="A3076" t="str">
        <f t="shared" si="48"/>
        <v>Pastoor Fabritiusstraat 59</v>
      </c>
      <c r="B3076" t="s">
        <v>588</v>
      </c>
      <c r="C3076" t="s">
        <v>306</v>
      </c>
      <c r="D3076">
        <v>1946</v>
      </c>
      <c r="E3076">
        <v>145</v>
      </c>
      <c r="F3076" t="s">
        <v>585</v>
      </c>
      <c r="G3076">
        <v>59</v>
      </c>
    </row>
    <row r="3077" spans="1:8">
      <c r="A3077" t="str">
        <f t="shared" si="48"/>
        <v>Pastoor Fabritiusstraat 61</v>
      </c>
      <c r="B3077" t="s">
        <v>588</v>
      </c>
      <c r="C3077" t="s">
        <v>306</v>
      </c>
      <c r="D3077">
        <v>1963</v>
      </c>
      <c r="E3077">
        <v>142</v>
      </c>
      <c r="F3077" t="s">
        <v>585</v>
      </c>
      <c r="G3077">
        <v>61</v>
      </c>
    </row>
    <row r="3078" spans="1:8">
      <c r="A3078" t="str">
        <f t="shared" si="48"/>
        <v>Pastoorsdijk 5</v>
      </c>
      <c r="B3078" t="s">
        <v>589</v>
      </c>
      <c r="C3078" t="s">
        <v>302</v>
      </c>
      <c r="D3078">
        <v>1970</v>
      </c>
      <c r="E3078">
        <v>228</v>
      </c>
      <c r="F3078" t="s">
        <v>590</v>
      </c>
      <c r="G3078">
        <v>5</v>
      </c>
    </row>
    <row r="3079" spans="1:8">
      <c r="A3079" t="str">
        <f t="shared" si="48"/>
        <v>Pastoorsdijk 7a</v>
      </c>
      <c r="B3079" t="s">
        <v>589</v>
      </c>
      <c r="C3079" t="s">
        <v>302</v>
      </c>
      <c r="D3079">
        <v>1965</v>
      </c>
      <c r="E3079">
        <v>155</v>
      </c>
      <c r="F3079" t="s">
        <v>590</v>
      </c>
      <c r="G3079">
        <v>7</v>
      </c>
      <c r="H3079" t="s">
        <v>304</v>
      </c>
    </row>
    <row r="3080" spans="1:8">
      <c r="A3080" t="str">
        <f t="shared" si="48"/>
        <v>Pastoorsdijk 7</v>
      </c>
      <c r="B3080" t="s">
        <v>589</v>
      </c>
      <c r="C3080" t="s">
        <v>302</v>
      </c>
      <c r="D3080">
        <v>2017</v>
      </c>
      <c r="E3080">
        <v>226</v>
      </c>
      <c r="F3080" t="s">
        <v>590</v>
      </c>
      <c r="G3080">
        <v>7</v>
      </c>
    </row>
    <row r="3081" spans="1:8">
      <c r="A3081" t="str">
        <f t="shared" si="48"/>
        <v>Pastoorsdijk 9</v>
      </c>
      <c r="B3081" t="s">
        <v>589</v>
      </c>
      <c r="C3081" t="s">
        <v>302</v>
      </c>
      <c r="D3081">
        <v>1958</v>
      </c>
      <c r="E3081">
        <v>199</v>
      </c>
      <c r="F3081" t="s">
        <v>590</v>
      </c>
      <c r="G3081">
        <v>9</v>
      </c>
    </row>
    <row r="3082" spans="1:8">
      <c r="A3082" t="str">
        <f t="shared" si="48"/>
        <v>Pastoorsdijk 11a</v>
      </c>
      <c r="B3082" t="s">
        <v>591</v>
      </c>
      <c r="C3082" t="s">
        <v>343</v>
      </c>
      <c r="D3082">
        <v>1984</v>
      </c>
      <c r="E3082">
        <v>342</v>
      </c>
      <c r="F3082" t="s">
        <v>590</v>
      </c>
      <c r="G3082">
        <v>11</v>
      </c>
      <c r="H3082" t="s">
        <v>304</v>
      </c>
    </row>
    <row r="3083" spans="1:8">
      <c r="A3083" t="str">
        <f t="shared" si="48"/>
        <v>Pastoorsdijk 11b</v>
      </c>
      <c r="C3083" t="s">
        <v>343</v>
      </c>
      <c r="D3083">
        <v>2018</v>
      </c>
      <c r="E3083">
        <v>15</v>
      </c>
      <c r="F3083" t="s">
        <v>590</v>
      </c>
      <c r="G3083">
        <v>11</v>
      </c>
      <c r="H3083" t="s">
        <v>298</v>
      </c>
    </row>
    <row r="3084" spans="1:8">
      <c r="A3084" t="str">
        <f t="shared" si="48"/>
        <v>Pastoorsdijk 11</v>
      </c>
      <c r="B3084" t="s">
        <v>591</v>
      </c>
      <c r="C3084" t="s">
        <v>343</v>
      </c>
      <c r="D3084">
        <v>1984</v>
      </c>
      <c r="E3084">
        <v>171</v>
      </c>
      <c r="F3084" t="s">
        <v>590</v>
      </c>
      <c r="G3084">
        <v>11</v>
      </c>
    </row>
    <row r="3085" spans="1:8">
      <c r="A3085" t="str">
        <f t="shared" si="48"/>
        <v>Pastoorsdijk 13k</v>
      </c>
      <c r="B3085" t="s">
        <v>591</v>
      </c>
      <c r="C3085" t="s">
        <v>343</v>
      </c>
      <c r="D3085">
        <v>1984</v>
      </c>
      <c r="E3085">
        <v>340</v>
      </c>
      <c r="F3085" t="s">
        <v>590</v>
      </c>
      <c r="G3085">
        <v>13</v>
      </c>
      <c r="H3085" t="s">
        <v>308</v>
      </c>
    </row>
    <row r="3086" spans="1:8">
      <c r="A3086" t="str">
        <f t="shared" si="48"/>
        <v>Pastoorsdijk 13</v>
      </c>
      <c r="B3086" t="s">
        <v>591</v>
      </c>
      <c r="C3086" t="s">
        <v>343</v>
      </c>
      <c r="D3086">
        <v>2020</v>
      </c>
      <c r="E3086">
        <v>457</v>
      </c>
      <c r="F3086" t="s">
        <v>590</v>
      </c>
      <c r="G3086">
        <v>13</v>
      </c>
    </row>
    <row r="3087" spans="1:8">
      <c r="A3087" t="str">
        <f t="shared" si="48"/>
        <v>Pastoorsdijk 15</v>
      </c>
      <c r="C3087" t="s">
        <v>343</v>
      </c>
      <c r="D3087">
        <v>2019</v>
      </c>
      <c r="E3087">
        <v>21</v>
      </c>
      <c r="F3087" t="s">
        <v>590</v>
      </c>
      <c r="G3087">
        <v>15</v>
      </c>
    </row>
    <row r="3088" spans="1:8">
      <c r="A3088" t="str">
        <f t="shared" si="48"/>
        <v>Paterserf 1</v>
      </c>
      <c r="B3088" t="s">
        <v>592</v>
      </c>
      <c r="C3088" t="s">
        <v>296</v>
      </c>
      <c r="D3088">
        <v>1987</v>
      </c>
      <c r="E3088">
        <v>101</v>
      </c>
      <c r="F3088" t="s">
        <v>593</v>
      </c>
      <c r="G3088">
        <v>1</v>
      </c>
    </row>
    <row r="3089" spans="1:7">
      <c r="A3089" t="str">
        <f t="shared" si="48"/>
        <v>Paterserf 2</v>
      </c>
      <c r="B3089" t="s">
        <v>594</v>
      </c>
      <c r="C3089" t="s">
        <v>296</v>
      </c>
      <c r="D3089">
        <v>1987</v>
      </c>
      <c r="E3089">
        <v>165</v>
      </c>
      <c r="F3089" t="s">
        <v>593</v>
      </c>
      <c r="G3089">
        <v>2</v>
      </c>
    </row>
    <row r="3090" spans="1:7">
      <c r="A3090" t="str">
        <f t="shared" si="48"/>
        <v>Paterserf 3</v>
      </c>
      <c r="B3090" t="s">
        <v>592</v>
      </c>
      <c r="C3090" t="s">
        <v>296</v>
      </c>
      <c r="D3090">
        <v>1987</v>
      </c>
      <c r="E3090">
        <v>111</v>
      </c>
      <c r="F3090" t="s">
        <v>593</v>
      </c>
      <c r="G3090">
        <v>3</v>
      </c>
    </row>
    <row r="3091" spans="1:7">
      <c r="A3091" t="str">
        <f t="shared" si="48"/>
        <v>Paterserf 4</v>
      </c>
      <c r="B3091" t="s">
        <v>594</v>
      </c>
      <c r="C3091" t="s">
        <v>296</v>
      </c>
      <c r="D3091">
        <v>1987</v>
      </c>
      <c r="E3091">
        <v>178</v>
      </c>
      <c r="F3091" t="s">
        <v>593</v>
      </c>
      <c r="G3091">
        <v>4</v>
      </c>
    </row>
    <row r="3092" spans="1:7">
      <c r="A3092" t="str">
        <f t="shared" si="48"/>
        <v>Paterserf 5</v>
      </c>
      <c r="B3092" t="s">
        <v>592</v>
      </c>
      <c r="C3092" t="s">
        <v>296</v>
      </c>
      <c r="D3092">
        <v>1987</v>
      </c>
      <c r="E3092">
        <v>101</v>
      </c>
      <c r="F3092" t="s">
        <v>593</v>
      </c>
      <c r="G3092">
        <v>5</v>
      </c>
    </row>
    <row r="3093" spans="1:7">
      <c r="A3093" t="str">
        <f t="shared" si="48"/>
        <v>Paterserf 6</v>
      </c>
      <c r="B3093" t="s">
        <v>594</v>
      </c>
      <c r="C3093" t="s">
        <v>296</v>
      </c>
      <c r="D3093">
        <v>1987</v>
      </c>
      <c r="E3093">
        <v>150</v>
      </c>
      <c r="F3093" t="s">
        <v>593</v>
      </c>
      <c r="G3093">
        <v>6</v>
      </c>
    </row>
    <row r="3094" spans="1:7">
      <c r="A3094" t="str">
        <f t="shared" si="48"/>
        <v>Paterserf 7</v>
      </c>
      <c r="B3094" t="s">
        <v>592</v>
      </c>
      <c r="C3094" t="s">
        <v>296</v>
      </c>
      <c r="D3094">
        <v>1987</v>
      </c>
      <c r="E3094">
        <v>110</v>
      </c>
      <c r="F3094" t="s">
        <v>593</v>
      </c>
      <c r="G3094">
        <v>7</v>
      </c>
    </row>
    <row r="3095" spans="1:7">
      <c r="A3095" t="str">
        <f t="shared" si="48"/>
        <v>Paterserf 8</v>
      </c>
      <c r="B3095" t="s">
        <v>594</v>
      </c>
      <c r="C3095" t="s">
        <v>296</v>
      </c>
      <c r="D3095">
        <v>1987</v>
      </c>
      <c r="E3095">
        <v>168</v>
      </c>
      <c r="F3095" t="s">
        <v>593</v>
      </c>
      <c r="G3095">
        <v>8</v>
      </c>
    </row>
    <row r="3096" spans="1:7">
      <c r="A3096" t="str">
        <f t="shared" si="48"/>
        <v>Paterserf 9</v>
      </c>
      <c r="B3096" t="s">
        <v>592</v>
      </c>
      <c r="C3096" t="s">
        <v>296</v>
      </c>
      <c r="D3096">
        <v>1987</v>
      </c>
      <c r="E3096">
        <v>101</v>
      </c>
      <c r="F3096" t="s">
        <v>593</v>
      </c>
      <c r="G3096">
        <v>9</v>
      </c>
    </row>
    <row r="3097" spans="1:7">
      <c r="A3097" t="str">
        <f t="shared" si="48"/>
        <v>Paterserf 10</v>
      </c>
      <c r="B3097" t="s">
        <v>594</v>
      </c>
      <c r="C3097" t="s">
        <v>296</v>
      </c>
      <c r="D3097">
        <v>1987</v>
      </c>
      <c r="E3097">
        <v>247</v>
      </c>
      <c r="F3097" t="s">
        <v>593</v>
      </c>
      <c r="G3097">
        <v>10</v>
      </c>
    </row>
    <row r="3098" spans="1:7">
      <c r="A3098" t="str">
        <f t="shared" si="48"/>
        <v>Paterserf 11</v>
      </c>
      <c r="B3098" t="s">
        <v>592</v>
      </c>
      <c r="C3098" t="s">
        <v>296</v>
      </c>
      <c r="D3098">
        <v>1987</v>
      </c>
      <c r="E3098">
        <v>105</v>
      </c>
      <c r="F3098" t="s">
        <v>593</v>
      </c>
      <c r="G3098">
        <v>11</v>
      </c>
    </row>
    <row r="3099" spans="1:7">
      <c r="A3099" t="str">
        <f t="shared" si="48"/>
        <v>Paterserf 12</v>
      </c>
      <c r="B3099" t="s">
        <v>594</v>
      </c>
      <c r="C3099" t="s">
        <v>296</v>
      </c>
      <c r="D3099">
        <v>1987</v>
      </c>
      <c r="E3099">
        <v>167</v>
      </c>
      <c r="F3099" t="s">
        <v>593</v>
      </c>
      <c r="G3099">
        <v>12</v>
      </c>
    </row>
    <row r="3100" spans="1:7">
      <c r="A3100" t="str">
        <f t="shared" si="48"/>
        <v>Paterserf 13</v>
      </c>
      <c r="B3100" t="s">
        <v>592</v>
      </c>
      <c r="C3100" t="s">
        <v>296</v>
      </c>
      <c r="D3100">
        <v>1987</v>
      </c>
      <c r="E3100">
        <v>119</v>
      </c>
      <c r="F3100" t="s">
        <v>593</v>
      </c>
      <c r="G3100">
        <v>13</v>
      </c>
    </row>
    <row r="3101" spans="1:7">
      <c r="A3101" t="str">
        <f t="shared" si="48"/>
        <v>Paterserf 14</v>
      </c>
      <c r="B3101" t="s">
        <v>594</v>
      </c>
      <c r="C3101" t="s">
        <v>296</v>
      </c>
      <c r="D3101">
        <v>1987</v>
      </c>
      <c r="E3101">
        <v>223</v>
      </c>
      <c r="F3101" t="s">
        <v>593</v>
      </c>
      <c r="G3101">
        <v>14</v>
      </c>
    </row>
    <row r="3102" spans="1:7">
      <c r="A3102" t="str">
        <f t="shared" si="48"/>
        <v>Paterserf 15</v>
      </c>
      <c r="B3102" t="s">
        <v>592</v>
      </c>
      <c r="C3102" t="s">
        <v>296</v>
      </c>
      <c r="D3102">
        <v>1987</v>
      </c>
      <c r="E3102">
        <v>108</v>
      </c>
      <c r="F3102" t="s">
        <v>593</v>
      </c>
      <c r="G3102">
        <v>15</v>
      </c>
    </row>
    <row r="3103" spans="1:7">
      <c r="A3103" t="str">
        <f t="shared" si="48"/>
        <v>Paterserf 16</v>
      </c>
      <c r="B3103" t="s">
        <v>594</v>
      </c>
      <c r="C3103" t="s">
        <v>296</v>
      </c>
      <c r="D3103">
        <v>1987</v>
      </c>
      <c r="E3103">
        <v>181</v>
      </c>
      <c r="F3103" t="s">
        <v>593</v>
      </c>
      <c r="G3103">
        <v>16</v>
      </c>
    </row>
    <row r="3104" spans="1:7">
      <c r="A3104" t="str">
        <f t="shared" si="48"/>
        <v>Paterserf 17</v>
      </c>
      <c r="B3104" t="s">
        <v>592</v>
      </c>
      <c r="C3104" t="s">
        <v>296</v>
      </c>
      <c r="D3104">
        <v>1987</v>
      </c>
      <c r="E3104">
        <v>108</v>
      </c>
      <c r="F3104" t="s">
        <v>593</v>
      </c>
      <c r="G3104">
        <v>17</v>
      </c>
    </row>
    <row r="3105" spans="1:8">
      <c r="A3105" t="str">
        <f t="shared" si="48"/>
        <v>Paterserf 18</v>
      </c>
      <c r="B3105" t="s">
        <v>594</v>
      </c>
      <c r="C3105" t="s">
        <v>296</v>
      </c>
      <c r="D3105">
        <v>1987</v>
      </c>
      <c r="E3105">
        <v>129</v>
      </c>
      <c r="F3105" t="s">
        <v>593</v>
      </c>
      <c r="G3105">
        <v>18</v>
      </c>
    </row>
    <row r="3106" spans="1:8">
      <c r="A3106" t="str">
        <f t="shared" si="48"/>
        <v>Paterserf 19</v>
      </c>
      <c r="B3106" t="s">
        <v>592</v>
      </c>
      <c r="C3106" t="s">
        <v>296</v>
      </c>
      <c r="D3106">
        <v>1987</v>
      </c>
      <c r="E3106">
        <v>138</v>
      </c>
      <c r="F3106" t="s">
        <v>593</v>
      </c>
      <c r="G3106">
        <v>19</v>
      </c>
    </row>
    <row r="3107" spans="1:8">
      <c r="A3107" t="str">
        <f t="shared" si="48"/>
        <v>Paterserf 20</v>
      </c>
      <c r="B3107" t="s">
        <v>594</v>
      </c>
      <c r="C3107" t="s">
        <v>296</v>
      </c>
      <c r="D3107">
        <v>1987</v>
      </c>
      <c r="E3107">
        <v>102</v>
      </c>
      <c r="F3107" t="s">
        <v>593</v>
      </c>
      <c r="G3107">
        <v>20</v>
      </c>
    </row>
    <row r="3108" spans="1:8">
      <c r="A3108" t="str">
        <f t="shared" si="48"/>
        <v>Paterserf 21</v>
      </c>
      <c r="B3108" t="s">
        <v>592</v>
      </c>
      <c r="C3108" t="s">
        <v>296</v>
      </c>
      <c r="D3108">
        <v>1987</v>
      </c>
      <c r="E3108">
        <v>109</v>
      </c>
      <c r="F3108" t="s">
        <v>593</v>
      </c>
      <c r="G3108">
        <v>21</v>
      </c>
    </row>
    <row r="3109" spans="1:8">
      <c r="A3109" t="str">
        <f t="shared" si="48"/>
        <v>Paterserf 22</v>
      </c>
      <c r="B3109" t="s">
        <v>594</v>
      </c>
      <c r="C3109" t="s">
        <v>296</v>
      </c>
      <c r="D3109">
        <v>1987</v>
      </c>
      <c r="E3109">
        <v>104</v>
      </c>
      <c r="F3109" t="s">
        <v>593</v>
      </c>
      <c r="G3109">
        <v>22</v>
      </c>
    </row>
    <row r="3110" spans="1:8">
      <c r="A3110" t="str">
        <f t="shared" si="48"/>
        <v>Paterserf 23</v>
      </c>
      <c r="B3110" t="s">
        <v>592</v>
      </c>
      <c r="C3110" t="s">
        <v>296</v>
      </c>
      <c r="D3110">
        <v>1987</v>
      </c>
      <c r="E3110">
        <v>108</v>
      </c>
      <c r="F3110" t="s">
        <v>593</v>
      </c>
      <c r="G3110">
        <v>23</v>
      </c>
    </row>
    <row r="3111" spans="1:8">
      <c r="A3111" t="str">
        <f t="shared" si="48"/>
        <v>Paterserf 24</v>
      </c>
      <c r="B3111" t="s">
        <v>594</v>
      </c>
      <c r="C3111" t="s">
        <v>296</v>
      </c>
      <c r="D3111">
        <v>1987</v>
      </c>
      <c r="E3111">
        <v>109</v>
      </c>
      <c r="F3111" t="s">
        <v>593</v>
      </c>
      <c r="G3111">
        <v>24</v>
      </c>
    </row>
    <row r="3112" spans="1:8">
      <c r="A3112" t="str">
        <f t="shared" si="48"/>
        <v>Paterserf 25</v>
      </c>
      <c r="B3112" t="s">
        <v>592</v>
      </c>
      <c r="C3112" t="s">
        <v>296</v>
      </c>
      <c r="D3112">
        <v>1987</v>
      </c>
      <c r="E3112">
        <v>108</v>
      </c>
      <c r="F3112" t="s">
        <v>593</v>
      </c>
      <c r="G3112">
        <v>25</v>
      </c>
    </row>
    <row r="3113" spans="1:8">
      <c r="A3113" t="str">
        <f t="shared" si="48"/>
        <v>Paterserf 26</v>
      </c>
      <c r="B3113" t="s">
        <v>594</v>
      </c>
      <c r="C3113" t="s">
        <v>296</v>
      </c>
      <c r="D3113">
        <v>1987</v>
      </c>
      <c r="E3113">
        <v>104</v>
      </c>
      <c r="F3113" t="s">
        <v>593</v>
      </c>
      <c r="G3113">
        <v>26</v>
      </c>
    </row>
    <row r="3114" spans="1:8">
      <c r="A3114" t="str">
        <f t="shared" si="48"/>
        <v>Paterserf 27</v>
      </c>
      <c r="B3114" t="s">
        <v>592</v>
      </c>
      <c r="C3114" t="s">
        <v>296</v>
      </c>
      <c r="D3114">
        <v>1987</v>
      </c>
      <c r="E3114">
        <v>135</v>
      </c>
      <c r="F3114" t="s">
        <v>593</v>
      </c>
      <c r="G3114">
        <v>27</v>
      </c>
    </row>
    <row r="3115" spans="1:8">
      <c r="A3115" t="str">
        <f t="shared" si="48"/>
        <v>Paterserf 28</v>
      </c>
      <c r="B3115" t="s">
        <v>594</v>
      </c>
      <c r="C3115" t="s">
        <v>296</v>
      </c>
      <c r="D3115">
        <v>1987</v>
      </c>
      <c r="E3115">
        <v>107</v>
      </c>
      <c r="F3115" t="s">
        <v>593</v>
      </c>
      <c r="G3115">
        <v>28</v>
      </c>
    </row>
    <row r="3116" spans="1:8">
      <c r="A3116" t="str">
        <f t="shared" si="48"/>
        <v>Paterserf 30a</v>
      </c>
      <c r="B3116" t="s">
        <v>594</v>
      </c>
      <c r="C3116" t="s">
        <v>296</v>
      </c>
      <c r="D3116">
        <v>1987</v>
      </c>
      <c r="E3116">
        <v>144</v>
      </c>
      <c r="F3116" t="s">
        <v>593</v>
      </c>
      <c r="G3116">
        <v>30</v>
      </c>
      <c r="H3116" t="s">
        <v>304</v>
      </c>
    </row>
    <row r="3117" spans="1:8">
      <c r="A3117" t="str">
        <f t="shared" si="48"/>
        <v>Paterserf 30</v>
      </c>
      <c r="B3117" t="s">
        <v>594</v>
      </c>
      <c r="C3117" t="s">
        <v>296</v>
      </c>
      <c r="D3117">
        <v>1987</v>
      </c>
      <c r="E3117">
        <v>107</v>
      </c>
      <c r="F3117" t="s">
        <v>593</v>
      </c>
      <c r="G3117">
        <v>30</v>
      </c>
    </row>
    <row r="3118" spans="1:8">
      <c r="A3118" t="str">
        <f t="shared" si="48"/>
        <v>Paterserf 32</v>
      </c>
      <c r="B3118" t="s">
        <v>595</v>
      </c>
      <c r="C3118" t="s">
        <v>296</v>
      </c>
      <c r="D3118">
        <v>1987</v>
      </c>
      <c r="E3118">
        <v>139</v>
      </c>
      <c r="F3118" t="s">
        <v>593</v>
      </c>
      <c r="G3118">
        <v>32</v>
      </c>
    </row>
    <row r="3119" spans="1:8">
      <c r="A3119" t="str">
        <f t="shared" si="48"/>
        <v>Paterserf 34</v>
      </c>
      <c r="B3119" t="s">
        <v>595</v>
      </c>
      <c r="C3119" t="s">
        <v>296</v>
      </c>
      <c r="D3119">
        <v>1987</v>
      </c>
      <c r="E3119">
        <v>109</v>
      </c>
      <c r="F3119" t="s">
        <v>593</v>
      </c>
      <c r="G3119">
        <v>34</v>
      </c>
    </row>
    <row r="3120" spans="1:8">
      <c r="A3120" t="str">
        <f t="shared" si="48"/>
        <v>Paterserf 36</v>
      </c>
      <c r="B3120" t="s">
        <v>595</v>
      </c>
      <c r="C3120" t="s">
        <v>296</v>
      </c>
      <c r="D3120">
        <v>1987</v>
      </c>
      <c r="E3120">
        <v>109</v>
      </c>
      <c r="F3120" t="s">
        <v>593</v>
      </c>
      <c r="G3120">
        <v>36</v>
      </c>
    </row>
    <row r="3121" spans="1:7">
      <c r="A3121" t="str">
        <f t="shared" si="48"/>
        <v>Paterserf 38</v>
      </c>
      <c r="B3121" t="s">
        <v>595</v>
      </c>
      <c r="C3121" t="s">
        <v>296</v>
      </c>
      <c r="D3121">
        <v>1987</v>
      </c>
      <c r="E3121">
        <v>125</v>
      </c>
      <c r="F3121" t="s">
        <v>593</v>
      </c>
      <c r="G3121">
        <v>38</v>
      </c>
    </row>
    <row r="3122" spans="1:7">
      <c r="A3122" t="str">
        <f t="shared" si="48"/>
        <v>Paterserf 40</v>
      </c>
      <c r="B3122" t="s">
        <v>595</v>
      </c>
      <c r="C3122" t="s">
        <v>296</v>
      </c>
      <c r="D3122">
        <v>1987</v>
      </c>
      <c r="E3122">
        <v>136</v>
      </c>
      <c r="F3122" t="s">
        <v>593</v>
      </c>
      <c r="G3122">
        <v>40</v>
      </c>
    </row>
    <row r="3123" spans="1:7">
      <c r="A3123" t="str">
        <f t="shared" si="48"/>
        <v>Paterserf 42</v>
      </c>
      <c r="B3123" t="s">
        <v>595</v>
      </c>
      <c r="C3123" t="s">
        <v>296</v>
      </c>
      <c r="D3123">
        <v>1987</v>
      </c>
      <c r="E3123">
        <v>94</v>
      </c>
      <c r="F3123" t="s">
        <v>593</v>
      </c>
      <c r="G3123">
        <v>42</v>
      </c>
    </row>
    <row r="3124" spans="1:7">
      <c r="A3124" t="str">
        <f t="shared" si="48"/>
        <v>Paterserf 44</v>
      </c>
      <c r="B3124" t="s">
        <v>595</v>
      </c>
      <c r="C3124" t="s">
        <v>296</v>
      </c>
      <c r="D3124">
        <v>1987</v>
      </c>
      <c r="E3124">
        <v>87</v>
      </c>
      <c r="F3124" t="s">
        <v>593</v>
      </c>
      <c r="G3124">
        <v>44</v>
      </c>
    </row>
    <row r="3125" spans="1:7">
      <c r="A3125" t="str">
        <f t="shared" si="48"/>
        <v>Paterserf 46</v>
      </c>
      <c r="B3125" t="s">
        <v>595</v>
      </c>
      <c r="C3125" t="s">
        <v>296</v>
      </c>
      <c r="D3125">
        <v>1987</v>
      </c>
      <c r="E3125">
        <v>87</v>
      </c>
      <c r="F3125" t="s">
        <v>593</v>
      </c>
      <c r="G3125">
        <v>46</v>
      </c>
    </row>
    <row r="3126" spans="1:7">
      <c r="A3126" t="str">
        <f t="shared" si="48"/>
        <v>Paterserf 48</v>
      </c>
      <c r="B3126" t="s">
        <v>595</v>
      </c>
      <c r="C3126" t="s">
        <v>296</v>
      </c>
      <c r="D3126">
        <v>1987</v>
      </c>
      <c r="E3126">
        <v>58</v>
      </c>
      <c r="F3126" t="s">
        <v>593</v>
      </c>
      <c r="G3126">
        <v>48</v>
      </c>
    </row>
    <row r="3127" spans="1:7">
      <c r="A3127" t="str">
        <f t="shared" si="48"/>
        <v>Paterserf 50</v>
      </c>
      <c r="B3127" t="s">
        <v>595</v>
      </c>
      <c r="C3127" t="s">
        <v>296</v>
      </c>
      <c r="D3127">
        <v>1987</v>
      </c>
      <c r="E3127">
        <v>96</v>
      </c>
      <c r="F3127" t="s">
        <v>593</v>
      </c>
      <c r="G3127">
        <v>50</v>
      </c>
    </row>
    <row r="3128" spans="1:7">
      <c r="A3128" t="str">
        <f t="shared" si="48"/>
        <v>Paterserf 52</v>
      </c>
      <c r="B3128" t="s">
        <v>595</v>
      </c>
      <c r="C3128" t="s">
        <v>296</v>
      </c>
      <c r="D3128">
        <v>1987</v>
      </c>
      <c r="E3128">
        <v>58</v>
      </c>
      <c r="F3128" t="s">
        <v>593</v>
      </c>
      <c r="G3128">
        <v>52</v>
      </c>
    </row>
    <row r="3129" spans="1:7">
      <c r="A3129" t="str">
        <f t="shared" si="48"/>
        <v>Paterserf 54</v>
      </c>
      <c r="B3129" t="s">
        <v>595</v>
      </c>
      <c r="C3129" t="s">
        <v>296</v>
      </c>
      <c r="D3129">
        <v>1987</v>
      </c>
      <c r="E3129">
        <v>96</v>
      </c>
      <c r="F3129" t="s">
        <v>593</v>
      </c>
      <c r="G3129">
        <v>54</v>
      </c>
    </row>
    <row r="3130" spans="1:7">
      <c r="A3130" t="str">
        <f t="shared" si="48"/>
        <v>Paterserf 56</v>
      </c>
      <c r="B3130" t="s">
        <v>595</v>
      </c>
      <c r="C3130" t="s">
        <v>296</v>
      </c>
      <c r="D3130">
        <v>1987</v>
      </c>
      <c r="E3130">
        <v>58</v>
      </c>
      <c r="F3130" t="s">
        <v>593</v>
      </c>
      <c r="G3130">
        <v>56</v>
      </c>
    </row>
    <row r="3131" spans="1:7">
      <c r="A3131" t="str">
        <f t="shared" si="48"/>
        <v>Paterserf 58</v>
      </c>
      <c r="B3131" t="s">
        <v>595</v>
      </c>
      <c r="C3131" t="s">
        <v>296</v>
      </c>
      <c r="D3131">
        <v>1987</v>
      </c>
      <c r="E3131">
        <v>96</v>
      </c>
      <c r="F3131" t="s">
        <v>593</v>
      </c>
      <c r="G3131">
        <v>58</v>
      </c>
    </row>
    <row r="3132" spans="1:7">
      <c r="A3132" t="str">
        <f t="shared" si="48"/>
        <v>Paterserf 60</v>
      </c>
      <c r="B3132" t="s">
        <v>595</v>
      </c>
      <c r="C3132" t="s">
        <v>296</v>
      </c>
      <c r="D3132">
        <v>1987</v>
      </c>
      <c r="E3132">
        <v>87</v>
      </c>
      <c r="F3132" t="s">
        <v>593</v>
      </c>
      <c r="G3132">
        <v>60</v>
      </c>
    </row>
    <row r="3133" spans="1:7">
      <c r="A3133" t="str">
        <f t="shared" si="48"/>
        <v>Paterserf 62</v>
      </c>
      <c r="B3133" t="s">
        <v>595</v>
      </c>
      <c r="C3133" t="s">
        <v>296</v>
      </c>
      <c r="D3133">
        <v>1987</v>
      </c>
      <c r="E3133">
        <v>87</v>
      </c>
      <c r="F3133" t="s">
        <v>593</v>
      </c>
      <c r="G3133">
        <v>62</v>
      </c>
    </row>
    <row r="3134" spans="1:7">
      <c r="A3134" t="str">
        <f t="shared" si="48"/>
        <v>Paterserf 64</v>
      </c>
      <c r="B3134" t="s">
        <v>595</v>
      </c>
      <c r="C3134" t="s">
        <v>296</v>
      </c>
      <c r="D3134">
        <v>1987</v>
      </c>
      <c r="E3134">
        <v>87</v>
      </c>
      <c r="F3134" t="s">
        <v>593</v>
      </c>
      <c r="G3134">
        <v>64</v>
      </c>
    </row>
    <row r="3135" spans="1:7">
      <c r="A3135" t="str">
        <f t="shared" si="48"/>
        <v>Paterserf 66</v>
      </c>
      <c r="B3135" t="s">
        <v>595</v>
      </c>
      <c r="C3135" t="s">
        <v>296</v>
      </c>
      <c r="D3135">
        <v>1987</v>
      </c>
      <c r="E3135">
        <v>96</v>
      </c>
      <c r="F3135" t="s">
        <v>593</v>
      </c>
      <c r="G3135">
        <v>66</v>
      </c>
    </row>
    <row r="3136" spans="1:7">
      <c r="A3136" t="str">
        <f t="shared" si="48"/>
        <v>Paterserf 68</v>
      </c>
      <c r="B3136" t="s">
        <v>595</v>
      </c>
      <c r="C3136" t="s">
        <v>296</v>
      </c>
      <c r="D3136">
        <v>1985</v>
      </c>
      <c r="E3136">
        <v>111</v>
      </c>
      <c r="F3136" t="s">
        <v>593</v>
      </c>
      <c r="G3136">
        <v>68</v>
      </c>
    </row>
    <row r="3137" spans="1:8">
      <c r="A3137" t="str">
        <f t="shared" si="48"/>
        <v>Paterserf 70</v>
      </c>
      <c r="B3137" t="s">
        <v>595</v>
      </c>
      <c r="C3137" t="s">
        <v>296</v>
      </c>
      <c r="D3137">
        <v>1985</v>
      </c>
      <c r="E3137">
        <v>131</v>
      </c>
      <c r="F3137" t="s">
        <v>593</v>
      </c>
      <c r="G3137">
        <v>70</v>
      </c>
    </row>
    <row r="3138" spans="1:8">
      <c r="A3138" t="str">
        <f t="shared" ref="A3138:A3201" si="49">CONCATENATE(F3138," ",G3138,H3138)</f>
        <v>Paterserf 72</v>
      </c>
      <c r="B3138" t="s">
        <v>595</v>
      </c>
      <c r="C3138" t="s">
        <v>296</v>
      </c>
      <c r="D3138">
        <v>1985</v>
      </c>
      <c r="E3138">
        <v>133</v>
      </c>
      <c r="F3138" t="s">
        <v>593</v>
      </c>
      <c r="G3138">
        <v>72</v>
      </c>
    </row>
    <row r="3139" spans="1:8">
      <c r="A3139" t="str">
        <f t="shared" si="49"/>
        <v>Paterserf 74</v>
      </c>
      <c r="B3139" t="s">
        <v>595</v>
      </c>
      <c r="C3139" t="s">
        <v>296</v>
      </c>
      <c r="D3139">
        <v>1985</v>
      </c>
      <c r="E3139">
        <v>142</v>
      </c>
      <c r="F3139" t="s">
        <v>593</v>
      </c>
      <c r="G3139">
        <v>74</v>
      </c>
    </row>
    <row r="3140" spans="1:8">
      <c r="A3140" t="str">
        <f t="shared" si="49"/>
        <v>Paterspaadje 2</v>
      </c>
      <c r="B3140" t="s">
        <v>400</v>
      </c>
      <c r="C3140" t="s">
        <v>296</v>
      </c>
      <c r="D3140">
        <v>2003</v>
      </c>
      <c r="E3140">
        <v>199</v>
      </c>
      <c r="F3140" t="s">
        <v>596</v>
      </c>
      <c r="G3140">
        <v>2</v>
      </c>
    </row>
    <row r="3141" spans="1:8">
      <c r="A3141" t="str">
        <f t="shared" si="49"/>
        <v>Prins Bernhardstraat 2</v>
      </c>
      <c r="B3141" t="s">
        <v>597</v>
      </c>
      <c r="C3141" t="s">
        <v>306</v>
      </c>
      <c r="D3141">
        <v>1957</v>
      </c>
      <c r="E3141">
        <v>95</v>
      </c>
      <c r="F3141" t="s">
        <v>598</v>
      </c>
      <c r="G3141">
        <v>2</v>
      </c>
    </row>
    <row r="3142" spans="1:8">
      <c r="A3142" t="str">
        <f t="shared" si="49"/>
        <v>Prins Bernhardstraat 4</v>
      </c>
      <c r="B3142" t="s">
        <v>597</v>
      </c>
      <c r="C3142" t="s">
        <v>306</v>
      </c>
      <c r="D3142">
        <v>1957</v>
      </c>
      <c r="E3142">
        <v>152</v>
      </c>
      <c r="F3142" t="s">
        <v>598</v>
      </c>
      <c r="G3142">
        <v>4</v>
      </c>
    </row>
    <row r="3143" spans="1:8">
      <c r="A3143" t="str">
        <f t="shared" si="49"/>
        <v>Prins Bernhardstraat 6</v>
      </c>
      <c r="B3143" t="s">
        <v>597</v>
      </c>
      <c r="C3143" t="s">
        <v>306</v>
      </c>
      <c r="D3143">
        <v>1955</v>
      </c>
      <c r="E3143">
        <v>128</v>
      </c>
      <c r="F3143" t="s">
        <v>598</v>
      </c>
      <c r="G3143">
        <v>6</v>
      </c>
    </row>
    <row r="3144" spans="1:8">
      <c r="A3144" t="str">
        <f t="shared" si="49"/>
        <v>Prins Bernhardstraat 8</v>
      </c>
      <c r="B3144" t="s">
        <v>597</v>
      </c>
      <c r="C3144" t="s">
        <v>306</v>
      </c>
      <c r="D3144">
        <v>1955</v>
      </c>
      <c r="E3144">
        <v>101</v>
      </c>
      <c r="F3144" t="s">
        <v>598</v>
      </c>
      <c r="G3144">
        <v>8</v>
      </c>
    </row>
    <row r="3145" spans="1:8">
      <c r="A3145" t="str">
        <f t="shared" si="49"/>
        <v>Prins Bernhardstraat 9</v>
      </c>
      <c r="B3145" t="s">
        <v>597</v>
      </c>
      <c r="C3145" t="s">
        <v>306</v>
      </c>
      <c r="D3145">
        <v>1958</v>
      </c>
      <c r="E3145">
        <v>152</v>
      </c>
      <c r="F3145" t="s">
        <v>598</v>
      </c>
      <c r="G3145">
        <v>9</v>
      </c>
    </row>
    <row r="3146" spans="1:8">
      <c r="A3146" t="str">
        <f t="shared" si="49"/>
        <v>Prins Bernhardstraat 10</v>
      </c>
      <c r="B3146" t="s">
        <v>597</v>
      </c>
      <c r="C3146" t="s">
        <v>306</v>
      </c>
      <c r="D3146">
        <v>1959</v>
      </c>
      <c r="E3146">
        <v>152</v>
      </c>
      <c r="F3146" t="s">
        <v>598</v>
      </c>
      <c r="G3146">
        <v>10</v>
      </c>
    </row>
    <row r="3147" spans="1:8">
      <c r="A3147" t="str">
        <f t="shared" si="49"/>
        <v>Prins Bernhardstraat 11</v>
      </c>
      <c r="B3147" t="s">
        <v>597</v>
      </c>
      <c r="C3147" t="s">
        <v>306</v>
      </c>
      <c r="D3147">
        <v>1958</v>
      </c>
      <c r="E3147">
        <v>111</v>
      </c>
      <c r="F3147" t="s">
        <v>598</v>
      </c>
      <c r="G3147">
        <v>11</v>
      </c>
    </row>
    <row r="3148" spans="1:8">
      <c r="A3148" t="str">
        <f t="shared" si="49"/>
        <v>Prins Bernhardstraat 12</v>
      </c>
      <c r="B3148" t="s">
        <v>597</v>
      </c>
      <c r="C3148" t="s">
        <v>306</v>
      </c>
      <c r="D3148">
        <v>1962</v>
      </c>
      <c r="E3148">
        <v>155</v>
      </c>
      <c r="F3148" t="s">
        <v>598</v>
      </c>
      <c r="G3148">
        <v>12</v>
      </c>
    </row>
    <row r="3149" spans="1:8">
      <c r="A3149" t="str">
        <f t="shared" si="49"/>
        <v>Prinsenweg 1a</v>
      </c>
      <c r="B3149" t="s">
        <v>599</v>
      </c>
      <c r="C3149" t="s">
        <v>296</v>
      </c>
      <c r="D3149">
        <v>2006</v>
      </c>
      <c r="E3149">
        <v>99</v>
      </c>
      <c r="F3149" t="s">
        <v>600</v>
      </c>
      <c r="G3149">
        <v>1</v>
      </c>
      <c r="H3149" t="s">
        <v>304</v>
      </c>
    </row>
    <row r="3150" spans="1:8">
      <c r="A3150" t="str">
        <f t="shared" si="49"/>
        <v>Prinsenweg 1b</v>
      </c>
      <c r="B3150" t="s">
        <v>599</v>
      </c>
      <c r="C3150" t="s">
        <v>296</v>
      </c>
      <c r="D3150">
        <v>2006</v>
      </c>
      <c r="E3150">
        <v>99</v>
      </c>
      <c r="F3150" t="s">
        <v>600</v>
      </c>
      <c r="G3150">
        <v>1</v>
      </c>
      <c r="H3150" t="s">
        <v>298</v>
      </c>
    </row>
    <row r="3151" spans="1:8">
      <c r="A3151" t="str">
        <f t="shared" si="49"/>
        <v>Prinsenweg 1c</v>
      </c>
      <c r="B3151" t="s">
        <v>599</v>
      </c>
      <c r="C3151" t="s">
        <v>296</v>
      </c>
      <c r="D3151">
        <v>1974</v>
      </c>
      <c r="E3151">
        <v>95</v>
      </c>
      <c r="F3151" t="s">
        <v>600</v>
      </c>
      <c r="G3151">
        <v>1</v>
      </c>
      <c r="H3151" t="s">
        <v>299</v>
      </c>
    </row>
    <row r="3152" spans="1:8">
      <c r="A3152" t="str">
        <f t="shared" si="49"/>
        <v>Prinsenweg 1d</v>
      </c>
      <c r="B3152" t="s">
        <v>599</v>
      </c>
      <c r="C3152" t="s">
        <v>296</v>
      </c>
      <c r="D3152">
        <v>2006</v>
      </c>
      <c r="E3152">
        <v>95</v>
      </c>
      <c r="F3152" t="s">
        <v>600</v>
      </c>
      <c r="G3152">
        <v>1</v>
      </c>
      <c r="H3152" t="s">
        <v>300</v>
      </c>
    </row>
    <row r="3153" spans="1:8">
      <c r="A3153" t="str">
        <f t="shared" si="49"/>
        <v>Prinsenweg 1e</v>
      </c>
      <c r="B3153" t="s">
        <v>599</v>
      </c>
      <c r="C3153" t="s">
        <v>296</v>
      </c>
      <c r="D3153">
        <v>1974</v>
      </c>
      <c r="E3153">
        <v>123</v>
      </c>
      <c r="F3153" t="s">
        <v>600</v>
      </c>
      <c r="G3153">
        <v>1</v>
      </c>
      <c r="H3153" t="s">
        <v>319</v>
      </c>
    </row>
    <row r="3154" spans="1:8">
      <c r="A3154" t="str">
        <f t="shared" si="49"/>
        <v>Prinsenweg 1f</v>
      </c>
      <c r="B3154" t="s">
        <v>599</v>
      </c>
      <c r="C3154" t="s">
        <v>296</v>
      </c>
      <c r="D3154">
        <v>2006</v>
      </c>
      <c r="E3154">
        <v>117</v>
      </c>
      <c r="F3154" t="s">
        <v>600</v>
      </c>
      <c r="G3154">
        <v>1</v>
      </c>
      <c r="H3154" t="s">
        <v>329</v>
      </c>
    </row>
    <row r="3155" spans="1:8">
      <c r="A3155" t="str">
        <f t="shared" si="49"/>
        <v>Prinsenweg 1</v>
      </c>
      <c r="B3155" t="s">
        <v>599</v>
      </c>
      <c r="C3155" t="s">
        <v>296</v>
      </c>
      <c r="D3155">
        <v>2006</v>
      </c>
      <c r="E3155">
        <v>99</v>
      </c>
      <c r="F3155" t="s">
        <v>600</v>
      </c>
      <c r="G3155">
        <v>1</v>
      </c>
    </row>
    <row r="3156" spans="1:8">
      <c r="A3156" t="str">
        <f t="shared" si="49"/>
        <v>Prinsenweg 3a</v>
      </c>
      <c r="B3156" t="s">
        <v>599</v>
      </c>
      <c r="C3156" t="s">
        <v>296</v>
      </c>
      <c r="D3156">
        <v>1974</v>
      </c>
      <c r="E3156">
        <v>98</v>
      </c>
      <c r="F3156" t="s">
        <v>600</v>
      </c>
      <c r="G3156">
        <v>3</v>
      </c>
      <c r="H3156" t="s">
        <v>304</v>
      </c>
    </row>
    <row r="3157" spans="1:8">
      <c r="A3157" t="str">
        <f t="shared" si="49"/>
        <v>Prinsenweg 3b</v>
      </c>
      <c r="B3157" t="s">
        <v>599</v>
      </c>
      <c r="C3157" t="s">
        <v>296</v>
      </c>
      <c r="D3157">
        <v>2006</v>
      </c>
      <c r="E3157">
        <v>8</v>
      </c>
      <c r="F3157" t="s">
        <v>600</v>
      </c>
      <c r="G3157">
        <v>3</v>
      </c>
      <c r="H3157" t="s">
        <v>298</v>
      </c>
    </row>
    <row r="3158" spans="1:8">
      <c r="A3158" t="str">
        <f t="shared" si="49"/>
        <v>Prinsenweg 3c</v>
      </c>
      <c r="B3158" t="s">
        <v>599</v>
      </c>
      <c r="C3158" t="s">
        <v>296</v>
      </c>
      <c r="D3158">
        <v>2006</v>
      </c>
      <c r="E3158">
        <v>168</v>
      </c>
      <c r="F3158" t="s">
        <v>600</v>
      </c>
      <c r="G3158">
        <v>3</v>
      </c>
      <c r="H3158" t="s">
        <v>299</v>
      </c>
    </row>
    <row r="3159" spans="1:8">
      <c r="A3159" t="str">
        <f t="shared" si="49"/>
        <v>Prinsenweg 3z</v>
      </c>
      <c r="B3159" t="s">
        <v>599</v>
      </c>
      <c r="C3159" t="s">
        <v>296</v>
      </c>
      <c r="D3159">
        <v>1986</v>
      </c>
      <c r="E3159">
        <v>9</v>
      </c>
      <c r="F3159" t="s">
        <v>600</v>
      </c>
      <c r="G3159">
        <v>3</v>
      </c>
      <c r="H3159" t="s">
        <v>601</v>
      </c>
    </row>
    <row r="3160" spans="1:8">
      <c r="A3160" t="str">
        <f t="shared" si="49"/>
        <v>Prinsenweg 3</v>
      </c>
      <c r="B3160" t="s">
        <v>599</v>
      </c>
      <c r="C3160" t="s">
        <v>296</v>
      </c>
      <c r="D3160">
        <v>2006</v>
      </c>
      <c r="E3160">
        <v>189</v>
      </c>
      <c r="F3160" t="s">
        <v>600</v>
      </c>
      <c r="G3160">
        <v>3</v>
      </c>
    </row>
    <row r="3161" spans="1:8">
      <c r="A3161" t="str">
        <f t="shared" si="49"/>
        <v>Prinsenweg 5</v>
      </c>
      <c r="B3161" t="s">
        <v>599</v>
      </c>
      <c r="C3161" t="s">
        <v>296</v>
      </c>
      <c r="D3161">
        <v>1974</v>
      </c>
      <c r="E3161">
        <v>217</v>
      </c>
      <c r="F3161" t="s">
        <v>600</v>
      </c>
      <c r="G3161">
        <v>5</v>
      </c>
    </row>
    <row r="3162" spans="1:8">
      <c r="A3162" t="str">
        <f t="shared" si="49"/>
        <v>Prinsenweg 6</v>
      </c>
      <c r="B3162" t="s">
        <v>599</v>
      </c>
      <c r="C3162" t="s">
        <v>296</v>
      </c>
      <c r="D3162">
        <v>1978</v>
      </c>
      <c r="E3162">
        <v>158</v>
      </c>
      <c r="F3162" t="s">
        <v>600</v>
      </c>
      <c r="G3162">
        <v>6</v>
      </c>
    </row>
    <row r="3163" spans="1:8">
      <c r="A3163" t="str">
        <f t="shared" si="49"/>
        <v>Prinsenweg 9</v>
      </c>
      <c r="B3163" t="s">
        <v>599</v>
      </c>
      <c r="C3163" t="s">
        <v>296</v>
      </c>
      <c r="D3163">
        <v>1974</v>
      </c>
      <c r="E3163">
        <v>90</v>
      </c>
      <c r="F3163" t="s">
        <v>600</v>
      </c>
      <c r="G3163">
        <v>9</v>
      </c>
    </row>
    <row r="3164" spans="1:8">
      <c r="A3164" t="str">
        <f t="shared" si="49"/>
        <v>Prinsenweg 11b</v>
      </c>
      <c r="B3164" t="s">
        <v>599</v>
      </c>
      <c r="C3164" t="s">
        <v>296</v>
      </c>
      <c r="D3164">
        <v>2006</v>
      </c>
      <c r="E3164">
        <v>73</v>
      </c>
      <c r="F3164" t="s">
        <v>600</v>
      </c>
      <c r="G3164">
        <v>11</v>
      </c>
      <c r="H3164" t="s">
        <v>298</v>
      </c>
    </row>
    <row r="3165" spans="1:8">
      <c r="A3165" t="str">
        <f t="shared" si="49"/>
        <v>Prinsenweg 11c</v>
      </c>
      <c r="B3165" t="s">
        <v>599</v>
      </c>
      <c r="C3165" t="s">
        <v>296</v>
      </c>
      <c r="D3165">
        <v>2006</v>
      </c>
      <c r="E3165">
        <v>73</v>
      </c>
      <c r="F3165" t="s">
        <v>600</v>
      </c>
      <c r="G3165">
        <v>11</v>
      </c>
      <c r="H3165" t="s">
        <v>299</v>
      </c>
    </row>
    <row r="3166" spans="1:8">
      <c r="A3166" t="str">
        <f t="shared" si="49"/>
        <v>Prinsenweg 11d</v>
      </c>
      <c r="B3166" t="s">
        <v>599</v>
      </c>
      <c r="C3166" t="s">
        <v>296</v>
      </c>
      <c r="D3166">
        <v>2006</v>
      </c>
      <c r="E3166">
        <v>73</v>
      </c>
      <c r="F3166" t="s">
        <v>600</v>
      </c>
      <c r="G3166">
        <v>11</v>
      </c>
      <c r="H3166" t="s">
        <v>300</v>
      </c>
    </row>
    <row r="3167" spans="1:8">
      <c r="A3167" t="str">
        <f t="shared" si="49"/>
        <v>Prinsenweg 11e</v>
      </c>
      <c r="B3167" t="s">
        <v>599</v>
      </c>
      <c r="C3167" t="s">
        <v>296</v>
      </c>
      <c r="D3167">
        <v>2006</v>
      </c>
      <c r="E3167">
        <v>73</v>
      </c>
      <c r="F3167" t="s">
        <v>600</v>
      </c>
      <c r="G3167">
        <v>11</v>
      </c>
      <c r="H3167" t="s">
        <v>319</v>
      </c>
    </row>
    <row r="3168" spans="1:8">
      <c r="A3168" t="str">
        <f t="shared" si="49"/>
        <v>Prinsenweg 11f</v>
      </c>
      <c r="B3168" t="s">
        <v>599</v>
      </c>
      <c r="C3168" t="s">
        <v>296</v>
      </c>
      <c r="D3168">
        <v>2006</v>
      </c>
      <c r="E3168">
        <v>73</v>
      </c>
      <c r="F3168" t="s">
        <v>600</v>
      </c>
      <c r="G3168">
        <v>11</v>
      </c>
      <c r="H3168" t="s">
        <v>329</v>
      </c>
    </row>
    <row r="3169" spans="1:8">
      <c r="A3169" t="str">
        <f t="shared" si="49"/>
        <v>Prinsenweg 11g</v>
      </c>
      <c r="B3169" t="s">
        <v>599</v>
      </c>
      <c r="C3169" t="s">
        <v>296</v>
      </c>
      <c r="D3169">
        <v>2006</v>
      </c>
      <c r="E3169">
        <v>52</v>
      </c>
      <c r="F3169" t="s">
        <v>600</v>
      </c>
      <c r="G3169">
        <v>11</v>
      </c>
      <c r="H3169" t="s">
        <v>330</v>
      </c>
    </row>
    <row r="3170" spans="1:8">
      <c r="A3170" t="str">
        <f t="shared" si="49"/>
        <v>Prinsenweg 11h</v>
      </c>
      <c r="B3170" t="s">
        <v>599</v>
      </c>
      <c r="C3170" t="s">
        <v>296</v>
      </c>
      <c r="D3170">
        <v>2006</v>
      </c>
      <c r="E3170">
        <v>68</v>
      </c>
      <c r="F3170" t="s">
        <v>600</v>
      </c>
      <c r="G3170">
        <v>11</v>
      </c>
      <c r="H3170" t="s">
        <v>397</v>
      </c>
    </row>
    <row r="3171" spans="1:8">
      <c r="A3171" t="str">
        <f t="shared" si="49"/>
        <v>Prinsenweg 11i</v>
      </c>
      <c r="B3171" t="s">
        <v>599</v>
      </c>
      <c r="C3171" t="s">
        <v>296</v>
      </c>
      <c r="D3171">
        <v>2006</v>
      </c>
      <c r="E3171">
        <v>68</v>
      </c>
      <c r="F3171" t="s">
        <v>600</v>
      </c>
      <c r="G3171">
        <v>11</v>
      </c>
      <c r="H3171" t="s">
        <v>527</v>
      </c>
    </row>
    <row r="3172" spans="1:8">
      <c r="A3172" t="str">
        <f t="shared" si="49"/>
        <v>Prinsenweg 11j</v>
      </c>
      <c r="B3172" t="s">
        <v>599</v>
      </c>
      <c r="C3172" t="s">
        <v>296</v>
      </c>
      <c r="D3172">
        <v>2006</v>
      </c>
      <c r="E3172">
        <v>68</v>
      </c>
      <c r="F3172" t="s">
        <v>600</v>
      </c>
      <c r="G3172">
        <v>11</v>
      </c>
      <c r="H3172" t="s">
        <v>528</v>
      </c>
    </row>
    <row r="3173" spans="1:8">
      <c r="A3173" t="str">
        <f t="shared" si="49"/>
        <v>Prinsenweg 11k</v>
      </c>
      <c r="B3173" t="s">
        <v>599</v>
      </c>
      <c r="C3173" t="s">
        <v>296</v>
      </c>
      <c r="D3173">
        <v>2006</v>
      </c>
      <c r="E3173">
        <v>68</v>
      </c>
      <c r="F3173" t="s">
        <v>600</v>
      </c>
      <c r="G3173">
        <v>11</v>
      </c>
      <c r="H3173" t="s">
        <v>308</v>
      </c>
    </row>
    <row r="3174" spans="1:8">
      <c r="A3174" t="str">
        <f t="shared" si="49"/>
        <v>Prinsenweg 13</v>
      </c>
      <c r="B3174" t="s">
        <v>599</v>
      </c>
      <c r="C3174" t="s">
        <v>296</v>
      </c>
      <c r="D3174">
        <v>1974</v>
      </c>
      <c r="E3174">
        <v>600</v>
      </c>
      <c r="F3174" t="s">
        <v>600</v>
      </c>
      <c r="G3174">
        <v>13</v>
      </c>
    </row>
    <row r="3175" spans="1:8">
      <c r="A3175" t="str">
        <f t="shared" si="49"/>
        <v>Prinsenweg 15</v>
      </c>
      <c r="B3175" t="s">
        <v>599</v>
      </c>
      <c r="C3175" t="s">
        <v>296</v>
      </c>
      <c r="D3175">
        <v>1974</v>
      </c>
      <c r="E3175">
        <v>75</v>
      </c>
      <c r="F3175" t="s">
        <v>600</v>
      </c>
      <c r="G3175">
        <v>15</v>
      </c>
    </row>
    <row r="3176" spans="1:8">
      <c r="A3176" t="str">
        <f t="shared" si="49"/>
        <v>Prinsenweg 17a</v>
      </c>
      <c r="B3176" t="s">
        <v>599</v>
      </c>
      <c r="C3176" t="s">
        <v>296</v>
      </c>
      <c r="D3176">
        <v>1991</v>
      </c>
      <c r="E3176">
        <v>54</v>
      </c>
      <c r="F3176" t="s">
        <v>600</v>
      </c>
      <c r="G3176">
        <v>17</v>
      </c>
      <c r="H3176" t="s">
        <v>304</v>
      </c>
    </row>
    <row r="3177" spans="1:8">
      <c r="A3177" t="str">
        <f t="shared" si="49"/>
        <v>Prinsenweg 17</v>
      </c>
      <c r="B3177" t="s">
        <v>599</v>
      </c>
      <c r="C3177" t="s">
        <v>296</v>
      </c>
      <c r="D3177">
        <v>1991</v>
      </c>
      <c r="E3177">
        <v>279</v>
      </c>
      <c r="F3177" t="s">
        <v>600</v>
      </c>
      <c r="G3177">
        <v>17</v>
      </c>
    </row>
    <row r="3178" spans="1:8">
      <c r="A3178" t="str">
        <f t="shared" si="49"/>
        <v>Prinsenweg 19a</v>
      </c>
      <c r="B3178" t="s">
        <v>599</v>
      </c>
      <c r="C3178" t="s">
        <v>296</v>
      </c>
      <c r="D3178">
        <v>1991</v>
      </c>
      <c r="E3178">
        <v>54</v>
      </c>
      <c r="F3178" t="s">
        <v>600</v>
      </c>
      <c r="G3178">
        <v>19</v>
      </c>
      <c r="H3178" t="s">
        <v>304</v>
      </c>
    </row>
    <row r="3179" spans="1:8">
      <c r="A3179" t="str">
        <f t="shared" si="49"/>
        <v>Prinsenweg 21a</v>
      </c>
      <c r="B3179" t="s">
        <v>599</v>
      </c>
      <c r="C3179" t="s">
        <v>296</v>
      </c>
      <c r="D3179">
        <v>1987</v>
      </c>
      <c r="E3179">
        <v>51</v>
      </c>
      <c r="F3179" t="s">
        <v>600</v>
      </c>
      <c r="G3179">
        <v>21</v>
      </c>
      <c r="H3179" t="s">
        <v>304</v>
      </c>
    </row>
    <row r="3180" spans="1:8">
      <c r="A3180" t="str">
        <f t="shared" si="49"/>
        <v>Prinsenweg 21</v>
      </c>
      <c r="B3180" t="s">
        <v>599</v>
      </c>
      <c r="C3180" t="s">
        <v>296</v>
      </c>
      <c r="D3180">
        <v>1987</v>
      </c>
      <c r="E3180">
        <v>85</v>
      </c>
      <c r="F3180" t="s">
        <v>600</v>
      </c>
      <c r="G3180">
        <v>21</v>
      </c>
    </row>
    <row r="3181" spans="1:8">
      <c r="A3181" t="str">
        <f t="shared" si="49"/>
        <v>Prinsenweg 23a</v>
      </c>
      <c r="B3181" t="s">
        <v>599</v>
      </c>
      <c r="C3181" t="s">
        <v>296</v>
      </c>
      <c r="D3181">
        <v>1987</v>
      </c>
      <c r="E3181">
        <v>51</v>
      </c>
      <c r="F3181" t="s">
        <v>600</v>
      </c>
      <c r="G3181">
        <v>23</v>
      </c>
      <c r="H3181" t="s">
        <v>304</v>
      </c>
    </row>
    <row r="3182" spans="1:8">
      <c r="A3182" t="str">
        <f t="shared" si="49"/>
        <v>Prinsenweg 23</v>
      </c>
      <c r="B3182" t="s">
        <v>599</v>
      </c>
      <c r="C3182" t="s">
        <v>296</v>
      </c>
      <c r="D3182">
        <v>1987</v>
      </c>
      <c r="E3182">
        <v>75</v>
      </c>
      <c r="F3182" t="s">
        <v>600</v>
      </c>
      <c r="G3182">
        <v>23</v>
      </c>
    </row>
    <row r="3183" spans="1:8">
      <c r="A3183" t="str">
        <f t="shared" si="49"/>
        <v>Prinsenweg 25a</v>
      </c>
      <c r="B3183" t="s">
        <v>599</v>
      </c>
      <c r="C3183" t="s">
        <v>296</v>
      </c>
      <c r="D3183">
        <v>1987</v>
      </c>
      <c r="E3183">
        <v>51</v>
      </c>
      <c r="F3183" t="s">
        <v>600</v>
      </c>
      <c r="G3183">
        <v>25</v>
      </c>
      <c r="H3183" t="s">
        <v>304</v>
      </c>
    </row>
    <row r="3184" spans="1:8">
      <c r="A3184" t="str">
        <f t="shared" si="49"/>
        <v>Prinsenweg 25</v>
      </c>
      <c r="B3184" t="s">
        <v>599</v>
      </c>
      <c r="C3184" t="s">
        <v>296</v>
      </c>
      <c r="D3184">
        <v>1987</v>
      </c>
      <c r="E3184">
        <v>75</v>
      </c>
      <c r="F3184" t="s">
        <v>600</v>
      </c>
      <c r="G3184">
        <v>25</v>
      </c>
    </row>
    <row r="3185" spans="1:8">
      <c r="A3185" t="str">
        <f t="shared" si="49"/>
        <v>Prinsenweg 27a</v>
      </c>
      <c r="B3185" t="s">
        <v>599</v>
      </c>
      <c r="C3185" t="s">
        <v>296</v>
      </c>
      <c r="D3185">
        <v>1987</v>
      </c>
      <c r="E3185">
        <v>51</v>
      </c>
      <c r="F3185" t="s">
        <v>600</v>
      </c>
      <c r="G3185">
        <v>27</v>
      </c>
      <c r="H3185" t="s">
        <v>304</v>
      </c>
    </row>
    <row r="3186" spans="1:8">
      <c r="A3186" t="str">
        <f t="shared" si="49"/>
        <v>Prinsenweg 27</v>
      </c>
      <c r="B3186" t="s">
        <v>599</v>
      </c>
      <c r="C3186" t="s">
        <v>296</v>
      </c>
      <c r="D3186">
        <v>1987</v>
      </c>
      <c r="E3186">
        <v>75</v>
      </c>
      <c r="F3186" t="s">
        <v>600</v>
      </c>
      <c r="G3186">
        <v>27</v>
      </c>
    </row>
    <row r="3187" spans="1:8">
      <c r="A3187" t="str">
        <f t="shared" si="49"/>
        <v>Prinsenweg 29a</v>
      </c>
      <c r="B3187" t="s">
        <v>599</v>
      </c>
      <c r="C3187" t="s">
        <v>296</v>
      </c>
      <c r="D3187">
        <v>1987</v>
      </c>
      <c r="E3187">
        <v>51</v>
      </c>
      <c r="F3187" t="s">
        <v>600</v>
      </c>
      <c r="G3187">
        <v>29</v>
      </c>
      <c r="H3187" t="s">
        <v>304</v>
      </c>
    </row>
    <row r="3188" spans="1:8">
      <c r="A3188" t="str">
        <f t="shared" si="49"/>
        <v>Prinsenweg 29</v>
      </c>
      <c r="B3188" t="s">
        <v>599</v>
      </c>
      <c r="C3188" t="s">
        <v>296</v>
      </c>
      <c r="D3188">
        <v>1987</v>
      </c>
      <c r="E3188">
        <v>75</v>
      </c>
      <c r="F3188" t="s">
        <v>600</v>
      </c>
      <c r="G3188">
        <v>29</v>
      </c>
    </row>
    <row r="3189" spans="1:8">
      <c r="A3189" t="str">
        <f t="shared" si="49"/>
        <v>Prinsenweg 31a</v>
      </c>
      <c r="B3189" t="s">
        <v>599</v>
      </c>
      <c r="C3189" t="s">
        <v>296</v>
      </c>
      <c r="D3189">
        <v>1987</v>
      </c>
      <c r="E3189">
        <v>102</v>
      </c>
      <c r="F3189" t="s">
        <v>600</v>
      </c>
      <c r="G3189">
        <v>31</v>
      </c>
      <c r="H3189" t="s">
        <v>304</v>
      </c>
    </row>
    <row r="3190" spans="1:8">
      <c r="A3190" t="str">
        <f t="shared" si="49"/>
        <v>Prinsenweg 31b</v>
      </c>
      <c r="B3190" t="s">
        <v>599</v>
      </c>
      <c r="C3190" t="s">
        <v>296</v>
      </c>
      <c r="D3190">
        <v>1987</v>
      </c>
      <c r="E3190">
        <v>57</v>
      </c>
      <c r="F3190" t="s">
        <v>600</v>
      </c>
      <c r="G3190">
        <v>31</v>
      </c>
      <c r="H3190" t="s">
        <v>298</v>
      </c>
    </row>
    <row r="3191" spans="1:8">
      <c r="A3191" t="str">
        <f t="shared" si="49"/>
        <v>Prinsenweg 31</v>
      </c>
      <c r="B3191" t="s">
        <v>599</v>
      </c>
      <c r="C3191" t="s">
        <v>296</v>
      </c>
      <c r="D3191">
        <v>1987</v>
      </c>
      <c r="E3191">
        <v>79</v>
      </c>
      <c r="F3191" t="s">
        <v>600</v>
      </c>
      <c r="G3191">
        <v>31</v>
      </c>
    </row>
    <row r="3192" spans="1:8">
      <c r="A3192" t="str">
        <f t="shared" si="49"/>
        <v>Prinsenweg 33a</v>
      </c>
      <c r="B3192" t="s">
        <v>599</v>
      </c>
      <c r="C3192" t="s">
        <v>296</v>
      </c>
      <c r="D3192">
        <v>1994</v>
      </c>
      <c r="E3192">
        <v>114</v>
      </c>
      <c r="F3192" t="s">
        <v>600</v>
      </c>
      <c r="G3192">
        <v>33</v>
      </c>
      <c r="H3192" t="s">
        <v>304</v>
      </c>
    </row>
    <row r="3193" spans="1:8">
      <c r="A3193" t="str">
        <f t="shared" si="49"/>
        <v>Prinsenweg 33</v>
      </c>
      <c r="B3193" t="s">
        <v>599</v>
      </c>
      <c r="C3193" t="s">
        <v>296</v>
      </c>
      <c r="D3193">
        <v>1994</v>
      </c>
      <c r="E3193">
        <v>170</v>
      </c>
      <c r="F3193" t="s">
        <v>600</v>
      </c>
      <c r="G3193">
        <v>33</v>
      </c>
    </row>
    <row r="3194" spans="1:8">
      <c r="A3194" t="str">
        <f t="shared" si="49"/>
        <v>Prinsenweg 35a</v>
      </c>
      <c r="B3194" t="s">
        <v>599</v>
      </c>
      <c r="C3194" t="s">
        <v>296</v>
      </c>
      <c r="D3194">
        <v>2006</v>
      </c>
      <c r="E3194">
        <v>192</v>
      </c>
      <c r="F3194" t="s">
        <v>600</v>
      </c>
      <c r="G3194">
        <v>35</v>
      </c>
      <c r="H3194" t="s">
        <v>304</v>
      </c>
    </row>
    <row r="3195" spans="1:8">
      <c r="A3195" t="str">
        <f t="shared" si="49"/>
        <v>Prinsenweg 35c</v>
      </c>
      <c r="B3195" t="s">
        <v>599</v>
      </c>
      <c r="C3195" t="s">
        <v>296</v>
      </c>
      <c r="D3195">
        <v>2006</v>
      </c>
      <c r="E3195">
        <v>98</v>
      </c>
      <c r="F3195" t="s">
        <v>600</v>
      </c>
      <c r="G3195">
        <v>35</v>
      </c>
      <c r="H3195" t="s">
        <v>299</v>
      </c>
    </row>
    <row r="3196" spans="1:8">
      <c r="A3196" t="str">
        <f t="shared" si="49"/>
        <v>Prinsenweg 35d</v>
      </c>
      <c r="B3196" t="s">
        <v>599</v>
      </c>
      <c r="C3196" t="s">
        <v>296</v>
      </c>
      <c r="D3196">
        <v>2006</v>
      </c>
      <c r="E3196">
        <v>98</v>
      </c>
      <c r="F3196" t="s">
        <v>600</v>
      </c>
      <c r="G3196">
        <v>35</v>
      </c>
      <c r="H3196" t="s">
        <v>300</v>
      </c>
    </row>
    <row r="3197" spans="1:8">
      <c r="A3197" t="str">
        <f t="shared" si="49"/>
        <v>Prinsenweg 35e</v>
      </c>
      <c r="B3197" t="s">
        <v>599</v>
      </c>
      <c r="C3197" t="s">
        <v>296</v>
      </c>
      <c r="D3197">
        <v>2006</v>
      </c>
      <c r="E3197">
        <v>98</v>
      </c>
      <c r="F3197" t="s">
        <v>600</v>
      </c>
      <c r="G3197">
        <v>35</v>
      </c>
      <c r="H3197" t="s">
        <v>319</v>
      </c>
    </row>
    <row r="3198" spans="1:8">
      <c r="A3198" t="str">
        <f t="shared" si="49"/>
        <v>Prinsenweg 35</v>
      </c>
      <c r="B3198" t="s">
        <v>599</v>
      </c>
      <c r="C3198" t="s">
        <v>296</v>
      </c>
      <c r="D3198">
        <v>1991</v>
      </c>
      <c r="E3198">
        <v>92</v>
      </c>
      <c r="F3198" t="s">
        <v>600</v>
      </c>
      <c r="G3198">
        <v>35</v>
      </c>
    </row>
    <row r="3199" spans="1:8">
      <c r="A3199" t="str">
        <f t="shared" si="49"/>
        <v>Prinsenweg 37</v>
      </c>
      <c r="B3199" t="s">
        <v>599</v>
      </c>
      <c r="C3199" t="s">
        <v>296</v>
      </c>
      <c r="D3199">
        <v>1991</v>
      </c>
      <c r="E3199">
        <v>92</v>
      </c>
      <c r="F3199" t="s">
        <v>600</v>
      </c>
      <c r="G3199">
        <v>37</v>
      </c>
    </row>
    <row r="3200" spans="1:8">
      <c r="A3200" t="str">
        <f t="shared" si="49"/>
        <v>Prinsenweg 39</v>
      </c>
      <c r="B3200" t="s">
        <v>599</v>
      </c>
      <c r="C3200" t="s">
        <v>296</v>
      </c>
      <c r="D3200">
        <v>1991</v>
      </c>
      <c r="E3200">
        <v>92</v>
      </c>
      <c r="F3200" t="s">
        <v>600</v>
      </c>
      <c r="G3200">
        <v>39</v>
      </c>
    </row>
    <row r="3201" spans="1:7">
      <c r="A3201" t="str">
        <f t="shared" si="49"/>
        <v>Prinsenweg 41</v>
      </c>
      <c r="B3201" t="s">
        <v>599</v>
      </c>
      <c r="C3201" t="s">
        <v>296</v>
      </c>
      <c r="D3201">
        <v>1991</v>
      </c>
      <c r="E3201">
        <v>92</v>
      </c>
      <c r="F3201" t="s">
        <v>600</v>
      </c>
      <c r="G3201">
        <v>41</v>
      </c>
    </row>
    <row r="3202" spans="1:7">
      <c r="A3202" t="str">
        <f t="shared" ref="A3202:A3265" si="50">CONCATENATE(F3202," ",G3202,H3202)</f>
        <v>Prinses Amaliahof 1</v>
      </c>
      <c r="B3202" t="s">
        <v>602</v>
      </c>
      <c r="C3202" t="s">
        <v>306</v>
      </c>
      <c r="D3202">
        <v>2020</v>
      </c>
      <c r="E3202">
        <v>21</v>
      </c>
      <c r="F3202" t="s">
        <v>603</v>
      </c>
      <c r="G3202">
        <v>1</v>
      </c>
    </row>
    <row r="3203" spans="1:7">
      <c r="A3203" t="str">
        <f t="shared" si="50"/>
        <v>Prinses Amaliahof 2</v>
      </c>
      <c r="B3203" t="s">
        <v>602</v>
      </c>
      <c r="C3203" t="s">
        <v>306</v>
      </c>
      <c r="D3203">
        <v>2020</v>
      </c>
      <c r="E3203">
        <v>77</v>
      </c>
      <c r="F3203" t="s">
        <v>603</v>
      </c>
      <c r="G3203">
        <v>2</v>
      </c>
    </row>
    <row r="3204" spans="1:7">
      <c r="A3204" t="str">
        <f t="shared" si="50"/>
        <v>Prinses Amaliahof 3</v>
      </c>
      <c r="B3204" t="s">
        <v>602</v>
      </c>
      <c r="C3204" t="s">
        <v>306</v>
      </c>
      <c r="D3204">
        <v>2020</v>
      </c>
      <c r="E3204">
        <v>44</v>
      </c>
      <c r="F3204" t="s">
        <v>603</v>
      </c>
      <c r="G3204">
        <v>3</v>
      </c>
    </row>
    <row r="3205" spans="1:7">
      <c r="A3205" t="str">
        <f t="shared" si="50"/>
        <v>Prinses Amaliahof 4</v>
      </c>
      <c r="B3205" t="s">
        <v>602</v>
      </c>
      <c r="C3205" t="s">
        <v>306</v>
      </c>
      <c r="D3205">
        <v>2020</v>
      </c>
      <c r="E3205">
        <v>77</v>
      </c>
      <c r="F3205" t="s">
        <v>603</v>
      </c>
      <c r="G3205">
        <v>4</v>
      </c>
    </row>
    <row r="3206" spans="1:7">
      <c r="A3206" t="str">
        <f t="shared" si="50"/>
        <v>Prinses Amaliahof 5</v>
      </c>
      <c r="B3206" t="s">
        <v>602</v>
      </c>
      <c r="C3206" t="s">
        <v>306</v>
      </c>
      <c r="D3206">
        <v>2020</v>
      </c>
      <c r="E3206">
        <v>44</v>
      </c>
      <c r="F3206" t="s">
        <v>603</v>
      </c>
      <c r="G3206">
        <v>5</v>
      </c>
    </row>
    <row r="3207" spans="1:7">
      <c r="A3207" t="str">
        <f t="shared" si="50"/>
        <v>Prinses Amaliahof 6</v>
      </c>
      <c r="B3207" t="s">
        <v>602</v>
      </c>
      <c r="C3207" t="s">
        <v>306</v>
      </c>
      <c r="D3207">
        <v>2020</v>
      </c>
      <c r="E3207">
        <v>77</v>
      </c>
      <c r="F3207" t="s">
        <v>603</v>
      </c>
      <c r="G3207">
        <v>6</v>
      </c>
    </row>
    <row r="3208" spans="1:7">
      <c r="A3208" t="str">
        <f t="shared" si="50"/>
        <v>Prinses Amaliahof 7</v>
      </c>
      <c r="B3208" t="s">
        <v>602</v>
      </c>
      <c r="C3208" t="s">
        <v>306</v>
      </c>
      <c r="D3208">
        <v>2020</v>
      </c>
      <c r="E3208">
        <v>44</v>
      </c>
      <c r="F3208" t="s">
        <v>603</v>
      </c>
      <c r="G3208">
        <v>7</v>
      </c>
    </row>
    <row r="3209" spans="1:7">
      <c r="A3209" t="str">
        <f t="shared" si="50"/>
        <v>Prinses Amaliahof 9</v>
      </c>
      <c r="B3209" t="s">
        <v>602</v>
      </c>
      <c r="C3209" t="s">
        <v>306</v>
      </c>
      <c r="D3209">
        <v>2020</v>
      </c>
      <c r="E3209">
        <v>44</v>
      </c>
      <c r="F3209" t="s">
        <v>603</v>
      </c>
      <c r="G3209">
        <v>9</v>
      </c>
    </row>
    <row r="3210" spans="1:7">
      <c r="A3210" t="str">
        <f t="shared" si="50"/>
        <v>Prinses Amaliahof 11</v>
      </c>
      <c r="B3210" t="s">
        <v>602</v>
      </c>
      <c r="C3210" t="s">
        <v>306</v>
      </c>
      <c r="D3210">
        <v>2020</v>
      </c>
      <c r="E3210">
        <v>44</v>
      </c>
      <c r="F3210" t="s">
        <v>603</v>
      </c>
      <c r="G3210">
        <v>11</v>
      </c>
    </row>
    <row r="3211" spans="1:7">
      <c r="A3211" t="str">
        <f t="shared" si="50"/>
        <v>Prinses Amaliahof 13</v>
      </c>
      <c r="B3211" t="s">
        <v>602</v>
      </c>
      <c r="C3211" t="s">
        <v>306</v>
      </c>
      <c r="D3211">
        <v>2020</v>
      </c>
      <c r="E3211">
        <v>44</v>
      </c>
      <c r="F3211" t="s">
        <v>603</v>
      </c>
      <c r="G3211">
        <v>13</v>
      </c>
    </row>
    <row r="3212" spans="1:7">
      <c r="A3212" t="str">
        <f t="shared" si="50"/>
        <v>Prinses Amaliahof 15</v>
      </c>
      <c r="B3212" t="s">
        <v>602</v>
      </c>
      <c r="C3212" t="s">
        <v>306</v>
      </c>
      <c r="D3212">
        <v>2020</v>
      </c>
      <c r="E3212">
        <v>44</v>
      </c>
      <c r="F3212" t="s">
        <v>603</v>
      </c>
      <c r="G3212">
        <v>15</v>
      </c>
    </row>
    <row r="3213" spans="1:7">
      <c r="A3213" t="str">
        <f t="shared" si="50"/>
        <v>Prinses Amaliahof 17</v>
      </c>
      <c r="B3213" t="s">
        <v>602</v>
      </c>
      <c r="C3213" t="s">
        <v>306</v>
      </c>
      <c r="D3213">
        <v>2020</v>
      </c>
      <c r="E3213">
        <v>44</v>
      </c>
      <c r="F3213" t="s">
        <v>603</v>
      </c>
      <c r="G3213">
        <v>17</v>
      </c>
    </row>
    <row r="3214" spans="1:7">
      <c r="A3214" t="str">
        <f t="shared" si="50"/>
        <v>Prinses Amaliahof 19</v>
      </c>
      <c r="B3214" t="s">
        <v>602</v>
      </c>
      <c r="C3214" t="s">
        <v>306</v>
      </c>
      <c r="D3214">
        <v>2020</v>
      </c>
      <c r="E3214">
        <v>44</v>
      </c>
      <c r="F3214" t="s">
        <v>603</v>
      </c>
      <c r="G3214">
        <v>19</v>
      </c>
    </row>
    <row r="3215" spans="1:7">
      <c r="A3215" t="str">
        <f t="shared" si="50"/>
        <v>Prinses Amaliahof 21</v>
      </c>
      <c r="B3215" t="s">
        <v>602</v>
      </c>
      <c r="C3215" t="s">
        <v>306</v>
      </c>
      <c r="D3215">
        <v>2020</v>
      </c>
      <c r="E3215">
        <v>44</v>
      </c>
      <c r="F3215" t="s">
        <v>603</v>
      </c>
      <c r="G3215">
        <v>21</v>
      </c>
    </row>
    <row r="3216" spans="1:7">
      <c r="A3216" t="str">
        <f t="shared" si="50"/>
        <v>Prinses Amaliahof 23</v>
      </c>
      <c r="B3216" t="s">
        <v>602</v>
      </c>
      <c r="C3216" t="s">
        <v>306</v>
      </c>
      <c r="D3216">
        <v>2020</v>
      </c>
      <c r="E3216">
        <v>44</v>
      </c>
      <c r="F3216" t="s">
        <v>603</v>
      </c>
      <c r="G3216">
        <v>23</v>
      </c>
    </row>
    <row r="3217" spans="1:8">
      <c r="A3217" t="str">
        <f t="shared" si="50"/>
        <v>Prinses Amaliahof 25</v>
      </c>
      <c r="B3217" t="s">
        <v>602</v>
      </c>
      <c r="C3217" t="s">
        <v>306</v>
      </c>
      <c r="D3217">
        <v>2020</v>
      </c>
      <c r="E3217">
        <v>44</v>
      </c>
      <c r="F3217" t="s">
        <v>603</v>
      </c>
      <c r="G3217">
        <v>25</v>
      </c>
    </row>
    <row r="3218" spans="1:8">
      <c r="A3218" t="str">
        <f t="shared" si="50"/>
        <v>Prinses Amaliahof 27</v>
      </c>
      <c r="B3218" t="s">
        <v>602</v>
      </c>
      <c r="C3218" t="s">
        <v>306</v>
      </c>
      <c r="D3218">
        <v>2020</v>
      </c>
      <c r="E3218">
        <v>44</v>
      </c>
      <c r="F3218" t="s">
        <v>603</v>
      </c>
      <c r="G3218">
        <v>27</v>
      </c>
    </row>
    <row r="3219" spans="1:8">
      <c r="A3219" t="str">
        <f t="shared" si="50"/>
        <v>Prinses Amaliahof 29</v>
      </c>
      <c r="B3219" t="s">
        <v>602</v>
      </c>
      <c r="C3219" t="s">
        <v>306</v>
      </c>
      <c r="D3219">
        <v>2020</v>
      </c>
      <c r="E3219">
        <v>44</v>
      </c>
      <c r="F3219" t="s">
        <v>603</v>
      </c>
      <c r="G3219">
        <v>29</v>
      </c>
    </row>
    <row r="3220" spans="1:8">
      <c r="A3220" t="str">
        <f t="shared" si="50"/>
        <v>Prinses Amaliahof 31</v>
      </c>
      <c r="B3220" t="s">
        <v>602</v>
      </c>
      <c r="C3220" t="s">
        <v>306</v>
      </c>
      <c r="D3220">
        <v>2020</v>
      </c>
      <c r="E3220">
        <v>44</v>
      </c>
      <c r="F3220" t="s">
        <v>603</v>
      </c>
      <c r="G3220">
        <v>31</v>
      </c>
    </row>
    <row r="3221" spans="1:8">
      <c r="A3221" t="str">
        <f t="shared" si="50"/>
        <v>Prinses Amaliahof 33</v>
      </c>
      <c r="B3221" t="s">
        <v>602</v>
      </c>
      <c r="C3221" t="s">
        <v>306</v>
      </c>
      <c r="D3221">
        <v>2020</v>
      </c>
      <c r="E3221">
        <v>44</v>
      </c>
      <c r="F3221" t="s">
        <v>603</v>
      </c>
      <c r="G3221">
        <v>33</v>
      </c>
    </row>
    <row r="3222" spans="1:8">
      <c r="A3222" t="str">
        <f t="shared" si="50"/>
        <v>Prinses Amaliahof 35</v>
      </c>
      <c r="B3222" t="s">
        <v>602</v>
      </c>
      <c r="C3222" t="s">
        <v>306</v>
      </c>
      <c r="D3222">
        <v>2020</v>
      </c>
      <c r="E3222">
        <v>44</v>
      </c>
      <c r="F3222" t="s">
        <v>603</v>
      </c>
      <c r="G3222">
        <v>35</v>
      </c>
    </row>
    <row r="3223" spans="1:8">
      <c r="A3223" t="str">
        <f t="shared" si="50"/>
        <v>Prinses Amaliahof 37</v>
      </c>
      <c r="B3223" t="s">
        <v>602</v>
      </c>
      <c r="C3223" t="s">
        <v>306</v>
      </c>
      <c r="D3223">
        <v>2020</v>
      </c>
      <c r="E3223">
        <v>44</v>
      </c>
      <c r="F3223" t="s">
        <v>603</v>
      </c>
      <c r="G3223">
        <v>37</v>
      </c>
    </row>
    <row r="3224" spans="1:8">
      <c r="A3224" t="str">
        <f t="shared" si="50"/>
        <v>Prinses Amaliahof 39</v>
      </c>
      <c r="B3224" t="s">
        <v>602</v>
      </c>
      <c r="C3224" t="s">
        <v>306</v>
      </c>
      <c r="D3224">
        <v>2020</v>
      </c>
      <c r="E3224">
        <v>44</v>
      </c>
      <c r="F3224" t="s">
        <v>603</v>
      </c>
      <c r="G3224">
        <v>39</v>
      </c>
    </row>
    <row r="3225" spans="1:8">
      <c r="A3225" t="str">
        <f t="shared" si="50"/>
        <v>Prinses Amaliahof 41</v>
      </c>
      <c r="B3225" t="s">
        <v>602</v>
      </c>
      <c r="C3225" t="s">
        <v>306</v>
      </c>
      <c r="D3225">
        <v>2020</v>
      </c>
      <c r="E3225">
        <v>44</v>
      </c>
      <c r="F3225" t="s">
        <v>603</v>
      </c>
      <c r="G3225">
        <v>41</v>
      </c>
    </row>
    <row r="3226" spans="1:8">
      <c r="A3226" t="str">
        <f t="shared" si="50"/>
        <v>Prinses Amaliahof 43</v>
      </c>
      <c r="B3226" t="s">
        <v>602</v>
      </c>
      <c r="C3226" t="s">
        <v>306</v>
      </c>
      <c r="D3226">
        <v>2020</v>
      </c>
      <c r="E3226">
        <v>44</v>
      </c>
      <c r="F3226" t="s">
        <v>603</v>
      </c>
      <c r="G3226">
        <v>43</v>
      </c>
    </row>
    <row r="3227" spans="1:8">
      <c r="A3227" t="str">
        <f t="shared" si="50"/>
        <v>Prinses Amaliahof 45</v>
      </c>
      <c r="B3227" t="s">
        <v>602</v>
      </c>
      <c r="C3227" t="s">
        <v>306</v>
      </c>
      <c r="D3227">
        <v>2020</v>
      </c>
      <c r="E3227">
        <v>44</v>
      </c>
      <c r="F3227" t="s">
        <v>603</v>
      </c>
      <c r="G3227">
        <v>45</v>
      </c>
    </row>
    <row r="3228" spans="1:8">
      <c r="A3228" t="str">
        <f t="shared" si="50"/>
        <v>Prinses Amaliahof 47</v>
      </c>
      <c r="B3228" t="s">
        <v>602</v>
      </c>
      <c r="C3228" t="s">
        <v>306</v>
      </c>
      <c r="D3228">
        <v>2020</v>
      </c>
      <c r="E3228">
        <v>44</v>
      </c>
      <c r="F3228" t="s">
        <v>603</v>
      </c>
      <c r="G3228">
        <v>47</v>
      </c>
    </row>
    <row r="3229" spans="1:8">
      <c r="A3229" t="str">
        <f t="shared" si="50"/>
        <v>Prinses Amaliahof 49</v>
      </c>
      <c r="B3229" t="s">
        <v>602</v>
      </c>
      <c r="C3229" t="s">
        <v>306</v>
      </c>
      <c r="D3229">
        <v>2020</v>
      </c>
      <c r="E3229">
        <v>44</v>
      </c>
      <c r="F3229" t="s">
        <v>603</v>
      </c>
      <c r="G3229">
        <v>49</v>
      </c>
    </row>
    <row r="3230" spans="1:8">
      <c r="A3230" t="str">
        <f t="shared" si="50"/>
        <v>Prinses Amaliahof 51a</v>
      </c>
      <c r="B3230" t="s">
        <v>602</v>
      </c>
      <c r="C3230" t="s">
        <v>306</v>
      </c>
      <c r="D3230">
        <v>2020</v>
      </c>
      <c r="E3230">
        <v>74</v>
      </c>
      <c r="F3230" t="s">
        <v>603</v>
      </c>
      <c r="G3230">
        <v>51</v>
      </c>
      <c r="H3230" t="s">
        <v>304</v>
      </c>
    </row>
    <row r="3231" spans="1:8">
      <c r="A3231" t="str">
        <f t="shared" si="50"/>
        <v>Prinses Amaliahof 51</v>
      </c>
      <c r="B3231" t="s">
        <v>602</v>
      </c>
      <c r="C3231" t="s">
        <v>306</v>
      </c>
      <c r="D3231">
        <v>2020</v>
      </c>
      <c r="E3231">
        <v>62</v>
      </c>
      <c r="F3231" t="s">
        <v>603</v>
      </c>
      <c r="G3231">
        <v>51</v>
      </c>
    </row>
    <row r="3232" spans="1:8">
      <c r="A3232" t="str">
        <f t="shared" si="50"/>
        <v>Prinses Amaliahof 53</v>
      </c>
      <c r="B3232" t="s">
        <v>602</v>
      </c>
      <c r="C3232" t="s">
        <v>306</v>
      </c>
      <c r="D3232">
        <v>2020</v>
      </c>
      <c r="E3232">
        <v>62</v>
      </c>
      <c r="F3232" t="s">
        <v>603</v>
      </c>
      <c r="G3232">
        <v>53</v>
      </c>
    </row>
    <row r="3233" spans="1:8">
      <c r="A3233" t="str">
        <f t="shared" si="50"/>
        <v>Prinses Amaliahof 55</v>
      </c>
      <c r="B3233" t="s">
        <v>602</v>
      </c>
      <c r="C3233" t="s">
        <v>306</v>
      </c>
      <c r="D3233">
        <v>2020</v>
      </c>
      <c r="E3233">
        <v>74</v>
      </c>
      <c r="F3233" t="s">
        <v>603</v>
      </c>
      <c r="G3233">
        <v>55</v>
      </c>
    </row>
    <row r="3234" spans="1:8">
      <c r="A3234" t="str">
        <f t="shared" si="50"/>
        <v>Prinses Amaliahof 57</v>
      </c>
      <c r="B3234" t="s">
        <v>602</v>
      </c>
      <c r="C3234" t="s">
        <v>306</v>
      </c>
      <c r="D3234">
        <v>2020</v>
      </c>
      <c r="E3234">
        <v>62</v>
      </c>
      <c r="F3234" t="s">
        <v>603</v>
      </c>
      <c r="G3234">
        <v>57</v>
      </c>
    </row>
    <row r="3235" spans="1:8">
      <c r="A3235" t="str">
        <f t="shared" si="50"/>
        <v>Prinses Amaliahof 59</v>
      </c>
      <c r="B3235" t="s">
        <v>602</v>
      </c>
      <c r="C3235" t="s">
        <v>306</v>
      </c>
      <c r="D3235">
        <v>2020</v>
      </c>
      <c r="E3235">
        <v>62</v>
      </c>
      <c r="F3235" t="s">
        <v>603</v>
      </c>
      <c r="G3235">
        <v>59</v>
      </c>
    </row>
    <row r="3236" spans="1:8">
      <c r="A3236" t="str">
        <f t="shared" si="50"/>
        <v>Prinses Amaliahof 61</v>
      </c>
      <c r="B3236" t="s">
        <v>602</v>
      </c>
      <c r="C3236" t="s">
        <v>306</v>
      </c>
      <c r="D3236">
        <v>2020</v>
      </c>
      <c r="E3236">
        <v>74</v>
      </c>
      <c r="F3236" t="s">
        <v>603</v>
      </c>
      <c r="G3236">
        <v>61</v>
      </c>
    </row>
    <row r="3237" spans="1:8">
      <c r="A3237" t="str">
        <f t="shared" si="50"/>
        <v>Prinses Amaliahof 63</v>
      </c>
      <c r="B3237" t="s">
        <v>602</v>
      </c>
      <c r="C3237" t="s">
        <v>306</v>
      </c>
      <c r="D3237">
        <v>2020</v>
      </c>
      <c r="E3237">
        <v>74</v>
      </c>
      <c r="F3237" t="s">
        <v>603</v>
      </c>
      <c r="G3237">
        <v>63</v>
      </c>
    </row>
    <row r="3238" spans="1:8">
      <c r="A3238" t="str">
        <f t="shared" si="50"/>
        <v>Prinses Amaliahof 65</v>
      </c>
      <c r="B3238" t="s">
        <v>602</v>
      </c>
      <c r="C3238" t="s">
        <v>306</v>
      </c>
      <c r="D3238">
        <v>2020</v>
      </c>
      <c r="E3238">
        <v>62</v>
      </c>
      <c r="F3238" t="s">
        <v>603</v>
      </c>
      <c r="G3238">
        <v>65</v>
      </c>
    </row>
    <row r="3239" spans="1:8">
      <c r="A3239" t="str">
        <f t="shared" si="50"/>
        <v>Prinses Amaliahof 67</v>
      </c>
      <c r="B3239" t="s">
        <v>602</v>
      </c>
      <c r="C3239" t="s">
        <v>306</v>
      </c>
      <c r="D3239">
        <v>2020</v>
      </c>
      <c r="E3239">
        <v>62</v>
      </c>
      <c r="F3239" t="s">
        <v>603</v>
      </c>
      <c r="G3239">
        <v>67</v>
      </c>
    </row>
    <row r="3240" spans="1:8">
      <c r="A3240" t="str">
        <f t="shared" si="50"/>
        <v>Prinses Amaliahof 69</v>
      </c>
      <c r="B3240" t="s">
        <v>602</v>
      </c>
      <c r="C3240" t="s">
        <v>306</v>
      </c>
      <c r="D3240">
        <v>2020</v>
      </c>
      <c r="E3240">
        <v>74</v>
      </c>
      <c r="F3240" t="s">
        <v>603</v>
      </c>
      <c r="G3240">
        <v>69</v>
      </c>
    </row>
    <row r="3241" spans="1:8">
      <c r="A3241" t="str">
        <f t="shared" si="50"/>
        <v>Prinses Amaliahof 71</v>
      </c>
      <c r="B3241" t="s">
        <v>602</v>
      </c>
      <c r="C3241" t="s">
        <v>306</v>
      </c>
      <c r="D3241">
        <v>2020</v>
      </c>
      <c r="E3241">
        <v>62</v>
      </c>
      <c r="F3241" t="s">
        <v>603</v>
      </c>
      <c r="G3241">
        <v>71</v>
      </c>
    </row>
    <row r="3242" spans="1:8">
      <c r="A3242" t="str">
        <f t="shared" si="50"/>
        <v>Prinses Amaliahof 73</v>
      </c>
      <c r="B3242" t="s">
        <v>602</v>
      </c>
      <c r="C3242" t="s">
        <v>306</v>
      </c>
      <c r="D3242">
        <v>2020</v>
      </c>
      <c r="E3242">
        <v>62</v>
      </c>
      <c r="F3242" t="s">
        <v>603</v>
      </c>
      <c r="G3242">
        <v>73</v>
      </c>
    </row>
    <row r="3243" spans="1:8">
      <c r="A3243" t="str">
        <f t="shared" si="50"/>
        <v>Prinses Amaliahof 75</v>
      </c>
      <c r="B3243" t="s">
        <v>602</v>
      </c>
      <c r="C3243" t="s">
        <v>306</v>
      </c>
      <c r="D3243">
        <v>2020</v>
      </c>
      <c r="E3243">
        <v>74</v>
      </c>
      <c r="F3243" t="s">
        <v>603</v>
      </c>
      <c r="G3243">
        <v>75</v>
      </c>
    </row>
    <row r="3244" spans="1:8">
      <c r="A3244" t="str">
        <f t="shared" si="50"/>
        <v>Prinses Beatrixstraat 2</v>
      </c>
      <c r="B3244" t="s">
        <v>604</v>
      </c>
      <c r="C3244" t="s">
        <v>306</v>
      </c>
      <c r="D3244">
        <v>1980</v>
      </c>
      <c r="E3244">
        <v>150</v>
      </c>
      <c r="F3244" t="s">
        <v>605</v>
      </c>
      <c r="G3244">
        <v>2</v>
      </c>
    </row>
    <row r="3245" spans="1:8">
      <c r="A3245" t="str">
        <f t="shared" si="50"/>
        <v>Prinses Beatrixstraat 4a</v>
      </c>
      <c r="B3245" t="s">
        <v>604</v>
      </c>
      <c r="C3245" t="s">
        <v>306</v>
      </c>
      <c r="D3245">
        <v>1980</v>
      </c>
      <c r="E3245">
        <v>70</v>
      </c>
      <c r="F3245" t="s">
        <v>605</v>
      </c>
      <c r="G3245">
        <v>4</v>
      </c>
      <c r="H3245" t="s">
        <v>304</v>
      </c>
    </row>
    <row r="3246" spans="1:8">
      <c r="A3246" t="str">
        <f t="shared" si="50"/>
        <v>Prinses Beatrixstraat 4b</v>
      </c>
      <c r="B3246" t="s">
        <v>604</v>
      </c>
      <c r="C3246" t="s">
        <v>306</v>
      </c>
      <c r="D3246">
        <v>1980</v>
      </c>
      <c r="E3246">
        <v>80</v>
      </c>
      <c r="F3246" t="s">
        <v>605</v>
      </c>
      <c r="G3246">
        <v>4</v>
      </c>
      <c r="H3246" t="s">
        <v>298</v>
      </c>
    </row>
    <row r="3247" spans="1:8">
      <c r="A3247" t="str">
        <f t="shared" si="50"/>
        <v>Prinses Beatrixstraat 4c</v>
      </c>
      <c r="B3247" t="s">
        <v>604</v>
      </c>
      <c r="C3247" t="s">
        <v>306</v>
      </c>
      <c r="D3247">
        <v>1980</v>
      </c>
      <c r="E3247">
        <v>160</v>
      </c>
      <c r="F3247" t="s">
        <v>605</v>
      </c>
      <c r="G3247">
        <v>4</v>
      </c>
      <c r="H3247" t="s">
        <v>299</v>
      </c>
    </row>
    <row r="3248" spans="1:8">
      <c r="A3248" t="str">
        <f t="shared" si="50"/>
        <v>Prinses Beatrixstraat 4</v>
      </c>
      <c r="B3248" t="s">
        <v>604</v>
      </c>
      <c r="C3248" t="s">
        <v>306</v>
      </c>
      <c r="D3248">
        <v>1980</v>
      </c>
      <c r="E3248">
        <v>70</v>
      </c>
      <c r="F3248" t="s">
        <v>605</v>
      </c>
      <c r="G3248">
        <v>4</v>
      </c>
    </row>
    <row r="3249" spans="1:7">
      <c r="A3249" t="str">
        <f t="shared" si="50"/>
        <v>Prinses Beatrixstraat 6</v>
      </c>
      <c r="B3249" t="s">
        <v>604</v>
      </c>
      <c r="C3249" t="s">
        <v>306</v>
      </c>
      <c r="D3249">
        <v>1968</v>
      </c>
      <c r="E3249">
        <v>151</v>
      </c>
      <c r="F3249" t="s">
        <v>605</v>
      </c>
      <c r="G3249">
        <v>6</v>
      </c>
    </row>
    <row r="3250" spans="1:7">
      <c r="A3250" t="str">
        <f t="shared" si="50"/>
        <v>Prinses Beatrixstraat 8</v>
      </c>
      <c r="B3250" t="s">
        <v>604</v>
      </c>
      <c r="C3250" t="s">
        <v>306</v>
      </c>
      <c r="D3250">
        <v>1955</v>
      </c>
      <c r="E3250">
        <v>103</v>
      </c>
      <c r="F3250" t="s">
        <v>605</v>
      </c>
      <c r="G3250">
        <v>8</v>
      </c>
    </row>
    <row r="3251" spans="1:7">
      <c r="A3251" t="str">
        <f t="shared" si="50"/>
        <v>Prinses Beatrixstraat 10</v>
      </c>
      <c r="B3251" t="s">
        <v>604</v>
      </c>
      <c r="C3251" t="s">
        <v>306</v>
      </c>
      <c r="D3251">
        <v>1955</v>
      </c>
      <c r="E3251">
        <v>106</v>
      </c>
      <c r="F3251" t="s">
        <v>605</v>
      </c>
      <c r="G3251">
        <v>10</v>
      </c>
    </row>
    <row r="3252" spans="1:7">
      <c r="A3252" t="str">
        <f t="shared" si="50"/>
        <v>Prinses Beatrixstraat 12</v>
      </c>
      <c r="B3252" t="s">
        <v>604</v>
      </c>
      <c r="C3252" t="s">
        <v>306</v>
      </c>
      <c r="D3252">
        <v>1962</v>
      </c>
      <c r="E3252">
        <v>164</v>
      </c>
      <c r="F3252" t="s">
        <v>605</v>
      </c>
      <c r="G3252">
        <v>12</v>
      </c>
    </row>
    <row r="3253" spans="1:7">
      <c r="A3253" t="str">
        <f t="shared" si="50"/>
        <v>Prinses Beatrixstraat 13</v>
      </c>
      <c r="B3253" t="s">
        <v>604</v>
      </c>
      <c r="C3253" t="s">
        <v>306</v>
      </c>
      <c r="D3253">
        <v>1992</v>
      </c>
      <c r="E3253">
        <v>1446</v>
      </c>
      <c r="F3253" t="s">
        <v>605</v>
      </c>
      <c r="G3253">
        <v>13</v>
      </c>
    </row>
    <row r="3254" spans="1:7">
      <c r="A3254" t="str">
        <f t="shared" si="50"/>
        <v>Prinses Beatrixstraat 14</v>
      </c>
      <c r="B3254" t="s">
        <v>604</v>
      </c>
      <c r="C3254" t="s">
        <v>306</v>
      </c>
      <c r="D3254">
        <v>1962</v>
      </c>
      <c r="E3254">
        <v>178</v>
      </c>
      <c r="F3254" t="s">
        <v>605</v>
      </c>
      <c r="G3254">
        <v>14</v>
      </c>
    </row>
    <row r="3255" spans="1:7">
      <c r="A3255" t="str">
        <f t="shared" si="50"/>
        <v>Prinses Beatrixstraat 15</v>
      </c>
      <c r="B3255" t="s">
        <v>604</v>
      </c>
      <c r="C3255" t="s">
        <v>306</v>
      </c>
      <c r="D3255">
        <v>1992</v>
      </c>
      <c r="E3255">
        <v>15</v>
      </c>
      <c r="F3255" t="s">
        <v>605</v>
      </c>
      <c r="G3255">
        <v>15</v>
      </c>
    </row>
    <row r="3256" spans="1:7">
      <c r="A3256" t="str">
        <f t="shared" si="50"/>
        <v>Prinses Beatrixstraat 16</v>
      </c>
      <c r="B3256" t="s">
        <v>604</v>
      </c>
      <c r="C3256" t="s">
        <v>306</v>
      </c>
      <c r="D3256">
        <v>1965</v>
      </c>
      <c r="E3256">
        <v>131</v>
      </c>
      <c r="F3256" t="s">
        <v>605</v>
      </c>
      <c r="G3256">
        <v>16</v>
      </c>
    </row>
    <row r="3257" spans="1:7">
      <c r="A3257" t="str">
        <f t="shared" si="50"/>
        <v>Prinses Beatrixstraat 17</v>
      </c>
      <c r="B3257" t="s">
        <v>604</v>
      </c>
      <c r="C3257" t="s">
        <v>306</v>
      </c>
      <c r="D3257">
        <v>1992</v>
      </c>
      <c r="E3257">
        <v>75</v>
      </c>
      <c r="F3257" t="s">
        <v>605</v>
      </c>
      <c r="G3257">
        <v>17</v>
      </c>
    </row>
    <row r="3258" spans="1:7">
      <c r="A3258" t="str">
        <f t="shared" si="50"/>
        <v>Prinses Beatrixstraat 18</v>
      </c>
      <c r="B3258" t="s">
        <v>604</v>
      </c>
      <c r="C3258" t="s">
        <v>306</v>
      </c>
      <c r="D3258">
        <v>1964</v>
      </c>
      <c r="E3258">
        <v>154</v>
      </c>
      <c r="F3258" t="s">
        <v>605</v>
      </c>
      <c r="G3258">
        <v>18</v>
      </c>
    </row>
    <row r="3259" spans="1:7">
      <c r="A3259" t="str">
        <f t="shared" si="50"/>
        <v>Prinses Beatrixstraat 19</v>
      </c>
      <c r="B3259" t="s">
        <v>604</v>
      </c>
      <c r="C3259" t="s">
        <v>306</v>
      </c>
      <c r="D3259">
        <v>1992</v>
      </c>
      <c r="E3259">
        <v>75</v>
      </c>
      <c r="F3259" t="s">
        <v>605</v>
      </c>
      <c r="G3259">
        <v>19</v>
      </c>
    </row>
    <row r="3260" spans="1:7">
      <c r="A3260" t="str">
        <f t="shared" si="50"/>
        <v>Prinses Beatrixstraat 20</v>
      </c>
      <c r="B3260" t="s">
        <v>604</v>
      </c>
      <c r="C3260" t="s">
        <v>306</v>
      </c>
      <c r="D3260">
        <v>1963</v>
      </c>
      <c r="E3260">
        <v>145</v>
      </c>
      <c r="F3260" t="s">
        <v>605</v>
      </c>
      <c r="G3260">
        <v>20</v>
      </c>
    </row>
    <row r="3261" spans="1:7">
      <c r="A3261" t="str">
        <f t="shared" si="50"/>
        <v>Raadhuisplein 6</v>
      </c>
      <c r="B3261" t="s">
        <v>606</v>
      </c>
      <c r="C3261" t="s">
        <v>306</v>
      </c>
      <c r="D3261">
        <v>1950</v>
      </c>
      <c r="E3261">
        <v>2220</v>
      </c>
      <c r="F3261" t="s">
        <v>607</v>
      </c>
      <c r="G3261">
        <v>6</v>
      </c>
    </row>
    <row r="3262" spans="1:7">
      <c r="A3262" t="str">
        <f t="shared" si="50"/>
        <v>Raadhuisplein 8</v>
      </c>
      <c r="B3262" t="s">
        <v>606</v>
      </c>
      <c r="C3262" t="s">
        <v>306</v>
      </c>
      <c r="D3262">
        <v>1400</v>
      </c>
      <c r="E3262">
        <v>455</v>
      </c>
      <c r="F3262" t="s">
        <v>607</v>
      </c>
      <c r="G3262">
        <v>8</v>
      </c>
    </row>
    <row r="3263" spans="1:7">
      <c r="A3263" t="str">
        <f t="shared" si="50"/>
        <v>Raadhuisplein 14</v>
      </c>
      <c r="B3263" t="s">
        <v>606</v>
      </c>
      <c r="C3263" t="s">
        <v>306</v>
      </c>
      <c r="D3263">
        <v>2019</v>
      </c>
      <c r="E3263">
        <v>31</v>
      </c>
      <c r="F3263" t="s">
        <v>607</v>
      </c>
      <c r="G3263">
        <v>14</v>
      </c>
    </row>
    <row r="3264" spans="1:7">
      <c r="A3264" t="str">
        <f t="shared" si="50"/>
        <v>Raadhuisplein 16</v>
      </c>
      <c r="B3264" t="s">
        <v>606</v>
      </c>
      <c r="C3264" t="s">
        <v>306</v>
      </c>
      <c r="D3264">
        <v>2019</v>
      </c>
      <c r="E3264">
        <v>29</v>
      </c>
      <c r="F3264" t="s">
        <v>607</v>
      </c>
      <c r="G3264">
        <v>16</v>
      </c>
    </row>
    <row r="3265" spans="1:7">
      <c r="A3265" t="str">
        <f t="shared" si="50"/>
        <v>Raadhuisplein 18</v>
      </c>
      <c r="B3265" t="s">
        <v>606</v>
      </c>
      <c r="C3265" t="s">
        <v>306</v>
      </c>
      <c r="D3265">
        <v>2019</v>
      </c>
      <c r="E3265">
        <v>28</v>
      </c>
      <c r="F3265" t="s">
        <v>607</v>
      </c>
      <c r="G3265">
        <v>18</v>
      </c>
    </row>
    <row r="3266" spans="1:7">
      <c r="A3266" t="str">
        <f t="shared" ref="A3266:A3329" si="51">CONCATENATE(F3266," ",G3266,H3266)</f>
        <v>Raadhuisplein 20</v>
      </c>
      <c r="B3266" t="s">
        <v>606</v>
      </c>
      <c r="C3266" t="s">
        <v>306</v>
      </c>
      <c r="D3266">
        <v>2019</v>
      </c>
      <c r="E3266">
        <v>28</v>
      </c>
      <c r="F3266" t="s">
        <v>607</v>
      </c>
      <c r="G3266">
        <v>20</v>
      </c>
    </row>
    <row r="3267" spans="1:7">
      <c r="A3267" t="str">
        <f t="shared" si="51"/>
        <v>Raadhuisplein 22</v>
      </c>
      <c r="B3267" t="s">
        <v>606</v>
      </c>
      <c r="C3267" t="s">
        <v>306</v>
      </c>
      <c r="D3267">
        <v>2019</v>
      </c>
      <c r="E3267">
        <v>29</v>
      </c>
      <c r="F3267" t="s">
        <v>607</v>
      </c>
      <c r="G3267">
        <v>22</v>
      </c>
    </row>
    <row r="3268" spans="1:7">
      <c r="A3268" t="str">
        <f t="shared" si="51"/>
        <v>Raadhuisplein 24</v>
      </c>
      <c r="B3268" t="s">
        <v>606</v>
      </c>
      <c r="C3268" t="s">
        <v>306</v>
      </c>
      <c r="D3268">
        <v>2019</v>
      </c>
      <c r="E3268">
        <v>29</v>
      </c>
      <c r="F3268" t="s">
        <v>607</v>
      </c>
      <c r="G3268">
        <v>24</v>
      </c>
    </row>
    <row r="3269" spans="1:7">
      <c r="A3269" t="str">
        <f t="shared" si="51"/>
        <v>Raadhuisplein 26</v>
      </c>
      <c r="B3269" t="s">
        <v>606</v>
      </c>
      <c r="C3269" t="s">
        <v>306</v>
      </c>
      <c r="D3269">
        <v>2019</v>
      </c>
      <c r="E3269">
        <v>25</v>
      </c>
      <c r="F3269" t="s">
        <v>607</v>
      </c>
      <c r="G3269">
        <v>26</v>
      </c>
    </row>
    <row r="3270" spans="1:7">
      <c r="A3270" t="str">
        <f t="shared" si="51"/>
        <v>Raadhuisplein 28</v>
      </c>
      <c r="B3270" t="s">
        <v>606</v>
      </c>
      <c r="C3270" t="s">
        <v>306</v>
      </c>
      <c r="D3270">
        <v>2019</v>
      </c>
      <c r="E3270">
        <v>27</v>
      </c>
      <c r="F3270" t="s">
        <v>607</v>
      </c>
      <c r="G3270">
        <v>28</v>
      </c>
    </row>
    <row r="3271" spans="1:7">
      <c r="A3271" t="str">
        <f t="shared" si="51"/>
        <v>Raadhuisplein 30</v>
      </c>
      <c r="B3271" t="s">
        <v>606</v>
      </c>
      <c r="C3271" t="s">
        <v>306</v>
      </c>
      <c r="D3271">
        <v>2019</v>
      </c>
      <c r="E3271">
        <v>24</v>
      </c>
      <c r="F3271" t="s">
        <v>607</v>
      </c>
      <c r="G3271">
        <v>30</v>
      </c>
    </row>
    <row r="3272" spans="1:7">
      <c r="A3272" t="str">
        <f t="shared" si="51"/>
        <v>Raadhuisplein 32</v>
      </c>
      <c r="B3272" t="s">
        <v>606</v>
      </c>
      <c r="C3272" t="s">
        <v>306</v>
      </c>
      <c r="D3272">
        <v>2019</v>
      </c>
      <c r="E3272">
        <v>26</v>
      </c>
      <c r="F3272" t="s">
        <v>607</v>
      </c>
      <c r="G3272">
        <v>32</v>
      </c>
    </row>
    <row r="3273" spans="1:7">
      <c r="A3273" t="str">
        <f t="shared" si="51"/>
        <v>Raadhuisplein 34</v>
      </c>
      <c r="B3273" t="s">
        <v>606</v>
      </c>
      <c r="C3273" t="s">
        <v>306</v>
      </c>
      <c r="D3273">
        <v>2019</v>
      </c>
      <c r="E3273">
        <v>26</v>
      </c>
      <c r="F3273" t="s">
        <v>607</v>
      </c>
      <c r="G3273">
        <v>34</v>
      </c>
    </row>
    <row r="3274" spans="1:7">
      <c r="A3274" t="str">
        <f t="shared" si="51"/>
        <v>Raadhuisplein 36</v>
      </c>
      <c r="B3274" t="s">
        <v>606</v>
      </c>
      <c r="C3274" t="s">
        <v>306</v>
      </c>
      <c r="D3274">
        <v>2019</v>
      </c>
      <c r="E3274">
        <v>26</v>
      </c>
      <c r="F3274" t="s">
        <v>607</v>
      </c>
      <c r="G3274">
        <v>36</v>
      </c>
    </row>
    <row r="3275" spans="1:7">
      <c r="A3275" t="str">
        <f t="shared" si="51"/>
        <v>Ridderlaan 1</v>
      </c>
      <c r="B3275" t="s">
        <v>608</v>
      </c>
      <c r="C3275" t="s">
        <v>296</v>
      </c>
      <c r="D3275">
        <v>1970</v>
      </c>
      <c r="E3275">
        <v>119</v>
      </c>
      <c r="F3275" t="s">
        <v>609</v>
      </c>
      <c r="G3275">
        <v>1</v>
      </c>
    </row>
    <row r="3276" spans="1:7">
      <c r="A3276" t="str">
        <f t="shared" si="51"/>
        <v>Ridderlaan 2</v>
      </c>
      <c r="B3276" t="s">
        <v>608</v>
      </c>
      <c r="C3276" t="s">
        <v>296</v>
      </c>
      <c r="D3276">
        <v>1968</v>
      </c>
      <c r="E3276">
        <v>137</v>
      </c>
      <c r="F3276" t="s">
        <v>609</v>
      </c>
      <c r="G3276">
        <v>2</v>
      </c>
    </row>
    <row r="3277" spans="1:7">
      <c r="A3277" t="str">
        <f t="shared" si="51"/>
        <v>Ridderlaan 3</v>
      </c>
      <c r="B3277" t="s">
        <v>608</v>
      </c>
      <c r="C3277" t="s">
        <v>296</v>
      </c>
      <c r="D3277">
        <v>1970</v>
      </c>
      <c r="E3277">
        <v>120</v>
      </c>
      <c r="F3277" t="s">
        <v>609</v>
      </c>
      <c r="G3277">
        <v>3</v>
      </c>
    </row>
    <row r="3278" spans="1:7">
      <c r="A3278" t="str">
        <f t="shared" si="51"/>
        <v>Ridderlaan 4</v>
      </c>
      <c r="B3278" t="s">
        <v>608</v>
      </c>
      <c r="C3278" t="s">
        <v>296</v>
      </c>
      <c r="D3278">
        <v>1968</v>
      </c>
      <c r="E3278">
        <v>177</v>
      </c>
      <c r="F3278" t="s">
        <v>609</v>
      </c>
      <c r="G3278">
        <v>4</v>
      </c>
    </row>
    <row r="3279" spans="1:7">
      <c r="A3279" t="str">
        <f t="shared" si="51"/>
        <v>Ridderlaan 5</v>
      </c>
      <c r="B3279" t="s">
        <v>608</v>
      </c>
      <c r="C3279" t="s">
        <v>296</v>
      </c>
      <c r="D3279">
        <v>1970</v>
      </c>
      <c r="E3279">
        <v>129</v>
      </c>
      <c r="F3279" t="s">
        <v>609</v>
      </c>
      <c r="G3279">
        <v>5</v>
      </c>
    </row>
    <row r="3280" spans="1:7">
      <c r="A3280" t="str">
        <f t="shared" si="51"/>
        <v>Ridderlaan 6</v>
      </c>
      <c r="B3280" t="s">
        <v>608</v>
      </c>
      <c r="C3280" t="s">
        <v>296</v>
      </c>
      <c r="D3280">
        <v>1968</v>
      </c>
      <c r="E3280">
        <v>153</v>
      </c>
      <c r="F3280" t="s">
        <v>609</v>
      </c>
      <c r="G3280">
        <v>6</v>
      </c>
    </row>
    <row r="3281" spans="1:8">
      <c r="A3281" t="str">
        <f t="shared" si="51"/>
        <v>Ridderlaan 7</v>
      </c>
      <c r="B3281" t="s">
        <v>608</v>
      </c>
      <c r="C3281" t="s">
        <v>296</v>
      </c>
      <c r="D3281">
        <v>1970</v>
      </c>
      <c r="E3281">
        <v>134</v>
      </c>
      <c r="F3281" t="s">
        <v>609</v>
      </c>
      <c r="G3281">
        <v>7</v>
      </c>
    </row>
    <row r="3282" spans="1:8">
      <c r="A3282" t="str">
        <f t="shared" si="51"/>
        <v>Ridderlaan 8</v>
      </c>
      <c r="B3282" t="s">
        <v>608</v>
      </c>
      <c r="C3282" t="s">
        <v>296</v>
      </c>
      <c r="D3282">
        <v>1968</v>
      </c>
      <c r="E3282">
        <v>151</v>
      </c>
      <c r="F3282" t="s">
        <v>609</v>
      </c>
      <c r="G3282">
        <v>8</v>
      </c>
    </row>
    <row r="3283" spans="1:8">
      <c r="A3283" t="str">
        <f t="shared" si="51"/>
        <v>Ridderlaan 10</v>
      </c>
      <c r="B3283" t="s">
        <v>608</v>
      </c>
      <c r="C3283" t="s">
        <v>296</v>
      </c>
      <c r="D3283">
        <v>1968</v>
      </c>
      <c r="E3283">
        <v>170</v>
      </c>
      <c r="F3283" t="s">
        <v>609</v>
      </c>
      <c r="G3283">
        <v>10</v>
      </c>
    </row>
    <row r="3284" spans="1:8">
      <c r="A3284" t="str">
        <f t="shared" si="51"/>
        <v>Ridderlaan 12</v>
      </c>
      <c r="B3284" t="s">
        <v>608</v>
      </c>
      <c r="C3284" t="s">
        <v>296</v>
      </c>
      <c r="D3284">
        <v>1968</v>
      </c>
      <c r="E3284">
        <v>175</v>
      </c>
      <c r="F3284" t="s">
        <v>609</v>
      </c>
      <c r="G3284">
        <v>12</v>
      </c>
    </row>
    <row r="3285" spans="1:8">
      <c r="A3285" t="str">
        <f t="shared" si="51"/>
        <v>Ridderlaan 14</v>
      </c>
      <c r="B3285" t="s">
        <v>608</v>
      </c>
      <c r="C3285" t="s">
        <v>296</v>
      </c>
      <c r="D3285">
        <v>1968</v>
      </c>
      <c r="E3285">
        <v>152</v>
      </c>
      <c r="F3285" t="s">
        <v>609</v>
      </c>
      <c r="G3285">
        <v>14</v>
      </c>
    </row>
    <row r="3286" spans="1:8">
      <c r="A3286" t="str">
        <f t="shared" si="51"/>
        <v>Ridderlaan 16</v>
      </c>
      <c r="B3286" t="s">
        <v>608</v>
      </c>
      <c r="C3286" t="s">
        <v>296</v>
      </c>
      <c r="D3286">
        <v>1968</v>
      </c>
      <c r="E3286">
        <v>137</v>
      </c>
      <c r="F3286" t="s">
        <v>609</v>
      </c>
      <c r="G3286">
        <v>16</v>
      </c>
    </row>
    <row r="3287" spans="1:8">
      <c r="A3287" t="str">
        <f t="shared" si="51"/>
        <v>Riethorsterweg 1</v>
      </c>
      <c r="B3287" t="s">
        <v>610</v>
      </c>
      <c r="C3287" t="s">
        <v>343</v>
      </c>
      <c r="D3287">
        <v>1987</v>
      </c>
      <c r="E3287">
        <v>180</v>
      </c>
      <c r="F3287" t="s">
        <v>611</v>
      </c>
      <c r="G3287">
        <v>1</v>
      </c>
    </row>
    <row r="3288" spans="1:8">
      <c r="A3288" t="str">
        <f t="shared" si="51"/>
        <v>Riethorsterweg 2</v>
      </c>
      <c r="B3288" t="s">
        <v>610</v>
      </c>
      <c r="C3288" t="s">
        <v>343</v>
      </c>
      <c r="D3288">
        <v>1962</v>
      </c>
      <c r="E3288">
        <v>264</v>
      </c>
      <c r="F3288" t="s">
        <v>611</v>
      </c>
      <c r="G3288">
        <v>2</v>
      </c>
    </row>
    <row r="3289" spans="1:8">
      <c r="A3289" t="str">
        <f t="shared" si="51"/>
        <v>Riethorsterweg 3</v>
      </c>
      <c r="B3289" t="s">
        <v>610</v>
      </c>
      <c r="C3289" t="s">
        <v>343</v>
      </c>
      <c r="D3289">
        <v>1987</v>
      </c>
      <c r="E3289">
        <v>184</v>
      </c>
      <c r="F3289" t="s">
        <v>611</v>
      </c>
      <c r="G3289">
        <v>3</v>
      </c>
    </row>
    <row r="3290" spans="1:8">
      <c r="A3290" t="str">
        <f t="shared" si="51"/>
        <v>Riethorsterweg 4</v>
      </c>
      <c r="B3290" t="s">
        <v>610</v>
      </c>
      <c r="C3290" t="s">
        <v>343</v>
      </c>
      <c r="D3290">
        <v>1957</v>
      </c>
      <c r="E3290">
        <v>342</v>
      </c>
      <c r="F3290" t="s">
        <v>611</v>
      </c>
      <c r="G3290">
        <v>4</v>
      </c>
    </row>
    <row r="3291" spans="1:8">
      <c r="A3291" t="str">
        <f t="shared" si="51"/>
        <v>Riethorsterweg 5</v>
      </c>
      <c r="B3291" t="s">
        <v>610</v>
      </c>
      <c r="C3291" t="s">
        <v>343</v>
      </c>
      <c r="D3291">
        <v>1946</v>
      </c>
      <c r="E3291">
        <v>216</v>
      </c>
      <c r="F3291" t="s">
        <v>611</v>
      </c>
      <c r="G3291">
        <v>5</v>
      </c>
    </row>
    <row r="3292" spans="1:8">
      <c r="A3292" t="str">
        <f t="shared" si="51"/>
        <v>Riethorsterweg 6</v>
      </c>
      <c r="B3292" t="s">
        <v>610</v>
      </c>
      <c r="C3292" t="s">
        <v>343</v>
      </c>
      <c r="D3292">
        <v>1957</v>
      </c>
      <c r="E3292">
        <v>268</v>
      </c>
      <c r="F3292" t="s">
        <v>611</v>
      </c>
      <c r="G3292">
        <v>6</v>
      </c>
    </row>
    <row r="3293" spans="1:8">
      <c r="A3293" t="str">
        <f t="shared" si="51"/>
        <v>Riethorsterweg 7</v>
      </c>
      <c r="B3293" t="s">
        <v>610</v>
      </c>
      <c r="C3293" t="s">
        <v>343</v>
      </c>
      <c r="D3293">
        <v>1946</v>
      </c>
      <c r="E3293">
        <v>153</v>
      </c>
      <c r="F3293" t="s">
        <v>611</v>
      </c>
      <c r="G3293">
        <v>7</v>
      </c>
    </row>
    <row r="3294" spans="1:8">
      <c r="A3294" t="str">
        <f t="shared" si="51"/>
        <v>Riethorsterweg 8</v>
      </c>
      <c r="B3294" t="s">
        <v>610</v>
      </c>
      <c r="C3294" t="s">
        <v>343</v>
      </c>
      <c r="D3294">
        <v>1955</v>
      </c>
      <c r="E3294">
        <v>24</v>
      </c>
      <c r="F3294" t="s">
        <v>611</v>
      </c>
      <c r="G3294">
        <v>8</v>
      </c>
    </row>
    <row r="3295" spans="1:8">
      <c r="A3295" t="str">
        <f t="shared" si="51"/>
        <v>Riethorsterweg 9</v>
      </c>
      <c r="B3295" t="s">
        <v>610</v>
      </c>
      <c r="C3295" t="s">
        <v>343</v>
      </c>
      <c r="D3295">
        <v>1946</v>
      </c>
      <c r="E3295">
        <v>151</v>
      </c>
      <c r="F3295" t="s">
        <v>611</v>
      </c>
      <c r="G3295">
        <v>9</v>
      </c>
    </row>
    <row r="3296" spans="1:8">
      <c r="A3296" t="str">
        <f t="shared" si="51"/>
        <v>Riethorsterweg 10a</v>
      </c>
      <c r="B3296" t="s">
        <v>610</v>
      </c>
      <c r="C3296" t="s">
        <v>343</v>
      </c>
      <c r="D3296">
        <v>2016</v>
      </c>
      <c r="E3296">
        <v>374</v>
      </c>
      <c r="F3296" t="s">
        <v>611</v>
      </c>
      <c r="G3296">
        <v>10</v>
      </c>
      <c r="H3296" t="s">
        <v>304</v>
      </c>
    </row>
    <row r="3297" spans="1:8">
      <c r="A3297" t="str">
        <f t="shared" si="51"/>
        <v>Riethorsterweg 10</v>
      </c>
      <c r="B3297" t="s">
        <v>610</v>
      </c>
      <c r="C3297" t="s">
        <v>343</v>
      </c>
      <c r="D3297">
        <v>1960</v>
      </c>
      <c r="E3297">
        <v>104</v>
      </c>
      <c r="F3297" t="s">
        <v>611</v>
      </c>
      <c r="G3297">
        <v>10</v>
      </c>
    </row>
    <row r="3298" spans="1:8">
      <c r="A3298" t="str">
        <f t="shared" si="51"/>
        <v>Riethorsterweg 11</v>
      </c>
      <c r="B3298" t="s">
        <v>610</v>
      </c>
      <c r="C3298" t="s">
        <v>343</v>
      </c>
      <c r="D3298">
        <v>1996</v>
      </c>
      <c r="E3298">
        <v>189</v>
      </c>
      <c r="F3298" t="s">
        <v>611</v>
      </c>
      <c r="G3298">
        <v>11</v>
      </c>
    </row>
    <row r="3299" spans="1:8">
      <c r="A3299" t="str">
        <f t="shared" si="51"/>
        <v>Riethorsterweg 12</v>
      </c>
      <c r="B3299" t="s">
        <v>610</v>
      </c>
      <c r="C3299" t="s">
        <v>343</v>
      </c>
      <c r="D3299">
        <v>1993</v>
      </c>
      <c r="E3299">
        <v>240</v>
      </c>
      <c r="F3299" t="s">
        <v>611</v>
      </c>
      <c r="G3299">
        <v>12</v>
      </c>
    </row>
    <row r="3300" spans="1:8">
      <c r="A3300" t="str">
        <f t="shared" si="51"/>
        <v>Riethorsterweg 13</v>
      </c>
      <c r="B3300" t="s">
        <v>610</v>
      </c>
      <c r="C3300" t="s">
        <v>343</v>
      </c>
      <c r="D3300">
        <v>1900</v>
      </c>
      <c r="E3300">
        <v>316</v>
      </c>
      <c r="F3300" t="s">
        <v>611</v>
      </c>
      <c r="G3300">
        <v>13</v>
      </c>
    </row>
    <row r="3301" spans="1:8">
      <c r="A3301" t="str">
        <f t="shared" si="51"/>
        <v>Riethorsterweg 14a</v>
      </c>
      <c r="B3301" t="s">
        <v>610</v>
      </c>
      <c r="C3301" t="s">
        <v>343</v>
      </c>
      <c r="D3301">
        <v>2008</v>
      </c>
      <c r="E3301">
        <v>360</v>
      </c>
      <c r="F3301" t="s">
        <v>611</v>
      </c>
      <c r="G3301">
        <v>14</v>
      </c>
      <c r="H3301" t="s">
        <v>304</v>
      </c>
    </row>
    <row r="3302" spans="1:8">
      <c r="A3302" t="str">
        <f t="shared" si="51"/>
        <v>Riethorsterweg 14b</v>
      </c>
      <c r="B3302" t="s">
        <v>610</v>
      </c>
      <c r="C3302" t="s">
        <v>343</v>
      </c>
      <c r="D3302">
        <v>2012</v>
      </c>
      <c r="E3302">
        <v>236</v>
      </c>
      <c r="F3302" t="s">
        <v>611</v>
      </c>
      <c r="G3302">
        <v>14</v>
      </c>
      <c r="H3302" t="s">
        <v>298</v>
      </c>
    </row>
    <row r="3303" spans="1:8">
      <c r="A3303" t="str">
        <f t="shared" si="51"/>
        <v>Riethorsterweg 14c</v>
      </c>
      <c r="B3303" t="s">
        <v>610</v>
      </c>
      <c r="C3303" t="s">
        <v>343</v>
      </c>
      <c r="D3303">
        <v>2012</v>
      </c>
      <c r="E3303">
        <v>245</v>
      </c>
      <c r="F3303" t="s">
        <v>611</v>
      </c>
      <c r="G3303">
        <v>14</v>
      </c>
      <c r="H3303" t="s">
        <v>299</v>
      </c>
    </row>
    <row r="3304" spans="1:8">
      <c r="A3304" t="str">
        <f t="shared" si="51"/>
        <v>Riethorsterweg 14</v>
      </c>
      <c r="B3304" t="s">
        <v>610</v>
      </c>
      <c r="C3304" t="s">
        <v>343</v>
      </c>
      <c r="D3304">
        <v>1948</v>
      </c>
      <c r="E3304">
        <v>333</v>
      </c>
      <c r="F3304" t="s">
        <v>611</v>
      </c>
      <c r="G3304">
        <v>14</v>
      </c>
    </row>
    <row r="3305" spans="1:8">
      <c r="A3305" t="str">
        <f t="shared" si="51"/>
        <v>Riethorsterweg 15</v>
      </c>
      <c r="B3305" t="s">
        <v>610</v>
      </c>
      <c r="C3305" t="s">
        <v>343</v>
      </c>
      <c r="D3305">
        <v>1900</v>
      </c>
      <c r="E3305">
        <v>80</v>
      </c>
      <c r="F3305" t="s">
        <v>611</v>
      </c>
      <c r="G3305">
        <v>15</v>
      </c>
    </row>
    <row r="3306" spans="1:8">
      <c r="A3306" t="str">
        <f t="shared" si="51"/>
        <v>Riethorsterweg 16</v>
      </c>
      <c r="B3306" t="s">
        <v>610</v>
      </c>
      <c r="C3306" t="s">
        <v>343</v>
      </c>
      <c r="D3306">
        <v>1965</v>
      </c>
      <c r="E3306">
        <v>198</v>
      </c>
      <c r="F3306" t="s">
        <v>611</v>
      </c>
      <c r="G3306">
        <v>16</v>
      </c>
    </row>
    <row r="3307" spans="1:8">
      <c r="A3307" t="str">
        <f t="shared" si="51"/>
        <v>Riethorsterweg 17</v>
      </c>
      <c r="B3307" t="s">
        <v>610</v>
      </c>
      <c r="C3307" t="s">
        <v>343</v>
      </c>
      <c r="D3307">
        <v>1950</v>
      </c>
      <c r="E3307">
        <v>297</v>
      </c>
      <c r="F3307" t="s">
        <v>611</v>
      </c>
      <c r="G3307">
        <v>17</v>
      </c>
    </row>
    <row r="3308" spans="1:8">
      <c r="A3308" t="str">
        <f t="shared" si="51"/>
        <v>Riethorsterweg 18</v>
      </c>
      <c r="B3308" t="s">
        <v>610</v>
      </c>
      <c r="C3308" t="s">
        <v>343</v>
      </c>
      <c r="D3308">
        <v>1970</v>
      </c>
      <c r="E3308">
        <v>294</v>
      </c>
      <c r="F3308" t="s">
        <v>611</v>
      </c>
      <c r="G3308">
        <v>18</v>
      </c>
    </row>
    <row r="3309" spans="1:8">
      <c r="A3309" t="str">
        <f t="shared" si="51"/>
        <v>Riethorsterweg 19a</v>
      </c>
      <c r="B3309" t="s">
        <v>610</v>
      </c>
      <c r="C3309" t="s">
        <v>343</v>
      </c>
      <c r="D3309">
        <v>2021</v>
      </c>
      <c r="E3309">
        <v>113</v>
      </c>
      <c r="F3309" t="s">
        <v>611</v>
      </c>
      <c r="G3309">
        <v>19</v>
      </c>
      <c r="H3309" t="s">
        <v>304</v>
      </c>
    </row>
    <row r="3310" spans="1:8">
      <c r="A3310" t="str">
        <f t="shared" si="51"/>
        <v>Riethorsterweg 19</v>
      </c>
      <c r="B3310" t="s">
        <v>610</v>
      </c>
      <c r="C3310" t="s">
        <v>343</v>
      </c>
      <c r="D3310">
        <v>1977</v>
      </c>
      <c r="E3310">
        <v>158</v>
      </c>
      <c r="F3310" t="s">
        <v>611</v>
      </c>
      <c r="G3310">
        <v>19</v>
      </c>
    </row>
    <row r="3311" spans="1:8">
      <c r="A3311" t="str">
        <f t="shared" si="51"/>
        <v>Riethorsterweg 21</v>
      </c>
      <c r="B3311" t="s">
        <v>610</v>
      </c>
      <c r="C3311" t="s">
        <v>343</v>
      </c>
      <c r="D3311">
        <v>1957</v>
      </c>
      <c r="E3311">
        <v>283</v>
      </c>
      <c r="F3311" t="s">
        <v>611</v>
      </c>
      <c r="G3311">
        <v>21</v>
      </c>
    </row>
    <row r="3312" spans="1:8">
      <c r="A3312" t="str">
        <f t="shared" si="51"/>
        <v>Riethorsterweg 23a</v>
      </c>
      <c r="B3312" t="s">
        <v>610</v>
      </c>
      <c r="C3312" t="s">
        <v>343</v>
      </c>
      <c r="D3312">
        <v>2020</v>
      </c>
      <c r="E3312">
        <v>131</v>
      </c>
      <c r="F3312" t="s">
        <v>611</v>
      </c>
      <c r="G3312">
        <v>23</v>
      </c>
      <c r="H3312" t="s">
        <v>304</v>
      </c>
    </row>
    <row r="3313" spans="1:8">
      <c r="A3313" t="str">
        <f t="shared" si="51"/>
        <v>Riethorsterweg 23</v>
      </c>
      <c r="B3313" t="s">
        <v>610</v>
      </c>
      <c r="C3313" t="s">
        <v>343</v>
      </c>
      <c r="D3313">
        <v>2020</v>
      </c>
      <c r="E3313">
        <v>131</v>
      </c>
      <c r="F3313" t="s">
        <v>611</v>
      </c>
      <c r="G3313">
        <v>23</v>
      </c>
    </row>
    <row r="3314" spans="1:8">
      <c r="A3314" t="str">
        <f t="shared" si="51"/>
        <v>Riethorsterweg 25</v>
      </c>
      <c r="B3314" t="s">
        <v>610</v>
      </c>
      <c r="C3314" t="s">
        <v>343</v>
      </c>
      <c r="D3314">
        <v>1953</v>
      </c>
      <c r="E3314">
        <v>236</v>
      </c>
      <c r="F3314" t="s">
        <v>611</v>
      </c>
      <c r="G3314">
        <v>25</v>
      </c>
    </row>
    <row r="3315" spans="1:8">
      <c r="A3315" t="str">
        <f t="shared" si="51"/>
        <v>Riethorsterweg 27</v>
      </c>
      <c r="B3315" t="s">
        <v>610</v>
      </c>
      <c r="C3315" t="s">
        <v>343</v>
      </c>
      <c r="D3315">
        <v>1979</v>
      </c>
      <c r="E3315">
        <v>100</v>
      </c>
      <c r="F3315" t="s">
        <v>611</v>
      </c>
      <c r="G3315">
        <v>27</v>
      </c>
    </row>
    <row r="3316" spans="1:8">
      <c r="A3316" t="str">
        <f t="shared" si="51"/>
        <v>Riethorsterweg 29</v>
      </c>
      <c r="B3316" t="s">
        <v>610</v>
      </c>
      <c r="C3316" t="s">
        <v>343</v>
      </c>
      <c r="D3316">
        <v>2021</v>
      </c>
      <c r="E3316">
        <v>320</v>
      </c>
      <c r="F3316" t="s">
        <v>611</v>
      </c>
      <c r="G3316">
        <v>29</v>
      </c>
    </row>
    <row r="3317" spans="1:8">
      <c r="A3317" t="str">
        <f t="shared" si="51"/>
        <v>Riethorsterweg 31</v>
      </c>
      <c r="B3317" t="s">
        <v>610</v>
      </c>
      <c r="C3317" t="s">
        <v>343</v>
      </c>
      <c r="D3317">
        <v>1970</v>
      </c>
      <c r="E3317">
        <v>250</v>
      </c>
      <c r="F3317" t="s">
        <v>611</v>
      </c>
      <c r="G3317">
        <v>31</v>
      </c>
    </row>
    <row r="3318" spans="1:8">
      <c r="A3318" t="str">
        <f t="shared" si="51"/>
        <v>Riethorsterweg 33</v>
      </c>
      <c r="B3318" t="s">
        <v>610</v>
      </c>
      <c r="C3318" t="s">
        <v>343</v>
      </c>
      <c r="D3318">
        <v>1969</v>
      </c>
      <c r="E3318">
        <v>165</v>
      </c>
      <c r="F3318" t="s">
        <v>611</v>
      </c>
      <c r="G3318">
        <v>33</v>
      </c>
    </row>
    <row r="3319" spans="1:8">
      <c r="A3319" t="str">
        <f t="shared" si="51"/>
        <v>Riethorsterweg 35</v>
      </c>
      <c r="B3319" t="s">
        <v>610</v>
      </c>
      <c r="C3319" t="s">
        <v>343</v>
      </c>
      <c r="D3319">
        <v>1990</v>
      </c>
      <c r="E3319">
        <v>268</v>
      </c>
      <c r="F3319" t="s">
        <v>611</v>
      </c>
      <c r="G3319">
        <v>35</v>
      </c>
    </row>
    <row r="3320" spans="1:8">
      <c r="A3320" t="str">
        <f t="shared" si="51"/>
        <v>Riethorsterweg 37a</v>
      </c>
      <c r="B3320" t="s">
        <v>610</v>
      </c>
      <c r="C3320" t="s">
        <v>343</v>
      </c>
      <c r="D3320">
        <v>2019</v>
      </c>
      <c r="E3320">
        <v>105</v>
      </c>
      <c r="F3320" t="s">
        <v>611</v>
      </c>
      <c r="G3320">
        <v>37</v>
      </c>
      <c r="H3320" t="s">
        <v>304</v>
      </c>
    </row>
    <row r="3321" spans="1:8">
      <c r="A3321" t="str">
        <f t="shared" si="51"/>
        <v>Riethorsterweg 37b</v>
      </c>
      <c r="B3321" t="s">
        <v>610</v>
      </c>
      <c r="C3321" t="s">
        <v>343</v>
      </c>
      <c r="D3321">
        <v>2016</v>
      </c>
      <c r="E3321">
        <v>142</v>
      </c>
      <c r="F3321" t="s">
        <v>611</v>
      </c>
      <c r="G3321">
        <v>37</v>
      </c>
      <c r="H3321" t="s">
        <v>298</v>
      </c>
    </row>
    <row r="3322" spans="1:8">
      <c r="A3322" t="str">
        <f t="shared" si="51"/>
        <v>Riethorsterweg 37</v>
      </c>
      <c r="B3322" t="s">
        <v>610</v>
      </c>
      <c r="C3322" t="s">
        <v>343</v>
      </c>
      <c r="D3322">
        <v>2019</v>
      </c>
      <c r="E3322">
        <v>555</v>
      </c>
      <c r="F3322" t="s">
        <v>611</v>
      </c>
      <c r="G3322">
        <v>37</v>
      </c>
    </row>
    <row r="3323" spans="1:8">
      <c r="A3323" t="str">
        <f t="shared" si="51"/>
        <v>Riethorsterweg 39</v>
      </c>
      <c r="B3323" t="s">
        <v>610</v>
      </c>
      <c r="C3323" t="s">
        <v>343</v>
      </c>
      <c r="D3323">
        <v>1991</v>
      </c>
      <c r="E3323">
        <v>240</v>
      </c>
      <c r="F3323" t="s">
        <v>611</v>
      </c>
      <c r="G3323">
        <v>39</v>
      </c>
    </row>
    <row r="3324" spans="1:8">
      <c r="A3324" t="str">
        <f t="shared" si="51"/>
        <v>Riethorsterweg 41</v>
      </c>
      <c r="B3324" t="s">
        <v>610</v>
      </c>
      <c r="C3324" t="s">
        <v>343</v>
      </c>
      <c r="D3324">
        <v>1992</v>
      </c>
      <c r="E3324">
        <v>227</v>
      </c>
      <c r="F3324" t="s">
        <v>611</v>
      </c>
      <c r="G3324">
        <v>41</v>
      </c>
    </row>
    <row r="3325" spans="1:8">
      <c r="A3325" t="str">
        <f t="shared" si="51"/>
        <v>Riethorsterweg 43</v>
      </c>
      <c r="B3325" t="s">
        <v>610</v>
      </c>
      <c r="C3325" t="s">
        <v>343</v>
      </c>
      <c r="D3325">
        <v>1995</v>
      </c>
      <c r="E3325">
        <v>210</v>
      </c>
      <c r="F3325" t="s">
        <v>611</v>
      </c>
      <c r="G3325">
        <v>43</v>
      </c>
    </row>
    <row r="3326" spans="1:8">
      <c r="A3326" t="str">
        <f t="shared" si="51"/>
        <v>Riethorsterweg 45</v>
      </c>
      <c r="B3326" t="s">
        <v>610</v>
      </c>
      <c r="C3326" t="s">
        <v>343</v>
      </c>
      <c r="D3326">
        <v>2015</v>
      </c>
      <c r="E3326">
        <v>213</v>
      </c>
      <c r="F3326" t="s">
        <v>611</v>
      </c>
      <c r="G3326">
        <v>45</v>
      </c>
    </row>
    <row r="3327" spans="1:8">
      <c r="A3327" t="str">
        <f t="shared" si="51"/>
        <v>Rijksweg 1</v>
      </c>
      <c r="B3327" t="s">
        <v>612</v>
      </c>
      <c r="C3327" t="s">
        <v>296</v>
      </c>
      <c r="D3327">
        <v>1900</v>
      </c>
      <c r="E3327">
        <v>835</v>
      </c>
      <c r="F3327" t="s">
        <v>613</v>
      </c>
      <c r="G3327">
        <v>1</v>
      </c>
    </row>
    <row r="3328" spans="1:8">
      <c r="A3328" t="str">
        <f t="shared" si="51"/>
        <v>Rijksweg 2</v>
      </c>
      <c r="B3328" t="s">
        <v>614</v>
      </c>
      <c r="C3328" t="s">
        <v>296</v>
      </c>
      <c r="D3328">
        <v>1991</v>
      </c>
      <c r="E3328">
        <v>2905</v>
      </c>
      <c r="F3328" t="s">
        <v>613</v>
      </c>
      <c r="G3328">
        <v>2</v>
      </c>
    </row>
    <row r="3329" spans="1:8">
      <c r="A3329" t="str">
        <f t="shared" si="51"/>
        <v>Rijksweg 3a</v>
      </c>
      <c r="B3329" t="s">
        <v>612</v>
      </c>
      <c r="C3329" t="s">
        <v>296</v>
      </c>
      <c r="D3329">
        <v>2019</v>
      </c>
      <c r="E3329">
        <v>60</v>
      </c>
      <c r="F3329" t="s">
        <v>613</v>
      </c>
      <c r="G3329">
        <v>3</v>
      </c>
      <c r="H3329" t="s">
        <v>304</v>
      </c>
    </row>
    <row r="3330" spans="1:8">
      <c r="A3330" t="str">
        <f t="shared" ref="A3330:A3393" si="52">CONCATENATE(F3330," ",G3330,H3330)</f>
        <v>Rijksweg 3b</v>
      </c>
      <c r="B3330" t="s">
        <v>612</v>
      </c>
      <c r="C3330" t="s">
        <v>296</v>
      </c>
      <c r="D3330">
        <v>2019</v>
      </c>
      <c r="E3330">
        <v>45</v>
      </c>
      <c r="F3330" t="s">
        <v>613</v>
      </c>
      <c r="G3330">
        <v>3</v>
      </c>
      <c r="H3330" t="s">
        <v>298</v>
      </c>
    </row>
    <row r="3331" spans="1:8">
      <c r="A3331" t="str">
        <f t="shared" si="52"/>
        <v>Rijksweg 3c</v>
      </c>
      <c r="B3331" t="s">
        <v>612</v>
      </c>
      <c r="C3331" t="s">
        <v>296</v>
      </c>
      <c r="D3331">
        <v>2019</v>
      </c>
      <c r="E3331">
        <v>35</v>
      </c>
      <c r="F3331" t="s">
        <v>613</v>
      </c>
      <c r="G3331">
        <v>3</v>
      </c>
      <c r="H3331" t="s">
        <v>299</v>
      </c>
    </row>
    <row r="3332" spans="1:8">
      <c r="A3332" t="str">
        <f t="shared" si="52"/>
        <v>Rijksweg 3</v>
      </c>
      <c r="B3332" t="s">
        <v>612</v>
      </c>
      <c r="C3332" t="s">
        <v>296</v>
      </c>
      <c r="D3332">
        <v>2019</v>
      </c>
      <c r="E3332">
        <v>53</v>
      </c>
      <c r="F3332" t="s">
        <v>613</v>
      </c>
      <c r="G3332">
        <v>3</v>
      </c>
    </row>
    <row r="3333" spans="1:8">
      <c r="A3333" t="str">
        <f t="shared" si="52"/>
        <v>Rijksweg 5a</v>
      </c>
      <c r="B3333" t="s">
        <v>612</v>
      </c>
      <c r="C3333" t="s">
        <v>296</v>
      </c>
      <c r="D3333">
        <v>2019</v>
      </c>
      <c r="E3333">
        <v>57</v>
      </c>
      <c r="F3333" t="s">
        <v>613</v>
      </c>
      <c r="G3333">
        <v>5</v>
      </c>
      <c r="H3333" t="s">
        <v>304</v>
      </c>
    </row>
    <row r="3334" spans="1:8">
      <c r="A3334" t="str">
        <f t="shared" si="52"/>
        <v>Rijksweg 5b</v>
      </c>
      <c r="B3334" t="s">
        <v>612</v>
      </c>
      <c r="C3334" t="s">
        <v>296</v>
      </c>
      <c r="D3334">
        <v>2019</v>
      </c>
      <c r="E3334">
        <v>43</v>
      </c>
      <c r="F3334" t="s">
        <v>613</v>
      </c>
      <c r="G3334">
        <v>5</v>
      </c>
      <c r="H3334" t="s">
        <v>298</v>
      </c>
    </row>
    <row r="3335" spans="1:8">
      <c r="A3335" t="str">
        <f t="shared" si="52"/>
        <v>Rijksweg 5c</v>
      </c>
      <c r="B3335" t="s">
        <v>612</v>
      </c>
      <c r="C3335" t="s">
        <v>296</v>
      </c>
      <c r="D3335">
        <v>2019</v>
      </c>
      <c r="E3335">
        <v>38</v>
      </c>
      <c r="F3335" t="s">
        <v>613</v>
      </c>
      <c r="G3335">
        <v>5</v>
      </c>
      <c r="H3335" t="s">
        <v>299</v>
      </c>
    </row>
    <row r="3336" spans="1:8">
      <c r="A3336" t="str">
        <f t="shared" si="52"/>
        <v>Rijksweg 5</v>
      </c>
      <c r="B3336" t="s">
        <v>612</v>
      </c>
      <c r="C3336" t="s">
        <v>296</v>
      </c>
      <c r="D3336">
        <v>2019</v>
      </c>
      <c r="E3336">
        <v>49</v>
      </c>
      <c r="F3336" t="s">
        <v>613</v>
      </c>
      <c r="G3336">
        <v>5</v>
      </c>
    </row>
    <row r="3337" spans="1:8">
      <c r="A3337" t="str">
        <f t="shared" si="52"/>
        <v>Rijksweg 6a</v>
      </c>
      <c r="B3337" t="s">
        <v>614</v>
      </c>
      <c r="C3337" t="s">
        <v>296</v>
      </c>
      <c r="D3337">
        <v>1972</v>
      </c>
      <c r="E3337">
        <v>222</v>
      </c>
      <c r="F3337" t="s">
        <v>613</v>
      </c>
      <c r="G3337">
        <v>6</v>
      </c>
      <c r="H3337" t="s">
        <v>304</v>
      </c>
    </row>
    <row r="3338" spans="1:8">
      <c r="A3338" t="str">
        <f t="shared" si="52"/>
        <v>Rijksweg 6b</v>
      </c>
      <c r="B3338" t="s">
        <v>614</v>
      </c>
      <c r="C3338" t="s">
        <v>296</v>
      </c>
      <c r="D3338">
        <v>2021</v>
      </c>
      <c r="E3338">
        <v>205</v>
      </c>
      <c r="F3338" t="s">
        <v>613</v>
      </c>
      <c r="G3338">
        <v>6</v>
      </c>
      <c r="H3338" t="s">
        <v>298</v>
      </c>
    </row>
    <row r="3339" spans="1:8">
      <c r="A3339" t="str">
        <f t="shared" si="52"/>
        <v>Rijksweg 6c</v>
      </c>
      <c r="B3339" t="s">
        <v>614</v>
      </c>
      <c r="C3339" t="s">
        <v>296</v>
      </c>
      <c r="D3339">
        <v>2021</v>
      </c>
      <c r="E3339">
        <v>158</v>
      </c>
      <c r="F3339" t="s">
        <v>613</v>
      </c>
      <c r="G3339">
        <v>6</v>
      </c>
      <c r="H3339" t="s">
        <v>299</v>
      </c>
    </row>
    <row r="3340" spans="1:8">
      <c r="A3340" t="str">
        <f t="shared" si="52"/>
        <v>Rijksweg 6d</v>
      </c>
      <c r="C3340" t="s">
        <v>296</v>
      </c>
      <c r="D3340">
        <v>2022</v>
      </c>
      <c r="E3340">
        <v>225</v>
      </c>
      <c r="F3340" t="s">
        <v>613</v>
      </c>
      <c r="G3340">
        <v>6</v>
      </c>
      <c r="H3340" t="s">
        <v>300</v>
      </c>
    </row>
    <row r="3341" spans="1:8">
      <c r="A3341" t="str">
        <f t="shared" si="52"/>
        <v>Rijksweg 6</v>
      </c>
      <c r="B3341" t="s">
        <v>614</v>
      </c>
      <c r="C3341" t="s">
        <v>296</v>
      </c>
      <c r="D3341">
        <v>1956</v>
      </c>
      <c r="E3341">
        <v>345</v>
      </c>
      <c r="F3341" t="s">
        <v>613</v>
      </c>
      <c r="G3341">
        <v>6</v>
      </c>
    </row>
    <row r="3342" spans="1:8">
      <c r="A3342" t="str">
        <f t="shared" si="52"/>
        <v>Rijksweg 7a</v>
      </c>
      <c r="B3342" t="s">
        <v>612</v>
      </c>
      <c r="C3342" t="s">
        <v>296</v>
      </c>
      <c r="D3342">
        <v>2019</v>
      </c>
      <c r="E3342">
        <v>45</v>
      </c>
      <c r="F3342" t="s">
        <v>613</v>
      </c>
      <c r="G3342">
        <v>7</v>
      </c>
      <c r="H3342" t="s">
        <v>304</v>
      </c>
    </row>
    <row r="3343" spans="1:8">
      <c r="A3343" t="str">
        <f t="shared" si="52"/>
        <v>Rijksweg 7b</v>
      </c>
      <c r="B3343" t="s">
        <v>612</v>
      </c>
      <c r="C3343" t="s">
        <v>296</v>
      </c>
      <c r="D3343">
        <v>2019</v>
      </c>
      <c r="E3343">
        <v>32</v>
      </c>
      <c r="F3343" t="s">
        <v>613</v>
      </c>
      <c r="G3343">
        <v>7</v>
      </c>
      <c r="H3343" t="s">
        <v>298</v>
      </c>
    </row>
    <row r="3344" spans="1:8">
      <c r="A3344" t="str">
        <f t="shared" si="52"/>
        <v>Rijksweg 7c</v>
      </c>
      <c r="B3344" t="s">
        <v>612</v>
      </c>
      <c r="C3344" t="s">
        <v>296</v>
      </c>
      <c r="D3344">
        <v>2019</v>
      </c>
      <c r="E3344">
        <v>33</v>
      </c>
      <c r="F3344" t="s">
        <v>613</v>
      </c>
      <c r="G3344">
        <v>7</v>
      </c>
      <c r="H3344" t="s">
        <v>299</v>
      </c>
    </row>
    <row r="3345" spans="1:8">
      <c r="A3345" t="str">
        <f t="shared" si="52"/>
        <v>Rijksweg 7</v>
      </c>
      <c r="B3345" t="s">
        <v>612</v>
      </c>
      <c r="C3345" t="s">
        <v>296</v>
      </c>
      <c r="D3345">
        <v>2019</v>
      </c>
      <c r="E3345">
        <v>36</v>
      </c>
      <c r="F3345" t="s">
        <v>613</v>
      </c>
      <c r="G3345">
        <v>7</v>
      </c>
    </row>
    <row r="3346" spans="1:8">
      <c r="A3346" t="str">
        <f t="shared" si="52"/>
        <v>Rijksweg 8</v>
      </c>
      <c r="C3346" t="s">
        <v>296</v>
      </c>
      <c r="D3346">
        <v>2022</v>
      </c>
      <c r="E3346">
        <v>185</v>
      </c>
      <c r="F3346" t="s">
        <v>613</v>
      </c>
      <c r="G3346">
        <v>8</v>
      </c>
    </row>
    <row r="3347" spans="1:8">
      <c r="A3347" t="str">
        <f t="shared" si="52"/>
        <v>Rijksweg 9</v>
      </c>
      <c r="B3347" t="s">
        <v>612</v>
      </c>
      <c r="C3347" t="s">
        <v>296</v>
      </c>
      <c r="D3347">
        <v>1906</v>
      </c>
      <c r="E3347">
        <v>203</v>
      </c>
      <c r="F3347" t="s">
        <v>613</v>
      </c>
      <c r="G3347">
        <v>9</v>
      </c>
    </row>
    <row r="3348" spans="1:8">
      <c r="A3348" t="str">
        <f t="shared" si="52"/>
        <v>Rijksweg 10</v>
      </c>
      <c r="B3348" t="s">
        <v>614</v>
      </c>
      <c r="C3348" t="s">
        <v>296</v>
      </c>
      <c r="D3348">
        <v>1992</v>
      </c>
      <c r="E3348">
        <v>713</v>
      </c>
      <c r="F3348" t="s">
        <v>613</v>
      </c>
      <c r="G3348">
        <v>10</v>
      </c>
    </row>
    <row r="3349" spans="1:8">
      <c r="A3349" t="str">
        <f t="shared" si="52"/>
        <v>Rijksweg 12</v>
      </c>
      <c r="B3349" t="s">
        <v>614</v>
      </c>
      <c r="C3349" t="s">
        <v>296</v>
      </c>
      <c r="D3349">
        <v>1950</v>
      </c>
      <c r="E3349">
        <v>2402</v>
      </c>
      <c r="F3349" t="s">
        <v>613</v>
      </c>
      <c r="G3349">
        <v>12</v>
      </c>
    </row>
    <row r="3350" spans="1:8">
      <c r="A3350" t="str">
        <f t="shared" si="52"/>
        <v>Rijksweg 14a</v>
      </c>
      <c r="B3350" t="s">
        <v>614</v>
      </c>
      <c r="C3350" t="s">
        <v>296</v>
      </c>
      <c r="D3350">
        <v>1950</v>
      </c>
      <c r="E3350">
        <v>115</v>
      </c>
      <c r="F3350" t="s">
        <v>613</v>
      </c>
      <c r="G3350">
        <v>14</v>
      </c>
      <c r="H3350" t="s">
        <v>304</v>
      </c>
    </row>
    <row r="3351" spans="1:8">
      <c r="A3351" t="str">
        <f t="shared" si="52"/>
        <v>Rijksweg 14b</v>
      </c>
      <c r="C3351" t="s">
        <v>296</v>
      </c>
      <c r="D3351">
        <v>1950</v>
      </c>
      <c r="E3351">
        <v>21</v>
      </c>
      <c r="F3351" t="s">
        <v>613</v>
      </c>
      <c r="G3351">
        <v>14</v>
      </c>
      <c r="H3351" t="s">
        <v>298</v>
      </c>
    </row>
    <row r="3352" spans="1:8">
      <c r="A3352" t="str">
        <f t="shared" si="52"/>
        <v>Rijksweg 14c</v>
      </c>
      <c r="B3352" t="s">
        <v>614</v>
      </c>
      <c r="C3352" t="s">
        <v>296</v>
      </c>
      <c r="D3352">
        <v>1950</v>
      </c>
      <c r="E3352">
        <v>560</v>
      </c>
      <c r="F3352" t="s">
        <v>613</v>
      </c>
      <c r="G3352">
        <v>14</v>
      </c>
      <c r="H3352" t="s">
        <v>299</v>
      </c>
    </row>
    <row r="3353" spans="1:8">
      <c r="A3353" t="str">
        <f t="shared" si="52"/>
        <v>Rijksweg 14</v>
      </c>
      <c r="B3353" t="s">
        <v>614</v>
      </c>
      <c r="C3353" t="s">
        <v>296</v>
      </c>
      <c r="D3353">
        <v>1950</v>
      </c>
      <c r="E3353">
        <v>176</v>
      </c>
      <c r="F3353" t="s">
        <v>613</v>
      </c>
      <c r="G3353">
        <v>14</v>
      </c>
    </row>
    <row r="3354" spans="1:8">
      <c r="A3354" t="str">
        <f t="shared" si="52"/>
        <v>Rijksweg 16a</v>
      </c>
      <c r="B3354" t="s">
        <v>614</v>
      </c>
      <c r="C3354" t="s">
        <v>296</v>
      </c>
      <c r="D3354">
        <v>2020</v>
      </c>
      <c r="E3354">
        <v>379</v>
      </c>
      <c r="F3354" t="s">
        <v>613</v>
      </c>
      <c r="G3354">
        <v>16</v>
      </c>
      <c r="H3354" t="s">
        <v>304</v>
      </c>
    </row>
    <row r="3355" spans="1:8">
      <c r="A3355" t="str">
        <f t="shared" si="52"/>
        <v>Rijksweg 16b</v>
      </c>
      <c r="B3355" t="s">
        <v>614</v>
      </c>
      <c r="C3355" t="s">
        <v>296</v>
      </c>
      <c r="D3355">
        <v>2012</v>
      </c>
      <c r="E3355">
        <v>405</v>
      </c>
      <c r="F3355" t="s">
        <v>613</v>
      </c>
      <c r="G3355">
        <v>16</v>
      </c>
      <c r="H3355" t="s">
        <v>298</v>
      </c>
    </row>
    <row r="3356" spans="1:8">
      <c r="A3356" t="str">
        <f t="shared" si="52"/>
        <v>Rijksweg 16c</v>
      </c>
      <c r="B3356" t="s">
        <v>614</v>
      </c>
      <c r="C3356" t="s">
        <v>296</v>
      </c>
      <c r="D3356">
        <v>2001</v>
      </c>
      <c r="E3356">
        <v>405</v>
      </c>
      <c r="F3356" t="s">
        <v>613</v>
      </c>
      <c r="G3356">
        <v>16</v>
      </c>
      <c r="H3356" t="s">
        <v>299</v>
      </c>
    </row>
    <row r="3357" spans="1:8">
      <c r="A3357" t="str">
        <f t="shared" si="52"/>
        <v>Rijksweg 16e</v>
      </c>
      <c r="B3357" t="s">
        <v>614</v>
      </c>
      <c r="C3357" t="s">
        <v>296</v>
      </c>
      <c r="D3357">
        <v>2005</v>
      </c>
      <c r="E3357">
        <v>252</v>
      </c>
      <c r="F3357" t="s">
        <v>613</v>
      </c>
      <c r="G3357">
        <v>16</v>
      </c>
      <c r="H3357" t="s">
        <v>319</v>
      </c>
    </row>
    <row r="3358" spans="1:8">
      <c r="A3358" t="str">
        <f t="shared" si="52"/>
        <v>Rijksweg 16</v>
      </c>
      <c r="B3358" t="s">
        <v>614</v>
      </c>
      <c r="C3358" t="s">
        <v>296</v>
      </c>
      <c r="D3358">
        <v>2008</v>
      </c>
      <c r="E3358">
        <v>385</v>
      </c>
      <c r="F3358" t="s">
        <v>613</v>
      </c>
      <c r="G3358">
        <v>16</v>
      </c>
    </row>
    <row r="3359" spans="1:8">
      <c r="A3359" t="str">
        <f t="shared" si="52"/>
        <v>Rijksweg 18a</v>
      </c>
      <c r="B3359" t="s">
        <v>614</v>
      </c>
      <c r="C3359" t="s">
        <v>296</v>
      </c>
      <c r="D3359">
        <v>2006</v>
      </c>
      <c r="E3359">
        <v>365</v>
      </c>
      <c r="F3359" t="s">
        <v>613</v>
      </c>
      <c r="G3359">
        <v>18</v>
      </c>
      <c r="H3359" t="s">
        <v>304</v>
      </c>
    </row>
    <row r="3360" spans="1:8">
      <c r="A3360" t="str">
        <f t="shared" si="52"/>
        <v>Rijksweg 18b</v>
      </c>
      <c r="B3360" t="s">
        <v>614</v>
      </c>
      <c r="C3360" t="s">
        <v>296</v>
      </c>
      <c r="D3360">
        <v>2007</v>
      </c>
      <c r="E3360">
        <v>679</v>
      </c>
      <c r="F3360" t="s">
        <v>613</v>
      </c>
      <c r="G3360">
        <v>18</v>
      </c>
      <c r="H3360" t="s">
        <v>298</v>
      </c>
    </row>
    <row r="3361" spans="1:8">
      <c r="A3361" t="str">
        <f t="shared" si="52"/>
        <v>Rijksweg 18</v>
      </c>
      <c r="B3361" t="s">
        <v>614</v>
      </c>
      <c r="C3361" t="s">
        <v>296</v>
      </c>
      <c r="D3361">
        <v>2006</v>
      </c>
      <c r="E3361">
        <v>1092</v>
      </c>
      <c r="F3361" t="s">
        <v>613</v>
      </c>
      <c r="G3361">
        <v>18</v>
      </c>
    </row>
    <row r="3362" spans="1:8">
      <c r="A3362" t="str">
        <f t="shared" si="52"/>
        <v>Rijksweg 19</v>
      </c>
      <c r="B3362" t="s">
        <v>612</v>
      </c>
      <c r="C3362" t="s">
        <v>296</v>
      </c>
      <c r="D3362">
        <v>1912</v>
      </c>
      <c r="E3362">
        <v>401</v>
      </c>
      <c r="F3362" t="s">
        <v>613</v>
      </c>
      <c r="G3362">
        <v>19</v>
      </c>
    </row>
    <row r="3363" spans="1:8">
      <c r="A3363" t="str">
        <f t="shared" si="52"/>
        <v>Rijksweg 21</v>
      </c>
      <c r="B3363" t="s">
        <v>612</v>
      </c>
      <c r="C3363" t="s">
        <v>296</v>
      </c>
      <c r="D3363">
        <v>1963</v>
      </c>
      <c r="E3363">
        <v>257</v>
      </c>
      <c r="F3363" t="s">
        <v>613</v>
      </c>
      <c r="G3363">
        <v>21</v>
      </c>
    </row>
    <row r="3364" spans="1:8">
      <c r="A3364" t="str">
        <f t="shared" si="52"/>
        <v>Rijksweg 23</v>
      </c>
      <c r="B3364" t="s">
        <v>612</v>
      </c>
      <c r="C3364" t="s">
        <v>296</v>
      </c>
      <c r="D3364">
        <v>1907</v>
      </c>
      <c r="E3364">
        <v>154</v>
      </c>
      <c r="F3364" t="s">
        <v>613</v>
      </c>
      <c r="G3364">
        <v>23</v>
      </c>
    </row>
    <row r="3365" spans="1:8">
      <c r="A3365" t="str">
        <f t="shared" si="52"/>
        <v>Rijksweg 25</v>
      </c>
      <c r="B3365" t="s">
        <v>612</v>
      </c>
      <c r="C3365" t="s">
        <v>296</v>
      </c>
      <c r="D3365">
        <v>2008</v>
      </c>
      <c r="E3365">
        <v>243</v>
      </c>
      <c r="F3365" t="s">
        <v>613</v>
      </c>
      <c r="G3365">
        <v>25</v>
      </c>
    </row>
    <row r="3366" spans="1:8">
      <c r="A3366" t="str">
        <f t="shared" si="52"/>
        <v>Rijksweg 26</v>
      </c>
      <c r="B3366" t="s">
        <v>615</v>
      </c>
      <c r="C3366" t="s">
        <v>306</v>
      </c>
      <c r="D3366">
        <v>1950</v>
      </c>
      <c r="E3366">
        <v>436</v>
      </c>
      <c r="F3366" t="s">
        <v>613</v>
      </c>
      <c r="G3366">
        <v>26</v>
      </c>
    </row>
    <row r="3367" spans="1:8">
      <c r="A3367" t="str">
        <f t="shared" si="52"/>
        <v>Rijksweg 27a</v>
      </c>
      <c r="B3367" t="s">
        <v>612</v>
      </c>
      <c r="C3367" t="s">
        <v>296</v>
      </c>
      <c r="D3367">
        <v>2009</v>
      </c>
      <c r="E3367">
        <v>143</v>
      </c>
      <c r="F3367" t="s">
        <v>613</v>
      </c>
      <c r="G3367">
        <v>27</v>
      </c>
      <c r="H3367" t="s">
        <v>304</v>
      </c>
    </row>
    <row r="3368" spans="1:8">
      <c r="A3368" t="str">
        <f t="shared" si="52"/>
        <v>Rijksweg 27</v>
      </c>
      <c r="B3368" t="s">
        <v>612</v>
      </c>
      <c r="C3368" t="s">
        <v>296</v>
      </c>
      <c r="D3368">
        <v>1920</v>
      </c>
      <c r="E3368">
        <v>238</v>
      </c>
      <c r="F3368" t="s">
        <v>613</v>
      </c>
      <c r="G3368">
        <v>27</v>
      </c>
    </row>
    <row r="3369" spans="1:8">
      <c r="A3369" t="str">
        <f t="shared" si="52"/>
        <v>Rijksweg 28</v>
      </c>
      <c r="B3369" t="s">
        <v>615</v>
      </c>
      <c r="C3369" t="s">
        <v>306</v>
      </c>
      <c r="D3369">
        <v>1922</v>
      </c>
      <c r="E3369">
        <v>137</v>
      </c>
      <c r="F3369" t="s">
        <v>613</v>
      </c>
      <c r="G3369">
        <v>28</v>
      </c>
    </row>
    <row r="3370" spans="1:8">
      <c r="A3370" t="str">
        <f t="shared" si="52"/>
        <v>Rijksweg 29a</v>
      </c>
      <c r="B3370" t="s">
        <v>612</v>
      </c>
      <c r="C3370" t="s">
        <v>296</v>
      </c>
      <c r="D3370">
        <v>2008</v>
      </c>
      <c r="E3370">
        <v>233</v>
      </c>
      <c r="F3370" t="s">
        <v>613</v>
      </c>
      <c r="G3370">
        <v>29</v>
      </c>
      <c r="H3370" t="s">
        <v>304</v>
      </c>
    </row>
    <row r="3371" spans="1:8">
      <c r="A3371" t="str">
        <f t="shared" si="52"/>
        <v>Rijksweg 29</v>
      </c>
      <c r="B3371" t="s">
        <v>612</v>
      </c>
      <c r="C3371" t="s">
        <v>296</v>
      </c>
      <c r="D3371">
        <v>1930</v>
      </c>
      <c r="E3371">
        <v>163</v>
      </c>
      <c r="F3371" t="s">
        <v>613</v>
      </c>
      <c r="G3371">
        <v>29</v>
      </c>
    </row>
    <row r="3372" spans="1:8">
      <c r="A3372" t="str">
        <f t="shared" si="52"/>
        <v>Rijksweg 30</v>
      </c>
      <c r="B3372" t="s">
        <v>615</v>
      </c>
      <c r="C3372" t="s">
        <v>306</v>
      </c>
      <c r="D3372">
        <v>1930</v>
      </c>
      <c r="E3372">
        <v>165</v>
      </c>
      <c r="F3372" t="s">
        <v>613</v>
      </c>
      <c r="G3372">
        <v>30</v>
      </c>
    </row>
    <row r="3373" spans="1:8">
      <c r="A3373" t="str">
        <f t="shared" si="52"/>
        <v>Rijksweg 31</v>
      </c>
      <c r="B3373" t="s">
        <v>612</v>
      </c>
      <c r="C3373" t="s">
        <v>296</v>
      </c>
      <c r="D3373">
        <v>1925</v>
      </c>
      <c r="E3373">
        <v>179</v>
      </c>
      <c r="F3373" t="s">
        <v>613</v>
      </c>
      <c r="G3373">
        <v>31</v>
      </c>
    </row>
    <row r="3374" spans="1:8">
      <c r="A3374" t="str">
        <f t="shared" si="52"/>
        <v>Rijksweg 32</v>
      </c>
      <c r="B3374" t="s">
        <v>615</v>
      </c>
      <c r="C3374" t="s">
        <v>306</v>
      </c>
      <c r="D3374">
        <v>1920</v>
      </c>
      <c r="E3374">
        <v>218</v>
      </c>
      <c r="F3374" t="s">
        <v>613</v>
      </c>
      <c r="G3374">
        <v>32</v>
      </c>
    </row>
    <row r="3375" spans="1:8">
      <c r="A3375" t="str">
        <f t="shared" si="52"/>
        <v>Rijksweg 33a</v>
      </c>
      <c r="B3375" t="s">
        <v>612</v>
      </c>
      <c r="C3375" t="s">
        <v>296</v>
      </c>
      <c r="D3375">
        <v>1998</v>
      </c>
      <c r="E3375">
        <v>540</v>
      </c>
      <c r="F3375" t="s">
        <v>613</v>
      </c>
      <c r="G3375">
        <v>33</v>
      </c>
      <c r="H3375" t="s">
        <v>304</v>
      </c>
    </row>
    <row r="3376" spans="1:8">
      <c r="A3376" t="str">
        <f t="shared" si="52"/>
        <v>Rijksweg 33b</v>
      </c>
      <c r="C3376" t="s">
        <v>296</v>
      </c>
      <c r="D3376">
        <v>1951</v>
      </c>
      <c r="E3376">
        <v>10</v>
      </c>
      <c r="F3376" t="s">
        <v>613</v>
      </c>
      <c r="G3376">
        <v>33</v>
      </c>
      <c r="H3376" t="s">
        <v>298</v>
      </c>
    </row>
    <row r="3377" spans="1:8">
      <c r="A3377" t="str">
        <f t="shared" si="52"/>
        <v>Rijksweg 33c</v>
      </c>
      <c r="C3377" t="s">
        <v>296</v>
      </c>
      <c r="D3377">
        <v>1951</v>
      </c>
      <c r="E3377">
        <v>100</v>
      </c>
      <c r="F3377" t="s">
        <v>613</v>
      </c>
      <c r="G3377">
        <v>33</v>
      </c>
      <c r="H3377" t="s">
        <v>299</v>
      </c>
    </row>
    <row r="3378" spans="1:8">
      <c r="A3378" t="str">
        <f t="shared" si="52"/>
        <v>Rijksweg 33</v>
      </c>
      <c r="B3378" t="s">
        <v>612</v>
      </c>
      <c r="C3378" t="s">
        <v>296</v>
      </c>
      <c r="D3378">
        <v>1995</v>
      </c>
      <c r="E3378">
        <v>540</v>
      </c>
      <c r="F3378" t="s">
        <v>613</v>
      </c>
      <c r="G3378">
        <v>33</v>
      </c>
    </row>
    <row r="3379" spans="1:8">
      <c r="A3379" t="str">
        <f t="shared" si="52"/>
        <v>Rijksweg 35a</v>
      </c>
      <c r="B3379" t="s">
        <v>612</v>
      </c>
      <c r="C3379" t="s">
        <v>296</v>
      </c>
      <c r="D3379">
        <v>1998</v>
      </c>
      <c r="E3379">
        <v>420</v>
      </c>
      <c r="F3379" t="s">
        <v>613</v>
      </c>
      <c r="G3379">
        <v>35</v>
      </c>
      <c r="H3379" t="s">
        <v>304</v>
      </c>
    </row>
    <row r="3380" spans="1:8">
      <c r="A3380" t="str">
        <f t="shared" si="52"/>
        <v>Rijksweg 35b</v>
      </c>
      <c r="B3380" t="s">
        <v>612</v>
      </c>
      <c r="C3380" t="s">
        <v>296</v>
      </c>
      <c r="D3380">
        <v>1994</v>
      </c>
      <c r="E3380">
        <v>119</v>
      </c>
      <c r="F3380" t="s">
        <v>613</v>
      </c>
      <c r="G3380">
        <v>35</v>
      </c>
      <c r="H3380" t="s">
        <v>298</v>
      </c>
    </row>
    <row r="3381" spans="1:8">
      <c r="A3381" t="str">
        <f t="shared" si="52"/>
        <v>Rijksweg 35c</v>
      </c>
      <c r="B3381" t="s">
        <v>612</v>
      </c>
      <c r="C3381" t="s">
        <v>296</v>
      </c>
      <c r="D3381">
        <v>1994</v>
      </c>
      <c r="E3381">
        <v>228</v>
      </c>
      <c r="F3381" t="s">
        <v>613</v>
      </c>
      <c r="G3381">
        <v>35</v>
      </c>
      <c r="H3381" t="s">
        <v>299</v>
      </c>
    </row>
    <row r="3382" spans="1:8">
      <c r="A3382" t="str">
        <f t="shared" si="52"/>
        <v>Rijksweg 35d</v>
      </c>
      <c r="B3382" t="s">
        <v>612</v>
      </c>
      <c r="C3382" t="s">
        <v>296</v>
      </c>
      <c r="D3382">
        <v>1994</v>
      </c>
      <c r="E3382">
        <v>304</v>
      </c>
      <c r="F3382" t="s">
        <v>613</v>
      </c>
      <c r="G3382">
        <v>35</v>
      </c>
      <c r="H3382" t="s">
        <v>300</v>
      </c>
    </row>
    <row r="3383" spans="1:8">
      <c r="A3383" t="str">
        <f t="shared" si="52"/>
        <v>Rijksweg 35e</v>
      </c>
      <c r="B3383" t="s">
        <v>612</v>
      </c>
      <c r="C3383" t="s">
        <v>296</v>
      </c>
      <c r="D3383">
        <v>1997</v>
      </c>
      <c r="E3383">
        <v>271</v>
      </c>
      <c r="F3383" t="s">
        <v>613</v>
      </c>
      <c r="G3383">
        <v>35</v>
      </c>
      <c r="H3383" t="s">
        <v>319</v>
      </c>
    </row>
    <row r="3384" spans="1:8">
      <c r="A3384" t="str">
        <f t="shared" si="52"/>
        <v>Rijksweg 35f</v>
      </c>
      <c r="B3384" t="s">
        <v>612</v>
      </c>
      <c r="C3384" t="s">
        <v>296</v>
      </c>
      <c r="D3384">
        <v>1995</v>
      </c>
      <c r="E3384">
        <v>580</v>
      </c>
      <c r="F3384" t="s">
        <v>613</v>
      </c>
      <c r="G3384">
        <v>35</v>
      </c>
      <c r="H3384" t="s">
        <v>329</v>
      </c>
    </row>
    <row r="3385" spans="1:8">
      <c r="A3385" t="str">
        <f t="shared" si="52"/>
        <v>Rijksweg 35g</v>
      </c>
      <c r="B3385" t="s">
        <v>612</v>
      </c>
      <c r="C3385" t="s">
        <v>296</v>
      </c>
      <c r="D3385">
        <v>1995</v>
      </c>
      <c r="E3385">
        <v>244</v>
      </c>
      <c r="F3385" t="s">
        <v>613</v>
      </c>
      <c r="G3385">
        <v>35</v>
      </c>
      <c r="H3385" t="s">
        <v>330</v>
      </c>
    </row>
    <row r="3386" spans="1:8">
      <c r="A3386" t="str">
        <f t="shared" si="52"/>
        <v>Rijksweg 35i</v>
      </c>
      <c r="B3386" t="s">
        <v>612</v>
      </c>
      <c r="C3386" t="s">
        <v>296</v>
      </c>
      <c r="D3386">
        <v>2019</v>
      </c>
      <c r="E3386">
        <v>449</v>
      </c>
      <c r="F3386" t="s">
        <v>613</v>
      </c>
      <c r="G3386">
        <v>35</v>
      </c>
      <c r="H3386" t="s">
        <v>527</v>
      </c>
    </row>
    <row r="3387" spans="1:8">
      <c r="A3387" t="str">
        <f t="shared" si="52"/>
        <v>Rijksweg 35</v>
      </c>
      <c r="B3387" t="s">
        <v>612</v>
      </c>
      <c r="C3387" t="s">
        <v>296</v>
      </c>
      <c r="D3387">
        <v>1999</v>
      </c>
      <c r="E3387">
        <v>599</v>
      </c>
      <c r="F3387" t="s">
        <v>613</v>
      </c>
      <c r="G3387">
        <v>35</v>
      </c>
    </row>
    <row r="3388" spans="1:8">
      <c r="A3388" t="str">
        <f t="shared" si="52"/>
        <v>Rijksweg 37</v>
      </c>
      <c r="B3388" t="s">
        <v>616</v>
      </c>
      <c r="C3388" t="s">
        <v>306</v>
      </c>
      <c r="D3388">
        <v>1995</v>
      </c>
      <c r="E3388">
        <v>492</v>
      </c>
      <c r="F3388" t="s">
        <v>613</v>
      </c>
      <c r="G3388">
        <v>37</v>
      </c>
    </row>
    <row r="3389" spans="1:8">
      <c r="A3389" t="str">
        <f t="shared" si="52"/>
        <v>Rijksweg 39</v>
      </c>
      <c r="B3389" t="s">
        <v>616</v>
      </c>
      <c r="C3389" t="s">
        <v>306</v>
      </c>
      <c r="D3389">
        <v>1950</v>
      </c>
      <c r="E3389">
        <v>193</v>
      </c>
      <c r="F3389" t="s">
        <v>613</v>
      </c>
      <c r="G3389">
        <v>39</v>
      </c>
    </row>
    <row r="3390" spans="1:8">
      <c r="A3390" t="str">
        <f t="shared" si="52"/>
        <v>Rijksweg 41</v>
      </c>
      <c r="B3390" t="s">
        <v>616</v>
      </c>
      <c r="C3390" t="s">
        <v>306</v>
      </c>
      <c r="D3390">
        <v>1985</v>
      </c>
      <c r="E3390">
        <v>432</v>
      </c>
      <c r="F3390" t="s">
        <v>613</v>
      </c>
      <c r="G3390">
        <v>41</v>
      </c>
    </row>
    <row r="3391" spans="1:8">
      <c r="A3391" t="str">
        <f t="shared" si="52"/>
        <v>Rijksweg 44</v>
      </c>
      <c r="B3391" t="s">
        <v>615</v>
      </c>
      <c r="C3391" t="s">
        <v>306</v>
      </c>
      <c r="D3391">
        <v>1925</v>
      </c>
      <c r="E3391">
        <v>172</v>
      </c>
      <c r="F3391" t="s">
        <v>613</v>
      </c>
      <c r="G3391">
        <v>44</v>
      </c>
    </row>
    <row r="3392" spans="1:8">
      <c r="A3392" t="str">
        <f t="shared" si="52"/>
        <v>Rijksweg 45</v>
      </c>
      <c r="B3392" t="s">
        <v>616</v>
      </c>
      <c r="C3392" t="s">
        <v>306</v>
      </c>
      <c r="D3392">
        <v>1968</v>
      </c>
      <c r="E3392">
        <v>206</v>
      </c>
      <c r="F3392" t="s">
        <v>613</v>
      </c>
      <c r="G3392">
        <v>45</v>
      </c>
    </row>
    <row r="3393" spans="1:8">
      <c r="A3393" t="str">
        <f t="shared" si="52"/>
        <v>Rijksweg 47</v>
      </c>
      <c r="B3393" t="s">
        <v>616</v>
      </c>
      <c r="C3393" t="s">
        <v>306</v>
      </c>
      <c r="D3393">
        <v>1937</v>
      </c>
      <c r="E3393">
        <v>162</v>
      </c>
      <c r="F3393" t="s">
        <v>613</v>
      </c>
      <c r="G3393">
        <v>47</v>
      </c>
    </row>
    <row r="3394" spans="1:8">
      <c r="A3394" t="str">
        <f t="shared" ref="A3394:A3457" si="53">CONCATENATE(F3394," ",G3394,H3394)</f>
        <v>Rijksweg 49a</v>
      </c>
      <c r="B3394" t="s">
        <v>616</v>
      </c>
      <c r="C3394" t="s">
        <v>306</v>
      </c>
      <c r="D3394">
        <v>2009</v>
      </c>
      <c r="E3394">
        <v>117</v>
      </c>
      <c r="F3394" t="s">
        <v>613</v>
      </c>
      <c r="G3394">
        <v>49</v>
      </c>
      <c r="H3394" t="s">
        <v>304</v>
      </c>
    </row>
    <row r="3395" spans="1:8">
      <c r="A3395" t="str">
        <f t="shared" si="53"/>
        <v>Rijksweg 49</v>
      </c>
      <c r="B3395" t="s">
        <v>616</v>
      </c>
      <c r="C3395" t="s">
        <v>306</v>
      </c>
      <c r="D3395">
        <v>1925</v>
      </c>
      <c r="E3395">
        <v>170</v>
      </c>
      <c r="F3395" t="s">
        <v>613</v>
      </c>
      <c r="G3395">
        <v>49</v>
      </c>
    </row>
    <row r="3396" spans="1:8">
      <c r="A3396" t="str">
        <f t="shared" si="53"/>
        <v>Rijksweg 51</v>
      </c>
      <c r="B3396" t="s">
        <v>616</v>
      </c>
      <c r="C3396" t="s">
        <v>306</v>
      </c>
      <c r="D3396">
        <v>1925</v>
      </c>
      <c r="E3396">
        <v>140</v>
      </c>
      <c r="F3396" t="s">
        <v>613</v>
      </c>
      <c r="G3396">
        <v>51</v>
      </c>
    </row>
    <row r="3397" spans="1:8">
      <c r="A3397" t="str">
        <f t="shared" si="53"/>
        <v>Rijksweg 52</v>
      </c>
      <c r="B3397" t="s">
        <v>615</v>
      </c>
      <c r="C3397" t="s">
        <v>306</v>
      </c>
      <c r="D3397">
        <v>1933</v>
      </c>
      <c r="E3397">
        <v>167</v>
      </c>
      <c r="F3397" t="s">
        <v>613</v>
      </c>
      <c r="G3397">
        <v>52</v>
      </c>
    </row>
    <row r="3398" spans="1:8">
      <c r="A3398" t="str">
        <f t="shared" si="53"/>
        <v>Rijksweg 54</v>
      </c>
      <c r="B3398" t="s">
        <v>615</v>
      </c>
      <c r="C3398" t="s">
        <v>306</v>
      </c>
      <c r="D3398">
        <v>2021</v>
      </c>
      <c r="E3398">
        <v>142</v>
      </c>
      <c r="F3398" t="s">
        <v>613</v>
      </c>
      <c r="G3398">
        <v>54</v>
      </c>
    </row>
    <row r="3399" spans="1:8">
      <c r="A3399" t="str">
        <f t="shared" si="53"/>
        <v>Rijksweg 55</v>
      </c>
      <c r="B3399" t="s">
        <v>616</v>
      </c>
      <c r="C3399" t="s">
        <v>306</v>
      </c>
      <c r="D3399">
        <v>1930</v>
      </c>
      <c r="E3399">
        <v>466</v>
      </c>
      <c r="F3399" t="s">
        <v>613</v>
      </c>
      <c r="G3399">
        <v>55</v>
      </c>
    </row>
    <row r="3400" spans="1:8">
      <c r="A3400" t="str">
        <f t="shared" si="53"/>
        <v>Rijksweg 56a</v>
      </c>
      <c r="C3400" t="s">
        <v>306</v>
      </c>
      <c r="D3400">
        <v>2022</v>
      </c>
      <c r="E3400">
        <v>60</v>
      </c>
      <c r="F3400" t="s">
        <v>613</v>
      </c>
      <c r="G3400">
        <v>56</v>
      </c>
      <c r="H3400" t="s">
        <v>304</v>
      </c>
    </row>
    <row r="3401" spans="1:8">
      <c r="A3401" t="str">
        <f t="shared" si="53"/>
        <v>Rijksweg 56</v>
      </c>
      <c r="B3401" t="s">
        <v>615</v>
      </c>
      <c r="C3401" t="s">
        <v>306</v>
      </c>
      <c r="D3401">
        <v>1910</v>
      </c>
      <c r="E3401">
        <v>214</v>
      </c>
      <c r="F3401" t="s">
        <v>613</v>
      </c>
      <c r="G3401">
        <v>56</v>
      </c>
    </row>
    <row r="3402" spans="1:8">
      <c r="A3402" t="str">
        <f t="shared" si="53"/>
        <v>Rijksweg 62</v>
      </c>
      <c r="B3402" t="s">
        <v>615</v>
      </c>
      <c r="C3402" t="s">
        <v>306</v>
      </c>
      <c r="D3402">
        <v>1910</v>
      </c>
      <c r="E3402">
        <v>237</v>
      </c>
      <c r="F3402" t="s">
        <v>613</v>
      </c>
      <c r="G3402">
        <v>62</v>
      </c>
    </row>
    <row r="3403" spans="1:8">
      <c r="A3403" t="str">
        <f t="shared" si="53"/>
        <v>Rijksweg 64a</v>
      </c>
      <c r="B3403" t="s">
        <v>615</v>
      </c>
      <c r="C3403" t="s">
        <v>306</v>
      </c>
      <c r="D3403">
        <v>1982</v>
      </c>
      <c r="E3403">
        <v>131</v>
      </c>
      <c r="F3403" t="s">
        <v>613</v>
      </c>
      <c r="G3403">
        <v>64</v>
      </c>
      <c r="H3403" t="s">
        <v>304</v>
      </c>
    </row>
    <row r="3404" spans="1:8">
      <c r="A3404" t="str">
        <f t="shared" si="53"/>
        <v>Rijksweg 64b</v>
      </c>
      <c r="B3404" t="s">
        <v>615</v>
      </c>
      <c r="C3404" t="s">
        <v>306</v>
      </c>
      <c r="D3404">
        <v>1982</v>
      </c>
      <c r="E3404">
        <v>113</v>
      </c>
      <c r="F3404" t="s">
        <v>613</v>
      </c>
      <c r="G3404">
        <v>64</v>
      </c>
      <c r="H3404" t="s">
        <v>298</v>
      </c>
    </row>
    <row r="3405" spans="1:8">
      <c r="A3405" t="str">
        <f t="shared" si="53"/>
        <v>Rijksweg 64</v>
      </c>
      <c r="B3405" t="s">
        <v>615</v>
      </c>
      <c r="C3405" t="s">
        <v>306</v>
      </c>
      <c r="D3405">
        <v>1982</v>
      </c>
      <c r="E3405">
        <v>88</v>
      </c>
      <c r="F3405" t="s">
        <v>613</v>
      </c>
      <c r="G3405">
        <v>64</v>
      </c>
    </row>
    <row r="3406" spans="1:8">
      <c r="A3406" t="str">
        <f t="shared" si="53"/>
        <v>Rijksweg 65</v>
      </c>
      <c r="B3406" t="s">
        <v>616</v>
      </c>
      <c r="C3406" t="s">
        <v>306</v>
      </c>
      <c r="D3406">
        <v>2004</v>
      </c>
      <c r="E3406">
        <v>168</v>
      </c>
      <c r="F3406" t="s">
        <v>613</v>
      </c>
      <c r="G3406">
        <v>65</v>
      </c>
    </row>
    <row r="3407" spans="1:8">
      <c r="A3407" t="str">
        <f t="shared" si="53"/>
        <v>Rijksweg 66a</v>
      </c>
      <c r="B3407" t="s">
        <v>615</v>
      </c>
      <c r="C3407" t="s">
        <v>306</v>
      </c>
      <c r="D3407">
        <v>1982</v>
      </c>
      <c r="E3407">
        <v>40</v>
      </c>
      <c r="F3407" t="s">
        <v>613</v>
      </c>
      <c r="G3407">
        <v>66</v>
      </c>
      <c r="H3407" t="s">
        <v>304</v>
      </c>
    </row>
    <row r="3408" spans="1:8">
      <c r="A3408" t="str">
        <f t="shared" si="53"/>
        <v>Rijksweg 66b</v>
      </c>
      <c r="B3408" t="s">
        <v>615</v>
      </c>
      <c r="C3408" t="s">
        <v>306</v>
      </c>
      <c r="D3408">
        <v>1982</v>
      </c>
      <c r="E3408">
        <v>40</v>
      </c>
      <c r="F3408" t="s">
        <v>613</v>
      </c>
      <c r="G3408">
        <v>66</v>
      </c>
      <c r="H3408" t="s">
        <v>298</v>
      </c>
    </row>
    <row r="3409" spans="1:8">
      <c r="A3409" t="str">
        <f t="shared" si="53"/>
        <v>Rijksweg 66</v>
      </c>
      <c r="B3409" t="s">
        <v>615</v>
      </c>
      <c r="C3409" t="s">
        <v>306</v>
      </c>
      <c r="D3409">
        <v>1982</v>
      </c>
      <c r="E3409">
        <v>113</v>
      </c>
      <c r="F3409" t="s">
        <v>613</v>
      </c>
      <c r="G3409">
        <v>66</v>
      </c>
    </row>
    <row r="3410" spans="1:8">
      <c r="A3410" t="str">
        <f t="shared" si="53"/>
        <v>Rijksweg 68a</v>
      </c>
      <c r="B3410" t="s">
        <v>615</v>
      </c>
      <c r="C3410" t="s">
        <v>306</v>
      </c>
      <c r="D3410">
        <v>1982</v>
      </c>
      <c r="E3410">
        <v>40</v>
      </c>
      <c r="F3410" t="s">
        <v>613</v>
      </c>
      <c r="G3410">
        <v>68</v>
      </c>
      <c r="H3410" t="s">
        <v>304</v>
      </c>
    </row>
    <row r="3411" spans="1:8">
      <c r="A3411" t="str">
        <f t="shared" si="53"/>
        <v>Rijksweg 68b</v>
      </c>
      <c r="B3411" t="s">
        <v>615</v>
      </c>
      <c r="C3411" t="s">
        <v>306</v>
      </c>
      <c r="D3411">
        <v>1982</v>
      </c>
      <c r="E3411">
        <v>113</v>
      </c>
      <c r="F3411" t="s">
        <v>613</v>
      </c>
      <c r="G3411">
        <v>68</v>
      </c>
      <c r="H3411" t="s">
        <v>298</v>
      </c>
    </row>
    <row r="3412" spans="1:8">
      <c r="A3412" t="str">
        <f t="shared" si="53"/>
        <v>Rijksweg 68</v>
      </c>
      <c r="B3412" t="s">
        <v>615</v>
      </c>
      <c r="C3412" t="s">
        <v>306</v>
      </c>
      <c r="D3412">
        <v>1982</v>
      </c>
      <c r="E3412">
        <v>41</v>
      </c>
      <c r="F3412" t="s">
        <v>613</v>
      </c>
      <c r="G3412">
        <v>68</v>
      </c>
    </row>
    <row r="3413" spans="1:8">
      <c r="A3413" t="str">
        <f t="shared" si="53"/>
        <v>Rijksweg 70a</v>
      </c>
      <c r="B3413" t="s">
        <v>615</v>
      </c>
      <c r="C3413" t="s">
        <v>306</v>
      </c>
      <c r="D3413">
        <v>1982</v>
      </c>
      <c r="E3413">
        <v>40</v>
      </c>
      <c r="F3413" t="s">
        <v>613</v>
      </c>
      <c r="G3413">
        <v>70</v>
      </c>
      <c r="H3413" t="s">
        <v>304</v>
      </c>
    </row>
    <row r="3414" spans="1:8">
      <c r="A3414" t="str">
        <f t="shared" si="53"/>
        <v>Rijksweg 70b</v>
      </c>
      <c r="B3414" t="s">
        <v>615</v>
      </c>
      <c r="C3414" t="s">
        <v>306</v>
      </c>
      <c r="D3414">
        <v>1982</v>
      </c>
      <c r="E3414">
        <v>40</v>
      </c>
      <c r="F3414" t="s">
        <v>613</v>
      </c>
      <c r="G3414">
        <v>70</v>
      </c>
      <c r="H3414" t="s">
        <v>298</v>
      </c>
    </row>
    <row r="3415" spans="1:8">
      <c r="A3415" t="str">
        <f t="shared" si="53"/>
        <v>Rijksweg 70</v>
      </c>
      <c r="B3415" t="s">
        <v>615</v>
      </c>
      <c r="C3415" t="s">
        <v>306</v>
      </c>
      <c r="D3415">
        <v>1982</v>
      </c>
      <c r="E3415">
        <v>113</v>
      </c>
      <c r="F3415" t="s">
        <v>613</v>
      </c>
      <c r="G3415">
        <v>70</v>
      </c>
    </row>
    <row r="3416" spans="1:8">
      <c r="A3416" t="str">
        <f t="shared" si="53"/>
        <v>Rijksweg 71</v>
      </c>
      <c r="B3416" t="s">
        <v>617</v>
      </c>
      <c r="C3416" t="s">
        <v>306</v>
      </c>
      <c r="D3416">
        <v>1960</v>
      </c>
      <c r="E3416">
        <v>234</v>
      </c>
      <c r="F3416" t="s">
        <v>613</v>
      </c>
      <c r="G3416">
        <v>71</v>
      </c>
    </row>
    <row r="3417" spans="1:8">
      <c r="A3417" t="str">
        <f t="shared" si="53"/>
        <v>Rijksweg 72a</v>
      </c>
      <c r="B3417" t="s">
        <v>615</v>
      </c>
      <c r="C3417" t="s">
        <v>306</v>
      </c>
      <c r="D3417">
        <v>1982</v>
      </c>
      <c r="E3417">
        <v>40</v>
      </c>
      <c r="F3417" t="s">
        <v>613</v>
      </c>
      <c r="G3417">
        <v>72</v>
      </c>
      <c r="H3417" t="s">
        <v>304</v>
      </c>
    </row>
    <row r="3418" spans="1:8">
      <c r="A3418" t="str">
        <f t="shared" si="53"/>
        <v>Rijksweg 72b</v>
      </c>
      <c r="B3418" t="s">
        <v>615</v>
      </c>
      <c r="C3418" t="s">
        <v>306</v>
      </c>
      <c r="D3418">
        <v>1982</v>
      </c>
      <c r="E3418">
        <v>113</v>
      </c>
      <c r="F3418" t="s">
        <v>613</v>
      </c>
      <c r="G3418">
        <v>72</v>
      </c>
      <c r="H3418" t="s">
        <v>298</v>
      </c>
    </row>
    <row r="3419" spans="1:8">
      <c r="A3419" t="str">
        <f t="shared" si="53"/>
        <v>Rijksweg 72</v>
      </c>
      <c r="B3419" t="s">
        <v>615</v>
      </c>
      <c r="C3419" t="s">
        <v>306</v>
      </c>
      <c r="D3419">
        <v>1982</v>
      </c>
      <c r="E3419">
        <v>40</v>
      </c>
      <c r="F3419" t="s">
        <v>613</v>
      </c>
      <c r="G3419">
        <v>72</v>
      </c>
    </row>
    <row r="3420" spans="1:8">
      <c r="A3420" t="str">
        <f t="shared" si="53"/>
        <v>Rijksweg 73</v>
      </c>
      <c r="B3420" t="s">
        <v>617</v>
      </c>
      <c r="C3420" t="s">
        <v>306</v>
      </c>
      <c r="D3420">
        <v>1925</v>
      </c>
      <c r="E3420">
        <v>244</v>
      </c>
      <c r="F3420" t="s">
        <v>613</v>
      </c>
      <c r="G3420">
        <v>73</v>
      </c>
    </row>
    <row r="3421" spans="1:8">
      <c r="A3421" t="str">
        <f t="shared" si="53"/>
        <v>Rijksweg 74</v>
      </c>
      <c r="B3421" t="s">
        <v>615</v>
      </c>
      <c r="C3421" t="s">
        <v>306</v>
      </c>
      <c r="D3421">
        <v>1950</v>
      </c>
      <c r="E3421">
        <v>234</v>
      </c>
      <c r="F3421" t="s">
        <v>613</v>
      </c>
      <c r="G3421">
        <v>74</v>
      </c>
    </row>
    <row r="3422" spans="1:8">
      <c r="A3422" t="str">
        <f t="shared" si="53"/>
        <v>Rijksweg 75</v>
      </c>
      <c r="B3422" t="s">
        <v>617</v>
      </c>
      <c r="C3422" t="s">
        <v>306</v>
      </c>
      <c r="D3422">
        <v>1930</v>
      </c>
      <c r="E3422">
        <v>216</v>
      </c>
      <c r="F3422" t="s">
        <v>613</v>
      </c>
      <c r="G3422">
        <v>75</v>
      </c>
    </row>
    <row r="3423" spans="1:8">
      <c r="A3423" t="str">
        <f t="shared" si="53"/>
        <v>Rijksweg 77</v>
      </c>
      <c r="B3423" t="s">
        <v>617</v>
      </c>
      <c r="C3423" t="s">
        <v>306</v>
      </c>
      <c r="D3423">
        <v>1946</v>
      </c>
      <c r="E3423">
        <v>137</v>
      </c>
      <c r="F3423" t="s">
        <v>613</v>
      </c>
      <c r="G3423">
        <v>77</v>
      </c>
    </row>
    <row r="3424" spans="1:8">
      <c r="A3424" t="str">
        <f t="shared" si="53"/>
        <v>Rijksweg 79a</v>
      </c>
      <c r="B3424" t="s">
        <v>617</v>
      </c>
      <c r="C3424" t="s">
        <v>306</v>
      </c>
      <c r="D3424">
        <v>1987</v>
      </c>
      <c r="E3424">
        <v>146</v>
      </c>
      <c r="F3424" t="s">
        <v>613</v>
      </c>
      <c r="G3424">
        <v>79</v>
      </c>
      <c r="H3424" t="s">
        <v>304</v>
      </c>
    </row>
    <row r="3425" spans="1:8">
      <c r="A3425" t="str">
        <f t="shared" si="53"/>
        <v>Rijksweg 79</v>
      </c>
      <c r="B3425" t="s">
        <v>617</v>
      </c>
      <c r="C3425" t="s">
        <v>306</v>
      </c>
      <c r="D3425">
        <v>1987</v>
      </c>
      <c r="E3425">
        <v>163</v>
      </c>
      <c r="F3425" t="s">
        <v>613</v>
      </c>
      <c r="G3425">
        <v>79</v>
      </c>
    </row>
    <row r="3426" spans="1:8">
      <c r="A3426" t="str">
        <f t="shared" si="53"/>
        <v>Rijksweg 80</v>
      </c>
      <c r="B3426" t="s">
        <v>615</v>
      </c>
      <c r="C3426" t="s">
        <v>306</v>
      </c>
      <c r="D3426">
        <v>2019</v>
      </c>
      <c r="E3426">
        <v>27</v>
      </c>
      <c r="F3426" t="s">
        <v>613</v>
      </c>
      <c r="G3426">
        <v>80</v>
      </c>
    </row>
    <row r="3427" spans="1:8">
      <c r="A3427" t="str">
        <f t="shared" si="53"/>
        <v>Rijksweg 81a</v>
      </c>
      <c r="B3427" t="s">
        <v>617</v>
      </c>
      <c r="C3427" t="s">
        <v>306</v>
      </c>
      <c r="D3427">
        <v>1987</v>
      </c>
      <c r="E3427">
        <v>127</v>
      </c>
      <c r="F3427" t="s">
        <v>613</v>
      </c>
      <c r="G3427">
        <v>81</v>
      </c>
      <c r="H3427" t="s">
        <v>304</v>
      </c>
    </row>
    <row r="3428" spans="1:8">
      <c r="A3428" t="str">
        <f t="shared" si="53"/>
        <v>Rijksweg 81</v>
      </c>
      <c r="B3428" t="s">
        <v>617</v>
      </c>
      <c r="C3428" t="s">
        <v>306</v>
      </c>
      <c r="D3428">
        <v>1987</v>
      </c>
      <c r="E3428">
        <v>127</v>
      </c>
      <c r="F3428" t="s">
        <v>613</v>
      </c>
      <c r="G3428">
        <v>81</v>
      </c>
    </row>
    <row r="3429" spans="1:8">
      <c r="A3429" t="str">
        <f t="shared" si="53"/>
        <v>Rijksweg 82</v>
      </c>
      <c r="B3429" t="s">
        <v>615</v>
      </c>
      <c r="C3429" t="s">
        <v>306</v>
      </c>
      <c r="D3429">
        <v>2019</v>
      </c>
      <c r="E3429">
        <v>28</v>
      </c>
      <c r="F3429" t="s">
        <v>613</v>
      </c>
      <c r="G3429">
        <v>82</v>
      </c>
    </row>
    <row r="3430" spans="1:8">
      <c r="A3430" t="str">
        <f t="shared" si="53"/>
        <v>Rijksweg 83</v>
      </c>
      <c r="B3430" t="s">
        <v>617</v>
      </c>
      <c r="C3430" t="s">
        <v>306</v>
      </c>
      <c r="D3430">
        <v>1930</v>
      </c>
      <c r="E3430">
        <v>165</v>
      </c>
      <c r="F3430" t="s">
        <v>613</v>
      </c>
      <c r="G3430">
        <v>83</v>
      </c>
    </row>
    <row r="3431" spans="1:8">
      <c r="A3431" t="str">
        <f t="shared" si="53"/>
        <v>Rijksweg 84</v>
      </c>
      <c r="B3431" t="s">
        <v>615</v>
      </c>
      <c r="C3431" t="s">
        <v>306</v>
      </c>
      <c r="D3431">
        <v>2019</v>
      </c>
      <c r="E3431">
        <v>28</v>
      </c>
      <c r="F3431" t="s">
        <v>613</v>
      </c>
      <c r="G3431">
        <v>84</v>
      </c>
    </row>
    <row r="3432" spans="1:8">
      <c r="A3432" t="str">
        <f t="shared" si="53"/>
        <v>Rijksweg 85</v>
      </c>
      <c r="B3432" t="s">
        <v>617</v>
      </c>
      <c r="C3432" t="s">
        <v>306</v>
      </c>
      <c r="D3432">
        <v>1880</v>
      </c>
      <c r="E3432">
        <v>307</v>
      </c>
      <c r="F3432" t="s">
        <v>613</v>
      </c>
      <c r="G3432">
        <v>85</v>
      </c>
    </row>
    <row r="3433" spans="1:8">
      <c r="A3433" t="str">
        <f t="shared" si="53"/>
        <v>Rijksweg 86</v>
      </c>
      <c r="B3433" t="s">
        <v>618</v>
      </c>
      <c r="C3433" t="s">
        <v>306</v>
      </c>
      <c r="D3433">
        <v>1953</v>
      </c>
      <c r="E3433">
        <v>448</v>
      </c>
      <c r="F3433" t="s">
        <v>613</v>
      </c>
      <c r="G3433">
        <v>86</v>
      </c>
    </row>
    <row r="3434" spans="1:8">
      <c r="A3434" t="str">
        <f t="shared" si="53"/>
        <v>Rijksweg 87</v>
      </c>
      <c r="B3434" t="s">
        <v>617</v>
      </c>
      <c r="C3434" t="s">
        <v>306</v>
      </c>
      <c r="D3434">
        <v>1934</v>
      </c>
      <c r="E3434">
        <v>154</v>
      </c>
      <c r="F3434" t="s">
        <v>613</v>
      </c>
      <c r="G3434">
        <v>87</v>
      </c>
    </row>
    <row r="3435" spans="1:8">
      <c r="A3435" t="str">
        <f t="shared" si="53"/>
        <v>Rijksweg 88</v>
      </c>
      <c r="B3435" t="s">
        <v>618</v>
      </c>
      <c r="C3435" t="s">
        <v>306</v>
      </c>
      <c r="D3435">
        <v>1920</v>
      </c>
      <c r="E3435">
        <v>416</v>
      </c>
      <c r="F3435" t="s">
        <v>613</v>
      </c>
      <c r="G3435">
        <v>88</v>
      </c>
    </row>
    <row r="3436" spans="1:8">
      <c r="A3436" t="str">
        <f t="shared" si="53"/>
        <v>Rijksweg 89</v>
      </c>
      <c r="B3436" t="s">
        <v>617</v>
      </c>
      <c r="C3436" t="s">
        <v>306</v>
      </c>
      <c r="D3436">
        <v>1930</v>
      </c>
      <c r="E3436">
        <v>129</v>
      </c>
      <c r="F3436" t="s">
        <v>613</v>
      </c>
      <c r="G3436">
        <v>89</v>
      </c>
    </row>
    <row r="3437" spans="1:8">
      <c r="A3437" t="str">
        <f t="shared" si="53"/>
        <v>Rijksweg 91</v>
      </c>
      <c r="B3437" t="s">
        <v>617</v>
      </c>
      <c r="C3437" t="s">
        <v>306</v>
      </c>
      <c r="D3437">
        <v>1930</v>
      </c>
      <c r="E3437">
        <v>146</v>
      </c>
      <c r="F3437" t="s">
        <v>613</v>
      </c>
      <c r="G3437">
        <v>91</v>
      </c>
    </row>
    <row r="3438" spans="1:8">
      <c r="A3438" t="str">
        <f t="shared" si="53"/>
        <v>Rijksweg 92</v>
      </c>
      <c r="B3438" t="s">
        <v>618</v>
      </c>
      <c r="C3438" t="s">
        <v>306</v>
      </c>
      <c r="D3438">
        <v>1958</v>
      </c>
      <c r="E3438">
        <v>112</v>
      </c>
      <c r="F3438" t="s">
        <v>613</v>
      </c>
      <c r="G3438">
        <v>92</v>
      </c>
    </row>
    <row r="3439" spans="1:8">
      <c r="A3439" t="str">
        <f t="shared" si="53"/>
        <v>Rijksweg 93</v>
      </c>
      <c r="B3439" t="s">
        <v>617</v>
      </c>
      <c r="C3439" t="s">
        <v>306</v>
      </c>
      <c r="D3439">
        <v>2008</v>
      </c>
      <c r="E3439">
        <v>180</v>
      </c>
      <c r="F3439" t="s">
        <v>613</v>
      </c>
      <c r="G3439">
        <v>93</v>
      </c>
    </row>
    <row r="3440" spans="1:8">
      <c r="A3440" t="str">
        <f t="shared" si="53"/>
        <v>Rijksweg 94</v>
      </c>
      <c r="B3440" t="s">
        <v>618</v>
      </c>
      <c r="C3440" t="s">
        <v>306</v>
      </c>
      <c r="D3440">
        <v>1955</v>
      </c>
      <c r="E3440">
        <v>122</v>
      </c>
      <c r="F3440" t="s">
        <v>613</v>
      </c>
      <c r="G3440">
        <v>94</v>
      </c>
    </row>
    <row r="3441" spans="1:8">
      <c r="A3441" t="str">
        <f t="shared" si="53"/>
        <v>Rijksweg 95a</v>
      </c>
      <c r="B3441" t="s">
        <v>617</v>
      </c>
      <c r="C3441" t="s">
        <v>306</v>
      </c>
      <c r="D3441">
        <v>1956</v>
      </c>
      <c r="E3441">
        <v>91</v>
      </c>
      <c r="F3441" t="s">
        <v>613</v>
      </c>
      <c r="G3441">
        <v>95</v>
      </c>
      <c r="H3441" t="s">
        <v>304</v>
      </c>
    </row>
    <row r="3442" spans="1:8">
      <c r="A3442" t="str">
        <f t="shared" si="53"/>
        <v>Rijksweg 95b</v>
      </c>
      <c r="B3442" t="s">
        <v>617</v>
      </c>
      <c r="C3442" t="s">
        <v>306</v>
      </c>
      <c r="D3442">
        <v>1956</v>
      </c>
      <c r="E3442">
        <v>89</v>
      </c>
      <c r="F3442" t="s">
        <v>613</v>
      </c>
      <c r="G3442">
        <v>95</v>
      </c>
      <c r="H3442" t="s">
        <v>298</v>
      </c>
    </row>
    <row r="3443" spans="1:8">
      <c r="A3443" t="str">
        <f t="shared" si="53"/>
        <v>Rijksweg 95c</v>
      </c>
      <c r="B3443" t="s">
        <v>617</v>
      </c>
      <c r="C3443" t="s">
        <v>306</v>
      </c>
      <c r="D3443">
        <v>1956</v>
      </c>
      <c r="E3443">
        <v>71</v>
      </c>
      <c r="F3443" t="s">
        <v>613</v>
      </c>
      <c r="G3443">
        <v>95</v>
      </c>
      <c r="H3443" t="s">
        <v>299</v>
      </c>
    </row>
    <row r="3444" spans="1:8">
      <c r="A3444" t="str">
        <f t="shared" si="53"/>
        <v>Rijksweg 95d</v>
      </c>
      <c r="B3444" t="s">
        <v>617</v>
      </c>
      <c r="C3444" t="s">
        <v>306</v>
      </c>
      <c r="D3444">
        <v>1956</v>
      </c>
      <c r="E3444">
        <v>83</v>
      </c>
      <c r="F3444" t="s">
        <v>613</v>
      </c>
      <c r="G3444">
        <v>95</v>
      </c>
      <c r="H3444" t="s">
        <v>300</v>
      </c>
    </row>
    <row r="3445" spans="1:8">
      <c r="A3445" t="str">
        <f t="shared" si="53"/>
        <v>Rijksweg 95e</v>
      </c>
      <c r="B3445" t="s">
        <v>617</v>
      </c>
      <c r="C3445" t="s">
        <v>306</v>
      </c>
      <c r="D3445">
        <v>1956</v>
      </c>
      <c r="E3445">
        <v>55</v>
      </c>
      <c r="F3445" t="s">
        <v>613</v>
      </c>
      <c r="G3445">
        <v>95</v>
      </c>
      <c r="H3445" t="s">
        <v>319</v>
      </c>
    </row>
    <row r="3446" spans="1:8">
      <c r="A3446" t="str">
        <f t="shared" si="53"/>
        <v>Rijksweg 95</v>
      </c>
      <c r="B3446" t="s">
        <v>617</v>
      </c>
      <c r="C3446" t="s">
        <v>306</v>
      </c>
      <c r="D3446">
        <v>1956</v>
      </c>
      <c r="E3446">
        <v>465</v>
      </c>
      <c r="F3446" t="s">
        <v>613</v>
      </c>
      <c r="G3446">
        <v>95</v>
      </c>
    </row>
    <row r="3447" spans="1:8">
      <c r="A3447" t="str">
        <f t="shared" si="53"/>
        <v>Rijksweg 96</v>
      </c>
      <c r="B3447" t="s">
        <v>618</v>
      </c>
      <c r="C3447" t="s">
        <v>306</v>
      </c>
      <c r="D3447">
        <v>1955</v>
      </c>
      <c r="E3447">
        <v>183</v>
      </c>
      <c r="F3447" t="s">
        <v>613</v>
      </c>
      <c r="G3447">
        <v>96</v>
      </c>
    </row>
    <row r="3448" spans="1:8">
      <c r="A3448" t="str">
        <f t="shared" si="53"/>
        <v>Rijksweg 98</v>
      </c>
      <c r="B3448" t="s">
        <v>618</v>
      </c>
      <c r="C3448" t="s">
        <v>306</v>
      </c>
      <c r="D3448">
        <v>1948</v>
      </c>
      <c r="E3448">
        <v>233</v>
      </c>
      <c r="F3448" t="s">
        <v>613</v>
      </c>
      <c r="G3448">
        <v>98</v>
      </c>
    </row>
    <row r="3449" spans="1:8">
      <c r="A3449" t="str">
        <f t="shared" si="53"/>
        <v>Rijksweg 100</v>
      </c>
      <c r="B3449" t="s">
        <v>618</v>
      </c>
      <c r="C3449" t="s">
        <v>306</v>
      </c>
      <c r="D3449">
        <v>1950</v>
      </c>
      <c r="E3449">
        <v>151</v>
      </c>
      <c r="F3449" t="s">
        <v>613</v>
      </c>
      <c r="G3449">
        <v>100</v>
      </c>
    </row>
    <row r="3450" spans="1:8">
      <c r="A3450" t="str">
        <f t="shared" si="53"/>
        <v>Rijksweg 101</v>
      </c>
      <c r="B3450" t="s">
        <v>619</v>
      </c>
      <c r="C3450" t="s">
        <v>306</v>
      </c>
      <c r="D3450">
        <v>1948</v>
      </c>
      <c r="E3450">
        <v>147</v>
      </c>
      <c r="F3450" t="s">
        <v>613</v>
      </c>
      <c r="G3450">
        <v>101</v>
      </c>
    </row>
    <row r="3451" spans="1:8">
      <c r="A3451" t="str">
        <f t="shared" si="53"/>
        <v>Rijksweg 103</v>
      </c>
      <c r="B3451" t="s">
        <v>619</v>
      </c>
      <c r="C3451" t="s">
        <v>306</v>
      </c>
      <c r="D3451">
        <v>1948</v>
      </c>
      <c r="E3451">
        <v>146</v>
      </c>
      <c r="F3451" t="s">
        <v>613</v>
      </c>
      <c r="G3451">
        <v>103</v>
      </c>
    </row>
    <row r="3452" spans="1:8">
      <c r="A3452" t="str">
        <f t="shared" si="53"/>
        <v>Rijksweg 104</v>
      </c>
      <c r="B3452" t="s">
        <v>618</v>
      </c>
      <c r="C3452" t="s">
        <v>306</v>
      </c>
      <c r="D3452">
        <v>1995</v>
      </c>
      <c r="E3452">
        <v>70</v>
      </c>
      <c r="F3452" t="s">
        <v>613</v>
      </c>
      <c r="G3452">
        <v>104</v>
      </c>
    </row>
    <row r="3453" spans="1:8">
      <c r="A3453" t="str">
        <f t="shared" si="53"/>
        <v>Rijksweg 105</v>
      </c>
      <c r="B3453" t="s">
        <v>619</v>
      </c>
      <c r="C3453" t="s">
        <v>306</v>
      </c>
      <c r="D3453">
        <v>1950</v>
      </c>
      <c r="E3453">
        <v>169</v>
      </c>
      <c r="F3453" t="s">
        <v>613</v>
      </c>
      <c r="G3453">
        <v>105</v>
      </c>
    </row>
    <row r="3454" spans="1:8">
      <c r="A3454" t="str">
        <f t="shared" si="53"/>
        <v>Rijksweg 106a</v>
      </c>
      <c r="B3454" t="s">
        <v>618</v>
      </c>
      <c r="C3454" t="s">
        <v>306</v>
      </c>
      <c r="D3454">
        <v>1950</v>
      </c>
      <c r="E3454">
        <v>81</v>
      </c>
      <c r="F3454" t="s">
        <v>613</v>
      </c>
      <c r="G3454">
        <v>106</v>
      </c>
      <c r="H3454" t="s">
        <v>304</v>
      </c>
    </row>
    <row r="3455" spans="1:8">
      <c r="A3455" t="str">
        <f t="shared" si="53"/>
        <v>Rijksweg 106</v>
      </c>
      <c r="B3455" t="s">
        <v>618</v>
      </c>
      <c r="C3455" t="s">
        <v>306</v>
      </c>
      <c r="D3455">
        <v>1950</v>
      </c>
      <c r="E3455">
        <v>89</v>
      </c>
      <c r="F3455" t="s">
        <v>613</v>
      </c>
      <c r="G3455">
        <v>106</v>
      </c>
    </row>
    <row r="3456" spans="1:8">
      <c r="A3456" t="str">
        <f t="shared" si="53"/>
        <v>Rijksweg 107</v>
      </c>
      <c r="B3456" t="s">
        <v>619</v>
      </c>
      <c r="C3456" t="s">
        <v>306</v>
      </c>
      <c r="D3456">
        <v>1948</v>
      </c>
      <c r="E3456">
        <v>176</v>
      </c>
      <c r="F3456" t="s">
        <v>613</v>
      </c>
      <c r="G3456">
        <v>107</v>
      </c>
    </row>
    <row r="3457" spans="1:8">
      <c r="A3457" t="str">
        <f t="shared" si="53"/>
        <v>Rijksweg 108</v>
      </c>
      <c r="B3457" t="s">
        <v>618</v>
      </c>
      <c r="C3457" t="s">
        <v>306</v>
      </c>
      <c r="D3457">
        <v>1960</v>
      </c>
      <c r="E3457">
        <v>200</v>
      </c>
      <c r="F3457" t="s">
        <v>613</v>
      </c>
      <c r="G3457">
        <v>108</v>
      </c>
    </row>
    <row r="3458" spans="1:8">
      <c r="A3458" t="str">
        <f t="shared" ref="A3458:A3521" si="54">CONCATENATE(F3458," ",G3458,H3458)</f>
        <v>Rijksweg 109</v>
      </c>
      <c r="B3458" t="s">
        <v>619</v>
      </c>
      <c r="C3458" t="s">
        <v>306</v>
      </c>
      <c r="D3458">
        <v>2002</v>
      </c>
      <c r="E3458">
        <v>155</v>
      </c>
      <c r="F3458" t="s">
        <v>613</v>
      </c>
      <c r="G3458">
        <v>109</v>
      </c>
    </row>
    <row r="3459" spans="1:8">
      <c r="A3459" t="str">
        <f t="shared" si="54"/>
        <v>Rijksweg 110</v>
      </c>
      <c r="B3459" t="s">
        <v>620</v>
      </c>
      <c r="C3459" t="s">
        <v>306</v>
      </c>
      <c r="D3459">
        <v>1934</v>
      </c>
      <c r="E3459">
        <v>116</v>
      </c>
      <c r="F3459" t="s">
        <v>613</v>
      </c>
      <c r="G3459">
        <v>110</v>
      </c>
    </row>
    <row r="3460" spans="1:8">
      <c r="A3460" t="str">
        <f t="shared" si="54"/>
        <v>Rijksweg 111</v>
      </c>
      <c r="B3460" t="s">
        <v>619</v>
      </c>
      <c r="C3460" t="s">
        <v>306</v>
      </c>
      <c r="D3460">
        <v>1925</v>
      </c>
      <c r="E3460">
        <v>192</v>
      </c>
      <c r="F3460" t="s">
        <v>613</v>
      </c>
      <c r="G3460">
        <v>111</v>
      </c>
    </row>
    <row r="3461" spans="1:8">
      <c r="A3461" t="str">
        <f t="shared" si="54"/>
        <v>Rijksweg 112</v>
      </c>
      <c r="B3461" t="s">
        <v>620</v>
      </c>
      <c r="C3461" t="s">
        <v>306</v>
      </c>
      <c r="D3461">
        <v>1934</v>
      </c>
      <c r="E3461">
        <v>95</v>
      </c>
      <c r="F3461" t="s">
        <v>613</v>
      </c>
      <c r="G3461">
        <v>112</v>
      </c>
    </row>
    <row r="3462" spans="1:8">
      <c r="A3462" t="str">
        <f t="shared" si="54"/>
        <v>Rijksweg 113</v>
      </c>
      <c r="B3462" t="s">
        <v>619</v>
      </c>
      <c r="C3462" t="s">
        <v>306</v>
      </c>
      <c r="D3462">
        <v>1930</v>
      </c>
      <c r="E3462">
        <v>120</v>
      </c>
      <c r="F3462" t="s">
        <v>613</v>
      </c>
      <c r="G3462">
        <v>113</v>
      </c>
    </row>
    <row r="3463" spans="1:8">
      <c r="A3463" t="str">
        <f t="shared" si="54"/>
        <v>Rijksweg 114</v>
      </c>
      <c r="B3463" t="s">
        <v>620</v>
      </c>
      <c r="C3463" t="s">
        <v>306</v>
      </c>
      <c r="D3463">
        <v>1960</v>
      </c>
      <c r="E3463">
        <v>141</v>
      </c>
      <c r="F3463" t="s">
        <v>613</v>
      </c>
      <c r="G3463">
        <v>114</v>
      </c>
    </row>
    <row r="3464" spans="1:8">
      <c r="A3464" t="str">
        <f t="shared" si="54"/>
        <v>Rijksweg 115</v>
      </c>
      <c r="B3464" t="s">
        <v>619</v>
      </c>
      <c r="C3464" t="s">
        <v>306</v>
      </c>
      <c r="D3464">
        <v>1930</v>
      </c>
      <c r="E3464">
        <v>179</v>
      </c>
      <c r="F3464" t="s">
        <v>613</v>
      </c>
      <c r="G3464">
        <v>115</v>
      </c>
    </row>
    <row r="3465" spans="1:8">
      <c r="A3465" t="str">
        <f t="shared" si="54"/>
        <v>Rijksweg 116</v>
      </c>
      <c r="B3465" t="s">
        <v>620</v>
      </c>
      <c r="C3465" t="s">
        <v>306</v>
      </c>
      <c r="D3465">
        <v>1930</v>
      </c>
      <c r="E3465">
        <v>313</v>
      </c>
      <c r="F3465" t="s">
        <v>613</v>
      </c>
      <c r="G3465">
        <v>116</v>
      </c>
    </row>
    <row r="3466" spans="1:8">
      <c r="A3466" t="str">
        <f t="shared" si="54"/>
        <v>Rijksweg 117</v>
      </c>
      <c r="B3466" t="s">
        <v>619</v>
      </c>
      <c r="C3466" t="s">
        <v>306</v>
      </c>
      <c r="D3466">
        <v>1922</v>
      </c>
      <c r="E3466">
        <v>169</v>
      </c>
      <c r="F3466" t="s">
        <v>613</v>
      </c>
      <c r="G3466">
        <v>117</v>
      </c>
    </row>
    <row r="3467" spans="1:8">
      <c r="A3467" t="str">
        <f t="shared" si="54"/>
        <v>Rijksweg 118</v>
      </c>
      <c r="B3467" t="s">
        <v>620</v>
      </c>
      <c r="C3467" t="s">
        <v>306</v>
      </c>
      <c r="D3467">
        <v>1981</v>
      </c>
      <c r="E3467">
        <v>210</v>
      </c>
      <c r="F3467" t="s">
        <v>613</v>
      </c>
      <c r="G3467">
        <v>118</v>
      </c>
    </row>
    <row r="3468" spans="1:8">
      <c r="A3468" t="str">
        <f t="shared" si="54"/>
        <v>Rijksweg 120</v>
      </c>
      <c r="B3468" t="s">
        <v>620</v>
      </c>
      <c r="C3468" t="s">
        <v>306</v>
      </c>
      <c r="D3468">
        <v>1971</v>
      </c>
      <c r="E3468">
        <v>208</v>
      </c>
      <c r="F3468" t="s">
        <v>613</v>
      </c>
      <c r="G3468">
        <v>120</v>
      </c>
    </row>
    <row r="3469" spans="1:8">
      <c r="A3469" t="str">
        <f t="shared" si="54"/>
        <v>Rijksweg 121</v>
      </c>
      <c r="B3469" t="s">
        <v>619</v>
      </c>
      <c r="C3469" t="s">
        <v>306</v>
      </c>
      <c r="D3469">
        <v>2017</v>
      </c>
      <c r="E3469">
        <v>1065</v>
      </c>
      <c r="F3469" t="s">
        <v>613</v>
      </c>
      <c r="G3469">
        <v>121</v>
      </c>
    </row>
    <row r="3470" spans="1:8">
      <c r="A3470" t="str">
        <f t="shared" si="54"/>
        <v>Rijksweg 122a</v>
      </c>
      <c r="B3470" t="s">
        <v>620</v>
      </c>
      <c r="C3470" t="s">
        <v>306</v>
      </c>
      <c r="D3470">
        <v>2022</v>
      </c>
      <c r="E3470">
        <v>203</v>
      </c>
      <c r="F3470" t="s">
        <v>613</v>
      </c>
      <c r="G3470">
        <v>122</v>
      </c>
      <c r="H3470" t="s">
        <v>304</v>
      </c>
    </row>
    <row r="3471" spans="1:8">
      <c r="A3471" t="str">
        <f t="shared" si="54"/>
        <v>Rijksweg 122</v>
      </c>
      <c r="B3471" t="s">
        <v>620</v>
      </c>
      <c r="C3471" t="s">
        <v>306</v>
      </c>
      <c r="D3471">
        <v>1960</v>
      </c>
      <c r="E3471">
        <v>135</v>
      </c>
      <c r="F3471" t="s">
        <v>613</v>
      </c>
      <c r="G3471">
        <v>122</v>
      </c>
    </row>
    <row r="3472" spans="1:8">
      <c r="A3472" t="str">
        <f t="shared" si="54"/>
        <v>Rijksweg 124</v>
      </c>
      <c r="B3472" t="s">
        <v>620</v>
      </c>
      <c r="C3472" t="s">
        <v>306</v>
      </c>
      <c r="D3472">
        <v>1954</v>
      </c>
      <c r="E3472">
        <v>191</v>
      </c>
      <c r="F3472" t="s">
        <v>613</v>
      </c>
      <c r="G3472">
        <v>124</v>
      </c>
    </row>
    <row r="3473" spans="1:8">
      <c r="A3473" t="str">
        <f t="shared" si="54"/>
        <v>Rijksweg 126a</v>
      </c>
      <c r="B3473" t="s">
        <v>620</v>
      </c>
      <c r="C3473" t="s">
        <v>306</v>
      </c>
      <c r="D3473">
        <v>1933</v>
      </c>
      <c r="E3473">
        <v>22</v>
      </c>
      <c r="F3473" t="s">
        <v>613</v>
      </c>
      <c r="G3473">
        <v>126</v>
      </c>
      <c r="H3473" t="s">
        <v>304</v>
      </c>
    </row>
    <row r="3474" spans="1:8">
      <c r="A3474" t="str">
        <f t="shared" si="54"/>
        <v>Rijksweg 126</v>
      </c>
      <c r="B3474" t="s">
        <v>620</v>
      </c>
      <c r="C3474" t="s">
        <v>306</v>
      </c>
      <c r="D3474">
        <v>1933</v>
      </c>
      <c r="E3474">
        <v>103</v>
      </c>
      <c r="F3474" t="s">
        <v>613</v>
      </c>
      <c r="G3474">
        <v>126</v>
      </c>
    </row>
    <row r="3475" spans="1:8">
      <c r="A3475" t="str">
        <f t="shared" si="54"/>
        <v>Rijksweg 128</v>
      </c>
      <c r="B3475" t="s">
        <v>620</v>
      </c>
      <c r="C3475" t="s">
        <v>306</v>
      </c>
      <c r="D3475">
        <v>1933</v>
      </c>
      <c r="E3475">
        <v>146</v>
      </c>
      <c r="F3475" t="s">
        <v>613</v>
      </c>
      <c r="G3475">
        <v>128</v>
      </c>
    </row>
    <row r="3476" spans="1:8">
      <c r="A3476" t="str">
        <f t="shared" si="54"/>
        <v>Rijksweg 131a</v>
      </c>
      <c r="B3476" t="s">
        <v>619</v>
      </c>
      <c r="C3476" t="s">
        <v>306</v>
      </c>
      <c r="D3476">
        <v>2021</v>
      </c>
      <c r="E3476">
        <v>189</v>
      </c>
      <c r="F3476" t="s">
        <v>613</v>
      </c>
      <c r="G3476">
        <v>131</v>
      </c>
      <c r="H3476" t="s">
        <v>304</v>
      </c>
    </row>
    <row r="3477" spans="1:8">
      <c r="A3477" t="str">
        <f t="shared" si="54"/>
        <v>Rijksweg 131</v>
      </c>
      <c r="B3477" t="s">
        <v>619</v>
      </c>
      <c r="C3477" t="s">
        <v>306</v>
      </c>
      <c r="D3477">
        <v>1950</v>
      </c>
      <c r="E3477">
        <v>222</v>
      </c>
      <c r="F3477" t="s">
        <v>613</v>
      </c>
      <c r="G3477">
        <v>131</v>
      </c>
    </row>
    <row r="3478" spans="1:8">
      <c r="A3478" t="str">
        <f t="shared" si="54"/>
        <v>Rijksweg 132</v>
      </c>
      <c r="B3478" t="s">
        <v>620</v>
      </c>
      <c r="C3478" t="s">
        <v>306</v>
      </c>
      <c r="D3478">
        <v>1978</v>
      </c>
      <c r="E3478">
        <v>2361</v>
      </c>
      <c r="F3478" t="s">
        <v>613</v>
      </c>
      <c r="G3478">
        <v>132</v>
      </c>
    </row>
    <row r="3479" spans="1:8">
      <c r="A3479" t="str">
        <f t="shared" si="54"/>
        <v>Rijksweg 132</v>
      </c>
      <c r="B3479" t="s">
        <v>620</v>
      </c>
      <c r="C3479" t="s">
        <v>306</v>
      </c>
      <c r="D3479">
        <v>2020</v>
      </c>
      <c r="E3479">
        <v>319</v>
      </c>
      <c r="F3479" t="s">
        <v>613</v>
      </c>
      <c r="G3479">
        <v>132</v>
      </c>
    </row>
    <row r="3480" spans="1:8">
      <c r="A3480" t="str">
        <f t="shared" si="54"/>
        <v>Rijksweg 133</v>
      </c>
      <c r="B3480" t="s">
        <v>619</v>
      </c>
      <c r="C3480" t="s">
        <v>306</v>
      </c>
      <c r="D3480">
        <v>1928</v>
      </c>
      <c r="E3480">
        <v>104</v>
      </c>
      <c r="F3480" t="s">
        <v>613</v>
      </c>
      <c r="G3480">
        <v>133</v>
      </c>
    </row>
    <row r="3481" spans="1:8">
      <c r="A3481" t="str">
        <f t="shared" si="54"/>
        <v>Rijksweg 135</v>
      </c>
      <c r="B3481" t="s">
        <v>619</v>
      </c>
      <c r="C3481" t="s">
        <v>306</v>
      </c>
      <c r="D3481">
        <v>1928</v>
      </c>
      <c r="E3481">
        <v>108</v>
      </c>
      <c r="F3481" t="s">
        <v>613</v>
      </c>
      <c r="G3481">
        <v>135</v>
      </c>
    </row>
    <row r="3482" spans="1:8">
      <c r="A3482" t="str">
        <f t="shared" si="54"/>
        <v>Rijksweg 137</v>
      </c>
      <c r="B3482" t="s">
        <v>619</v>
      </c>
      <c r="C3482" t="s">
        <v>306</v>
      </c>
      <c r="D3482">
        <v>1960</v>
      </c>
      <c r="E3482">
        <v>511</v>
      </c>
      <c r="F3482" t="s">
        <v>613</v>
      </c>
      <c r="G3482">
        <v>137</v>
      </c>
    </row>
    <row r="3483" spans="1:8">
      <c r="A3483" t="str">
        <f t="shared" si="54"/>
        <v>Rijksweg 139a</v>
      </c>
      <c r="B3483" t="s">
        <v>621</v>
      </c>
      <c r="C3483" t="s">
        <v>306</v>
      </c>
      <c r="D3483">
        <v>1930</v>
      </c>
      <c r="E3483">
        <v>41</v>
      </c>
      <c r="F3483" t="s">
        <v>613</v>
      </c>
      <c r="G3483">
        <v>139</v>
      </c>
      <c r="H3483" t="s">
        <v>304</v>
      </c>
    </row>
    <row r="3484" spans="1:8">
      <c r="A3484" t="str">
        <f t="shared" si="54"/>
        <v>Rijksweg 139</v>
      </c>
      <c r="B3484" t="s">
        <v>621</v>
      </c>
      <c r="C3484" t="s">
        <v>306</v>
      </c>
      <c r="D3484">
        <v>1952</v>
      </c>
      <c r="E3484">
        <v>128</v>
      </c>
      <c r="F3484" t="s">
        <v>613</v>
      </c>
      <c r="G3484">
        <v>139</v>
      </c>
    </row>
    <row r="3485" spans="1:8">
      <c r="A3485" t="str">
        <f t="shared" si="54"/>
        <v>Rijksweg 141b</v>
      </c>
      <c r="B3485" t="s">
        <v>621</v>
      </c>
      <c r="C3485" t="s">
        <v>306</v>
      </c>
      <c r="D3485">
        <v>1900</v>
      </c>
      <c r="E3485">
        <v>207</v>
      </c>
      <c r="F3485" t="s">
        <v>613</v>
      </c>
      <c r="G3485">
        <v>141</v>
      </c>
      <c r="H3485" t="s">
        <v>298</v>
      </c>
    </row>
    <row r="3486" spans="1:8">
      <c r="A3486" t="str">
        <f t="shared" si="54"/>
        <v>Rijksweg 141</v>
      </c>
      <c r="B3486" t="s">
        <v>621</v>
      </c>
      <c r="C3486" t="s">
        <v>306</v>
      </c>
      <c r="D3486">
        <v>1930</v>
      </c>
      <c r="E3486">
        <v>244</v>
      </c>
      <c r="F3486" t="s">
        <v>613</v>
      </c>
      <c r="G3486">
        <v>141</v>
      </c>
    </row>
    <row r="3487" spans="1:8">
      <c r="A3487" t="str">
        <f t="shared" si="54"/>
        <v>Rijksweg 142a</v>
      </c>
      <c r="B3487" t="s">
        <v>622</v>
      </c>
      <c r="C3487" t="s">
        <v>343</v>
      </c>
      <c r="D3487">
        <v>1975</v>
      </c>
      <c r="E3487">
        <v>23</v>
      </c>
      <c r="F3487" t="s">
        <v>613</v>
      </c>
      <c r="G3487">
        <v>142</v>
      </c>
      <c r="H3487" t="s">
        <v>304</v>
      </c>
    </row>
    <row r="3488" spans="1:8">
      <c r="A3488" t="str">
        <f t="shared" si="54"/>
        <v>Rijksweg 142</v>
      </c>
      <c r="B3488" t="s">
        <v>622</v>
      </c>
      <c r="C3488" t="s">
        <v>343</v>
      </c>
      <c r="D3488">
        <v>1965</v>
      </c>
      <c r="E3488">
        <v>10713</v>
      </c>
      <c r="F3488" t="s">
        <v>613</v>
      </c>
      <c r="G3488">
        <v>142</v>
      </c>
    </row>
    <row r="3489" spans="1:8">
      <c r="A3489" t="str">
        <f t="shared" si="54"/>
        <v>Rijksweg 143</v>
      </c>
      <c r="B3489" t="s">
        <v>621</v>
      </c>
      <c r="C3489" t="s">
        <v>306</v>
      </c>
      <c r="D3489">
        <v>1977</v>
      </c>
      <c r="E3489">
        <v>245</v>
      </c>
      <c r="F3489" t="s">
        <v>613</v>
      </c>
      <c r="G3489">
        <v>143</v>
      </c>
    </row>
    <row r="3490" spans="1:8">
      <c r="A3490" t="str">
        <f t="shared" si="54"/>
        <v>Rijksweg 145</v>
      </c>
      <c r="B3490" t="s">
        <v>621</v>
      </c>
      <c r="C3490" t="s">
        <v>306</v>
      </c>
      <c r="D3490">
        <v>1977</v>
      </c>
      <c r="E3490">
        <v>207</v>
      </c>
      <c r="F3490" t="s">
        <v>613</v>
      </c>
      <c r="G3490">
        <v>145</v>
      </c>
    </row>
    <row r="3491" spans="1:8">
      <c r="A3491" t="str">
        <f t="shared" si="54"/>
        <v>Rijksweg 146a</v>
      </c>
      <c r="B3491" t="s">
        <v>622</v>
      </c>
      <c r="C3491" t="s">
        <v>343</v>
      </c>
      <c r="D3491">
        <v>1970</v>
      </c>
      <c r="E3491">
        <v>293</v>
      </c>
      <c r="F3491" t="s">
        <v>613</v>
      </c>
      <c r="G3491">
        <v>146</v>
      </c>
      <c r="H3491" t="s">
        <v>304</v>
      </c>
    </row>
    <row r="3492" spans="1:8">
      <c r="A3492" t="str">
        <f t="shared" si="54"/>
        <v>Rijksweg 146b</v>
      </c>
      <c r="B3492" t="s">
        <v>622</v>
      </c>
      <c r="C3492" t="s">
        <v>343</v>
      </c>
      <c r="D3492">
        <v>1975</v>
      </c>
      <c r="E3492">
        <v>24</v>
      </c>
      <c r="F3492" t="s">
        <v>613</v>
      </c>
      <c r="G3492">
        <v>146</v>
      </c>
      <c r="H3492" t="s">
        <v>298</v>
      </c>
    </row>
    <row r="3493" spans="1:8">
      <c r="A3493" t="str">
        <f t="shared" si="54"/>
        <v>Rijksweg 146</v>
      </c>
      <c r="B3493" t="s">
        <v>622</v>
      </c>
      <c r="C3493" t="s">
        <v>343</v>
      </c>
      <c r="D3493">
        <v>1925</v>
      </c>
      <c r="E3493">
        <v>150</v>
      </c>
      <c r="F3493" t="s">
        <v>613</v>
      </c>
      <c r="G3493">
        <v>146</v>
      </c>
    </row>
    <row r="3494" spans="1:8">
      <c r="A3494" t="str">
        <f t="shared" si="54"/>
        <v>Rijksweg 147</v>
      </c>
      <c r="B3494" t="s">
        <v>621</v>
      </c>
      <c r="C3494" t="s">
        <v>306</v>
      </c>
      <c r="D3494">
        <v>1977</v>
      </c>
      <c r="E3494">
        <v>217</v>
      </c>
      <c r="F3494" t="s">
        <v>613</v>
      </c>
      <c r="G3494">
        <v>147</v>
      </c>
    </row>
    <row r="3495" spans="1:8">
      <c r="A3495" t="str">
        <f t="shared" si="54"/>
        <v>Rijksweg 149</v>
      </c>
      <c r="B3495" t="s">
        <v>621</v>
      </c>
      <c r="C3495" t="s">
        <v>306</v>
      </c>
      <c r="D3495">
        <v>1977</v>
      </c>
      <c r="E3495">
        <v>218</v>
      </c>
      <c r="F3495" t="s">
        <v>613</v>
      </c>
      <c r="G3495">
        <v>149</v>
      </c>
    </row>
    <row r="3496" spans="1:8">
      <c r="A3496" t="str">
        <f t="shared" si="54"/>
        <v>Rijksweg 150</v>
      </c>
      <c r="B3496" t="s">
        <v>622</v>
      </c>
      <c r="C3496" t="s">
        <v>343</v>
      </c>
      <c r="D3496">
        <v>1935</v>
      </c>
      <c r="E3496">
        <v>214</v>
      </c>
      <c r="F3496" t="s">
        <v>613</v>
      </c>
      <c r="G3496">
        <v>150</v>
      </c>
    </row>
    <row r="3497" spans="1:8">
      <c r="A3497" t="str">
        <f t="shared" si="54"/>
        <v>Rijksweg 151</v>
      </c>
      <c r="B3497" t="s">
        <v>621</v>
      </c>
      <c r="C3497" t="s">
        <v>306</v>
      </c>
      <c r="D3497">
        <v>1977</v>
      </c>
      <c r="E3497">
        <v>218</v>
      </c>
      <c r="F3497" t="s">
        <v>613</v>
      </c>
      <c r="G3497">
        <v>151</v>
      </c>
    </row>
    <row r="3498" spans="1:8">
      <c r="A3498" t="str">
        <f t="shared" si="54"/>
        <v>Rijksweg 153a</v>
      </c>
      <c r="B3498" t="s">
        <v>621</v>
      </c>
      <c r="C3498" t="s">
        <v>306</v>
      </c>
      <c r="D3498">
        <v>1973</v>
      </c>
      <c r="E3498">
        <v>224</v>
      </c>
      <c r="F3498" t="s">
        <v>613</v>
      </c>
      <c r="G3498">
        <v>153</v>
      </c>
      <c r="H3498" t="s">
        <v>304</v>
      </c>
    </row>
    <row r="3499" spans="1:8">
      <c r="A3499" t="str">
        <f t="shared" si="54"/>
        <v>Rijksweg 153b</v>
      </c>
      <c r="B3499" t="s">
        <v>621</v>
      </c>
      <c r="C3499" t="s">
        <v>306</v>
      </c>
      <c r="D3499">
        <v>1973</v>
      </c>
      <c r="E3499">
        <v>205</v>
      </c>
      <c r="F3499" t="s">
        <v>613</v>
      </c>
      <c r="G3499">
        <v>153</v>
      </c>
      <c r="H3499" t="s">
        <v>298</v>
      </c>
    </row>
    <row r="3500" spans="1:8">
      <c r="A3500" t="str">
        <f t="shared" si="54"/>
        <v>Rijksweg 153</v>
      </c>
      <c r="B3500" t="s">
        <v>621</v>
      </c>
      <c r="C3500" t="s">
        <v>306</v>
      </c>
      <c r="D3500">
        <v>1920</v>
      </c>
      <c r="E3500">
        <v>125</v>
      </c>
      <c r="F3500" t="s">
        <v>613</v>
      </c>
      <c r="G3500">
        <v>153</v>
      </c>
    </row>
    <row r="3501" spans="1:8">
      <c r="A3501" t="str">
        <f t="shared" si="54"/>
        <v>Rijksweg 154</v>
      </c>
      <c r="B3501" t="s">
        <v>622</v>
      </c>
      <c r="C3501" t="s">
        <v>343</v>
      </c>
      <c r="D3501">
        <v>1950</v>
      </c>
      <c r="E3501">
        <v>170</v>
      </c>
      <c r="F3501" t="s">
        <v>613</v>
      </c>
      <c r="G3501">
        <v>154</v>
      </c>
    </row>
    <row r="3502" spans="1:8">
      <c r="A3502" t="str">
        <f t="shared" si="54"/>
        <v>Rijksweg 155</v>
      </c>
      <c r="B3502" t="s">
        <v>621</v>
      </c>
      <c r="C3502" t="s">
        <v>306</v>
      </c>
      <c r="D3502">
        <v>1950</v>
      </c>
      <c r="E3502">
        <v>212</v>
      </c>
      <c r="F3502" t="s">
        <v>613</v>
      </c>
      <c r="G3502">
        <v>155</v>
      </c>
    </row>
    <row r="3503" spans="1:8">
      <c r="A3503" t="str">
        <f t="shared" si="54"/>
        <v>Rijksweg 156</v>
      </c>
      <c r="B3503" t="s">
        <v>622</v>
      </c>
      <c r="C3503" t="s">
        <v>343</v>
      </c>
      <c r="D3503">
        <v>1950</v>
      </c>
      <c r="E3503">
        <v>274</v>
      </c>
      <c r="F3503" t="s">
        <v>613</v>
      </c>
      <c r="G3503">
        <v>156</v>
      </c>
    </row>
    <row r="3504" spans="1:8">
      <c r="A3504" t="str">
        <f t="shared" si="54"/>
        <v>Rijksweg 157</v>
      </c>
      <c r="B3504" t="s">
        <v>621</v>
      </c>
      <c r="C3504" t="s">
        <v>306</v>
      </c>
      <c r="D3504">
        <v>1920</v>
      </c>
      <c r="E3504">
        <v>244</v>
      </c>
      <c r="F3504" t="s">
        <v>613</v>
      </c>
      <c r="G3504">
        <v>157</v>
      </c>
    </row>
    <row r="3505" spans="1:8">
      <c r="A3505" t="str">
        <f t="shared" si="54"/>
        <v>Rijksweg 161</v>
      </c>
      <c r="B3505" t="s">
        <v>623</v>
      </c>
      <c r="C3505" t="s">
        <v>306</v>
      </c>
      <c r="D3505">
        <v>1935</v>
      </c>
      <c r="E3505">
        <v>181</v>
      </c>
      <c r="F3505" t="s">
        <v>613</v>
      </c>
      <c r="G3505">
        <v>161</v>
      </c>
    </row>
    <row r="3506" spans="1:8">
      <c r="A3506" t="str">
        <f t="shared" si="54"/>
        <v>Rijksweg 163</v>
      </c>
      <c r="B3506" t="s">
        <v>623</v>
      </c>
      <c r="C3506" t="s">
        <v>306</v>
      </c>
      <c r="D3506">
        <v>1920</v>
      </c>
      <c r="E3506">
        <v>155</v>
      </c>
      <c r="F3506" t="s">
        <v>613</v>
      </c>
      <c r="G3506">
        <v>163</v>
      </c>
    </row>
    <row r="3507" spans="1:8">
      <c r="A3507" t="str">
        <f t="shared" si="54"/>
        <v>Rijksweg 164</v>
      </c>
      <c r="B3507" t="s">
        <v>622</v>
      </c>
      <c r="C3507" t="s">
        <v>343</v>
      </c>
      <c r="D3507">
        <v>1976</v>
      </c>
      <c r="E3507">
        <v>252</v>
      </c>
      <c r="F3507" t="s">
        <v>613</v>
      </c>
      <c r="G3507">
        <v>164</v>
      </c>
    </row>
    <row r="3508" spans="1:8">
      <c r="A3508" t="str">
        <f t="shared" si="54"/>
        <v>Rijksweg 165</v>
      </c>
      <c r="B3508" t="s">
        <v>623</v>
      </c>
      <c r="C3508" t="s">
        <v>306</v>
      </c>
      <c r="D3508">
        <v>1950</v>
      </c>
      <c r="E3508">
        <v>134</v>
      </c>
      <c r="F3508" t="s">
        <v>613</v>
      </c>
      <c r="G3508">
        <v>165</v>
      </c>
    </row>
    <row r="3509" spans="1:8">
      <c r="A3509" t="str">
        <f t="shared" si="54"/>
        <v>Rijksweg 166</v>
      </c>
      <c r="B3509" t="s">
        <v>622</v>
      </c>
      <c r="C3509" t="s">
        <v>343</v>
      </c>
      <c r="D3509">
        <v>1976</v>
      </c>
      <c r="E3509">
        <v>294</v>
      </c>
      <c r="F3509" t="s">
        <v>613</v>
      </c>
      <c r="G3509">
        <v>166</v>
      </c>
    </row>
    <row r="3510" spans="1:8">
      <c r="A3510" t="str">
        <f t="shared" si="54"/>
        <v>Rijksweg 167</v>
      </c>
      <c r="B3510" t="s">
        <v>623</v>
      </c>
      <c r="C3510" t="s">
        <v>306</v>
      </c>
      <c r="D3510">
        <v>1950</v>
      </c>
      <c r="E3510">
        <v>126</v>
      </c>
      <c r="F3510" t="s">
        <v>613</v>
      </c>
      <c r="G3510">
        <v>167</v>
      </c>
    </row>
    <row r="3511" spans="1:8">
      <c r="A3511" t="str">
        <f t="shared" si="54"/>
        <v>Rijksweg 168</v>
      </c>
      <c r="B3511" t="s">
        <v>622</v>
      </c>
      <c r="C3511" t="s">
        <v>343</v>
      </c>
      <c r="D3511">
        <v>1976</v>
      </c>
      <c r="E3511">
        <v>243</v>
      </c>
      <c r="F3511" t="s">
        <v>613</v>
      </c>
      <c r="G3511">
        <v>168</v>
      </c>
    </row>
    <row r="3512" spans="1:8">
      <c r="A3512" t="str">
        <f t="shared" si="54"/>
        <v>Rijksweg 169</v>
      </c>
      <c r="B3512" t="s">
        <v>623</v>
      </c>
      <c r="C3512" t="s">
        <v>306</v>
      </c>
      <c r="D3512">
        <v>1920</v>
      </c>
      <c r="E3512">
        <v>82</v>
      </c>
      <c r="F3512" t="s">
        <v>613</v>
      </c>
      <c r="G3512">
        <v>169</v>
      </c>
    </row>
    <row r="3513" spans="1:8">
      <c r="A3513" t="str">
        <f t="shared" si="54"/>
        <v>Rijksweg 171</v>
      </c>
      <c r="B3513" t="s">
        <v>623</v>
      </c>
      <c r="C3513" t="s">
        <v>306</v>
      </c>
      <c r="D3513">
        <v>1920</v>
      </c>
      <c r="E3513">
        <v>105</v>
      </c>
      <c r="F3513" t="s">
        <v>613</v>
      </c>
      <c r="G3513">
        <v>171</v>
      </c>
    </row>
    <row r="3514" spans="1:8">
      <c r="A3514" t="str">
        <f t="shared" si="54"/>
        <v>Rijksweg 172a</v>
      </c>
      <c r="B3514" t="s">
        <v>622</v>
      </c>
      <c r="C3514" t="s">
        <v>343</v>
      </c>
      <c r="D3514">
        <v>2000</v>
      </c>
      <c r="E3514">
        <v>137</v>
      </c>
      <c r="F3514" t="s">
        <v>613</v>
      </c>
      <c r="G3514">
        <v>172</v>
      </c>
      <c r="H3514" t="s">
        <v>304</v>
      </c>
    </row>
    <row r="3515" spans="1:8">
      <c r="A3515" t="str">
        <f t="shared" si="54"/>
        <v>Rijksweg 172</v>
      </c>
      <c r="B3515" t="s">
        <v>622</v>
      </c>
      <c r="C3515" t="s">
        <v>343</v>
      </c>
      <c r="D3515">
        <v>2000</v>
      </c>
      <c r="E3515">
        <v>240</v>
      </c>
      <c r="F3515" t="s">
        <v>613</v>
      </c>
      <c r="G3515">
        <v>172</v>
      </c>
    </row>
    <row r="3516" spans="1:8">
      <c r="A3516" t="str">
        <f t="shared" si="54"/>
        <v>Rijksweg 173</v>
      </c>
      <c r="B3516" t="s">
        <v>623</v>
      </c>
      <c r="C3516" t="s">
        <v>306</v>
      </c>
      <c r="D3516">
        <v>1920</v>
      </c>
      <c r="E3516">
        <v>112</v>
      </c>
      <c r="F3516" t="s">
        <v>613</v>
      </c>
      <c r="G3516">
        <v>173</v>
      </c>
    </row>
    <row r="3517" spans="1:8">
      <c r="A3517" t="str">
        <f t="shared" si="54"/>
        <v>Rijksweg 174a</v>
      </c>
      <c r="B3517" t="s">
        <v>622</v>
      </c>
      <c r="C3517" t="s">
        <v>343</v>
      </c>
      <c r="D3517">
        <v>2005</v>
      </c>
      <c r="E3517">
        <v>234</v>
      </c>
      <c r="F3517" t="s">
        <v>613</v>
      </c>
      <c r="G3517">
        <v>174</v>
      </c>
      <c r="H3517" t="s">
        <v>304</v>
      </c>
    </row>
    <row r="3518" spans="1:8">
      <c r="A3518" t="str">
        <f t="shared" si="54"/>
        <v>Rijksweg 174b</v>
      </c>
      <c r="B3518" t="s">
        <v>622</v>
      </c>
      <c r="C3518" t="s">
        <v>343</v>
      </c>
      <c r="D3518">
        <v>2005</v>
      </c>
      <c r="E3518">
        <v>240</v>
      </c>
      <c r="F3518" t="s">
        <v>613</v>
      </c>
      <c r="G3518">
        <v>174</v>
      </c>
      <c r="H3518" t="s">
        <v>298</v>
      </c>
    </row>
    <row r="3519" spans="1:8">
      <c r="A3519" t="str">
        <f t="shared" si="54"/>
        <v>Rijksweg 174</v>
      </c>
      <c r="B3519" t="s">
        <v>622</v>
      </c>
      <c r="C3519" t="s">
        <v>343</v>
      </c>
      <c r="D3519">
        <v>1950</v>
      </c>
      <c r="E3519">
        <v>219</v>
      </c>
      <c r="F3519" t="s">
        <v>613</v>
      </c>
      <c r="G3519">
        <v>174</v>
      </c>
    </row>
    <row r="3520" spans="1:8">
      <c r="A3520" t="str">
        <f t="shared" si="54"/>
        <v>Rijksweg 175</v>
      </c>
      <c r="B3520" t="s">
        <v>623</v>
      </c>
      <c r="C3520" t="s">
        <v>306</v>
      </c>
      <c r="D3520">
        <v>1920</v>
      </c>
      <c r="E3520">
        <v>101</v>
      </c>
      <c r="F3520" t="s">
        <v>613</v>
      </c>
      <c r="G3520">
        <v>175</v>
      </c>
    </row>
    <row r="3521" spans="1:8">
      <c r="A3521" t="str">
        <f t="shared" si="54"/>
        <v>Rijksweg 176b</v>
      </c>
      <c r="B3521" t="s">
        <v>622</v>
      </c>
      <c r="C3521" t="s">
        <v>343</v>
      </c>
      <c r="D3521">
        <v>1999</v>
      </c>
      <c r="E3521">
        <v>299</v>
      </c>
      <c r="F3521" t="s">
        <v>613</v>
      </c>
      <c r="G3521">
        <v>176</v>
      </c>
      <c r="H3521" t="s">
        <v>298</v>
      </c>
    </row>
    <row r="3522" spans="1:8">
      <c r="A3522" t="str">
        <f t="shared" ref="A3522:A3585" si="55">CONCATENATE(F3522," ",G3522,H3522)</f>
        <v>Rijksweg 176</v>
      </c>
      <c r="B3522" t="s">
        <v>622</v>
      </c>
      <c r="C3522" t="s">
        <v>343</v>
      </c>
      <c r="D3522">
        <v>1940</v>
      </c>
      <c r="E3522">
        <v>222</v>
      </c>
      <c r="F3522" t="s">
        <v>613</v>
      </c>
      <c r="G3522">
        <v>176</v>
      </c>
    </row>
    <row r="3523" spans="1:8">
      <c r="A3523" t="str">
        <f t="shared" si="55"/>
        <v>Rijksweg 177</v>
      </c>
      <c r="B3523" t="s">
        <v>623</v>
      </c>
      <c r="C3523" t="s">
        <v>306</v>
      </c>
      <c r="D3523">
        <v>1920</v>
      </c>
      <c r="E3523">
        <v>113</v>
      </c>
      <c r="F3523" t="s">
        <v>613</v>
      </c>
      <c r="G3523">
        <v>177</v>
      </c>
    </row>
    <row r="3524" spans="1:8">
      <c r="A3524" t="str">
        <f t="shared" si="55"/>
        <v>Rijksweg 178a</v>
      </c>
      <c r="B3524" t="s">
        <v>622</v>
      </c>
      <c r="C3524" t="s">
        <v>343</v>
      </c>
      <c r="D3524">
        <v>2020</v>
      </c>
      <c r="E3524">
        <v>131</v>
      </c>
      <c r="F3524" t="s">
        <v>613</v>
      </c>
      <c r="G3524">
        <v>178</v>
      </c>
      <c r="H3524" t="s">
        <v>304</v>
      </c>
    </row>
    <row r="3525" spans="1:8">
      <c r="A3525" t="str">
        <f t="shared" si="55"/>
        <v>Rijksweg 178b</v>
      </c>
      <c r="B3525" t="s">
        <v>622</v>
      </c>
      <c r="C3525" t="s">
        <v>343</v>
      </c>
      <c r="D3525">
        <v>2019</v>
      </c>
      <c r="E3525">
        <v>135</v>
      </c>
      <c r="F3525" t="s">
        <v>613</v>
      </c>
      <c r="G3525">
        <v>178</v>
      </c>
      <c r="H3525" t="s">
        <v>298</v>
      </c>
    </row>
    <row r="3526" spans="1:8">
      <c r="A3526" t="str">
        <f t="shared" si="55"/>
        <v>Rijksweg 178</v>
      </c>
      <c r="B3526" t="s">
        <v>622</v>
      </c>
      <c r="C3526" t="s">
        <v>343</v>
      </c>
      <c r="D3526">
        <v>1965</v>
      </c>
      <c r="E3526">
        <v>122</v>
      </c>
      <c r="F3526" t="s">
        <v>613</v>
      </c>
      <c r="G3526">
        <v>178</v>
      </c>
    </row>
    <row r="3527" spans="1:8">
      <c r="A3527" t="str">
        <f t="shared" si="55"/>
        <v>Rijksweg 179</v>
      </c>
      <c r="B3527" t="s">
        <v>623</v>
      </c>
      <c r="C3527" t="s">
        <v>306</v>
      </c>
      <c r="D3527">
        <v>1920</v>
      </c>
      <c r="E3527">
        <v>148</v>
      </c>
      <c r="F3527" t="s">
        <v>613</v>
      </c>
      <c r="G3527">
        <v>179</v>
      </c>
    </row>
    <row r="3528" spans="1:8">
      <c r="A3528" t="str">
        <f t="shared" si="55"/>
        <v>Rijksweg 180</v>
      </c>
      <c r="B3528" t="s">
        <v>622</v>
      </c>
      <c r="C3528" t="s">
        <v>343</v>
      </c>
      <c r="D3528">
        <v>1955</v>
      </c>
      <c r="E3528">
        <v>114</v>
      </c>
      <c r="F3528" t="s">
        <v>613</v>
      </c>
      <c r="G3528">
        <v>180</v>
      </c>
    </row>
    <row r="3529" spans="1:8">
      <c r="A3529" t="str">
        <f t="shared" si="55"/>
        <v>Rijksweg 181</v>
      </c>
      <c r="B3529" t="s">
        <v>623</v>
      </c>
      <c r="C3529" t="s">
        <v>306</v>
      </c>
      <c r="D3529">
        <v>1920</v>
      </c>
      <c r="E3529">
        <v>132</v>
      </c>
      <c r="F3529" t="s">
        <v>613</v>
      </c>
      <c r="G3529">
        <v>181</v>
      </c>
    </row>
    <row r="3530" spans="1:8">
      <c r="A3530" t="str">
        <f t="shared" si="55"/>
        <v>Rijksweg 182</v>
      </c>
      <c r="B3530" t="s">
        <v>622</v>
      </c>
      <c r="C3530" t="s">
        <v>343</v>
      </c>
      <c r="D3530">
        <v>1952</v>
      </c>
      <c r="E3530">
        <v>137</v>
      </c>
      <c r="F3530" t="s">
        <v>613</v>
      </c>
      <c r="G3530">
        <v>182</v>
      </c>
    </row>
    <row r="3531" spans="1:8">
      <c r="A3531" t="str">
        <f t="shared" si="55"/>
        <v>Rijksweg 183</v>
      </c>
      <c r="B3531" t="s">
        <v>623</v>
      </c>
      <c r="C3531" t="s">
        <v>306</v>
      </c>
      <c r="D3531">
        <v>1920</v>
      </c>
      <c r="E3531">
        <v>129</v>
      </c>
      <c r="F3531" t="s">
        <v>613</v>
      </c>
      <c r="G3531">
        <v>183</v>
      </c>
    </row>
    <row r="3532" spans="1:8">
      <c r="A3532" t="str">
        <f t="shared" si="55"/>
        <v>Rijksweg 184</v>
      </c>
      <c r="B3532" t="s">
        <v>622</v>
      </c>
      <c r="C3532" t="s">
        <v>343</v>
      </c>
      <c r="D3532">
        <v>1984</v>
      </c>
      <c r="E3532">
        <v>180</v>
      </c>
      <c r="F3532" t="s">
        <v>613</v>
      </c>
      <c r="G3532">
        <v>184</v>
      </c>
    </row>
    <row r="3533" spans="1:8">
      <c r="A3533" t="str">
        <f t="shared" si="55"/>
        <v>Rijksweg 185a</v>
      </c>
      <c r="B3533" t="s">
        <v>623</v>
      </c>
      <c r="C3533" t="s">
        <v>306</v>
      </c>
      <c r="D3533">
        <v>2017</v>
      </c>
      <c r="E3533">
        <v>316</v>
      </c>
      <c r="F3533" t="s">
        <v>613</v>
      </c>
      <c r="G3533">
        <v>185</v>
      </c>
      <c r="H3533" t="s">
        <v>304</v>
      </c>
    </row>
    <row r="3534" spans="1:8">
      <c r="A3534" t="str">
        <f t="shared" si="55"/>
        <v>Rijksweg 185</v>
      </c>
      <c r="B3534" t="s">
        <v>623</v>
      </c>
      <c r="C3534" t="s">
        <v>306</v>
      </c>
      <c r="D3534">
        <v>2017</v>
      </c>
      <c r="E3534">
        <v>271</v>
      </c>
      <c r="F3534" t="s">
        <v>613</v>
      </c>
      <c r="G3534">
        <v>185</v>
      </c>
    </row>
    <row r="3535" spans="1:8">
      <c r="A3535" t="str">
        <f t="shared" si="55"/>
        <v>Rijksweg 187</v>
      </c>
      <c r="B3535" t="s">
        <v>623</v>
      </c>
      <c r="C3535" t="s">
        <v>306</v>
      </c>
      <c r="D3535">
        <v>1974</v>
      </c>
      <c r="E3535">
        <v>247</v>
      </c>
      <c r="F3535" t="s">
        <v>613</v>
      </c>
      <c r="G3535">
        <v>187</v>
      </c>
    </row>
    <row r="3536" spans="1:8">
      <c r="A3536" t="str">
        <f t="shared" si="55"/>
        <v>Rijksweg 189</v>
      </c>
      <c r="B3536" t="s">
        <v>623</v>
      </c>
      <c r="C3536" t="s">
        <v>306</v>
      </c>
      <c r="D3536">
        <v>1850</v>
      </c>
      <c r="E3536">
        <v>247</v>
      </c>
      <c r="F3536" t="s">
        <v>613</v>
      </c>
      <c r="G3536">
        <v>189</v>
      </c>
    </row>
    <row r="3537" spans="1:8">
      <c r="A3537" t="str">
        <f t="shared" si="55"/>
        <v>Rijksweg 191</v>
      </c>
      <c r="B3537" t="s">
        <v>624</v>
      </c>
      <c r="C3537" t="s">
        <v>343</v>
      </c>
      <c r="D3537">
        <v>1925</v>
      </c>
      <c r="E3537">
        <v>197</v>
      </c>
      <c r="F3537" t="s">
        <v>613</v>
      </c>
      <c r="G3537">
        <v>191</v>
      </c>
    </row>
    <row r="3538" spans="1:8">
      <c r="A3538" t="str">
        <f t="shared" si="55"/>
        <v>Rijksweg 193</v>
      </c>
      <c r="B3538" t="s">
        <v>624</v>
      </c>
      <c r="C3538" t="s">
        <v>343</v>
      </c>
      <c r="D3538">
        <v>1956</v>
      </c>
      <c r="E3538">
        <v>203</v>
      </c>
      <c r="F3538" t="s">
        <v>613</v>
      </c>
      <c r="G3538">
        <v>193</v>
      </c>
    </row>
    <row r="3539" spans="1:8">
      <c r="A3539" t="str">
        <f t="shared" si="55"/>
        <v>Rijksweg 199a</v>
      </c>
      <c r="B3539" t="s">
        <v>624</v>
      </c>
      <c r="C3539" t="s">
        <v>343</v>
      </c>
      <c r="D3539">
        <v>1995</v>
      </c>
      <c r="E3539">
        <v>505</v>
      </c>
      <c r="F3539" t="s">
        <v>613</v>
      </c>
      <c r="G3539">
        <v>199</v>
      </c>
      <c r="H3539" t="s">
        <v>304</v>
      </c>
    </row>
    <row r="3540" spans="1:8">
      <c r="A3540" t="str">
        <f t="shared" si="55"/>
        <v>Rijksweg 199</v>
      </c>
      <c r="B3540" t="s">
        <v>624</v>
      </c>
      <c r="C3540" t="s">
        <v>343</v>
      </c>
      <c r="D3540">
        <v>1951</v>
      </c>
      <c r="E3540">
        <v>344</v>
      </c>
      <c r="F3540" t="s">
        <v>613</v>
      </c>
      <c r="G3540">
        <v>199</v>
      </c>
    </row>
    <row r="3541" spans="1:8">
      <c r="A3541" t="str">
        <f t="shared" si="55"/>
        <v>Rijksweg 201</v>
      </c>
      <c r="B3541" t="s">
        <v>624</v>
      </c>
      <c r="C3541" t="s">
        <v>343</v>
      </c>
      <c r="D3541">
        <v>1954</v>
      </c>
      <c r="E3541">
        <v>496</v>
      </c>
      <c r="F3541" t="s">
        <v>613</v>
      </c>
      <c r="G3541">
        <v>201</v>
      </c>
    </row>
    <row r="3542" spans="1:8">
      <c r="A3542" t="str">
        <f t="shared" si="55"/>
        <v>Rijksweg 203a</v>
      </c>
      <c r="B3542" t="s">
        <v>624</v>
      </c>
      <c r="C3542" t="s">
        <v>343</v>
      </c>
      <c r="D3542">
        <v>1946</v>
      </c>
      <c r="E3542">
        <v>241</v>
      </c>
      <c r="F3542" t="s">
        <v>613</v>
      </c>
      <c r="G3542">
        <v>203</v>
      </c>
      <c r="H3542" t="s">
        <v>304</v>
      </c>
    </row>
    <row r="3543" spans="1:8">
      <c r="A3543" t="str">
        <f t="shared" si="55"/>
        <v>Rijksweg 203</v>
      </c>
      <c r="B3543" t="s">
        <v>624</v>
      </c>
      <c r="C3543" t="s">
        <v>343</v>
      </c>
      <c r="D3543">
        <v>1993</v>
      </c>
      <c r="E3543">
        <v>512</v>
      </c>
      <c r="F3543" t="s">
        <v>613</v>
      </c>
      <c r="G3543">
        <v>203</v>
      </c>
    </row>
    <row r="3544" spans="1:8">
      <c r="A3544" t="str">
        <f t="shared" si="55"/>
        <v>Rijksweg 205</v>
      </c>
      <c r="B3544" t="s">
        <v>624</v>
      </c>
      <c r="C3544" t="s">
        <v>343</v>
      </c>
      <c r="D3544">
        <v>1991</v>
      </c>
      <c r="E3544">
        <v>221</v>
      </c>
      <c r="F3544" t="s">
        <v>613</v>
      </c>
      <c r="G3544">
        <v>205</v>
      </c>
    </row>
    <row r="3545" spans="1:8">
      <c r="A3545" t="str">
        <f t="shared" si="55"/>
        <v>Rijksweg 207</v>
      </c>
      <c r="B3545" t="s">
        <v>624</v>
      </c>
      <c r="C3545" t="s">
        <v>343</v>
      </c>
      <c r="D3545">
        <v>1991</v>
      </c>
      <c r="E3545">
        <v>70</v>
      </c>
      <c r="F3545" t="s">
        <v>613</v>
      </c>
      <c r="G3545">
        <v>207</v>
      </c>
    </row>
    <row r="3546" spans="1:8">
      <c r="A3546" t="str">
        <f t="shared" si="55"/>
        <v>Ringbaan 2</v>
      </c>
      <c r="B3546" t="s">
        <v>625</v>
      </c>
      <c r="C3546" t="s">
        <v>296</v>
      </c>
      <c r="D3546">
        <v>1972</v>
      </c>
      <c r="E3546">
        <v>213</v>
      </c>
      <c r="F3546" t="s">
        <v>626</v>
      </c>
      <c r="G3546">
        <v>2</v>
      </c>
    </row>
    <row r="3547" spans="1:8">
      <c r="A3547" t="str">
        <f t="shared" si="55"/>
        <v>Ringbaan 4</v>
      </c>
      <c r="B3547" t="s">
        <v>625</v>
      </c>
      <c r="C3547" t="s">
        <v>296</v>
      </c>
      <c r="D3547">
        <v>1972</v>
      </c>
      <c r="E3547">
        <v>153</v>
      </c>
      <c r="F3547" t="s">
        <v>626</v>
      </c>
      <c r="G3547">
        <v>4</v>
      </c>
    </row>
    <row r="3548" spans="1:8">
      <c r="A3548" t="str">
        <f t="shared" si="55"/>
        <v>Ringbaan 6</v>
      </c>
      <c r="B3548" t="s">
        <v>625</v>
      </c>
      <c r="C3548" t="s">
        <v>296</v>
      </c>
      <c r="D3548">
        <v>1972</v>
      </c>
      <c r="E3548">
        <v>153</v>
      </c>
      <c r="F3548" t="s">
        <v>626</v>
      </c>
      <c r="G3548">
        <v>6</v>
      </c>
    </row>
    <row r="3549" spans="1:8">
      <c r="A3549" t="str">
        <f t="shared" si="55"/>
        <v>Ringbaan 8</v>
      </c>
      <c r="B3549" t="s">
        <v>625</v>
      </c>
      <c r="C3549" t="s">
        <v>296</v>
      </c>
      <c r="D3549">
        <v>1972</v>
      </c>
      <c r="E3549">
        <v>212</v>
      </c>
      <c r="F3549" t="s">
        <v>626</v>
      </c>
      <c r="G3549">
        <v>8</v>
      </c>
    </row>
    <row r="3550" spans="1:8">
      <c r="A3550" t="str">
        <f t="shared" si="55"/>
        <v>Ringbaan 10</v>
      </c>
      <c r="B3550" t="s">
        <v>625</v>
      </c>
      <c r="C3550" t="s">
        <v>296</v>
      </c>
      <c r="D3550">
        <v>1972</v>
      </c>
      <c r="E3550">
        <v>209</v>
      </c>
      <c r="F3550" t="s">
        <v>626</v>
      </c>
      <c r="G3550">
        <v>10</v>
      </c>
    </row>
    <row r="3551" spans="1:8">
      <c r="A3551" t="str">
        <f t="shared" si="55"/>
        <v>Ringbaan 12</v>
      </c>
      <c r="B3551" t="s">
        <v>625</v>
      </c>
      <c r="C3551" t="s">
        <v>296</v>
      </c>
      <c r="D3551">
        <v>1972</v>
      </c>
      <c r="E3551">
        <v>151</v>
      </c>
      <c r="F3551" t="s">
        <v>626</v>
      </c>
      <c r="G3551">
        <v>12</v>
      </c>
    </row>
    <row r="3552" spans="1:8">
      <c r="A3552" t="str">
        <f t="shared" si="55"/>
        <v>Ringbaan 14</v>
      </c>
      <c r="B3552" t="s">
        <v>625</v>
      </c>
      <c r="C3552" t="s">
        <v>296</v>
      </c>
      <c r="D3552">
        <v>1972</v>
      </c>
      <c r="E3552">
        <v>152</v>
      </c>
      <c r="F3552" t="s">
        <v>626</v>
      </c>
      <c r="G3552">
        <v>14</v>
      </c>
    </row>
    <row r="3553" spans="1:7">
      <c r="A3553" t="str">
        <f t="shared" si="55"/>
        <v>Ringbaan 16</v>
      </c>
      <c r="B3553" t="s">
        <v>625</v>
      </c>
      <c r="C3553" t="s">
        <v>296</v>
      </c>
      <c r="D3553">
        <v>1972</v>
      </c>
      <c r="E3553">
        <v>156</v>
      </c>
      <c r="F3553" t="s">
        <v>626</v>
      </c>
      <c r="G3553">
        <v>16</v>
      </c>
    </row>
    <row r="3554" spans="1:7">
      <c r="A3554" t="str">
        <f t="shared" si="55"/>
        <v>Ringbaan 18</v>
      </c>
      <c r="B3554" t="s">
        <v>625</v>
      </c>
      <c r="C3554" t="s">
        <v>296</v>
      </c>
      <c r="D3554">
        <v>1972</v>
      </c>
      <c r="E3554">
        <v>155</v>
      </c>
      <c r="F3554" t="s">
        <v>626</v>
      </c>
      <c r="G3554">
        <v>18</v>
      </c>
    </row>
    <row r="3555" spans="1:7">
      <c r="A3555" t="str">
        <f t="shared" si="55"/>
        <v>Ringbaan 20</v>
      </c>
      <c r="B3555" t="s">
        <v>625</v>
      </c>
      <c r="C3555" t="s">
        <v>296</v>
      </c>
      <c r="D3555">
        <v>1972</v>
      </c>
      <c r="E3555">
        <v>224</v>
      </c>
      <c r="F3555" t="s">
        <v>626</v>
      </c>
      <c r="G3555">
        <v>20</v>
      </c>
    </row>
    <row r="3556" spans="1:7">
      <c r="A3556" t="str">
        <f t="shared" si="55"/>
        <v>Ringbaan 22</v>
      </c>
      <c r="B3556" t="s">
        <v>625</v>
      </c>
      <c r="C3556" t="s">
        <v>296</v>
      </c>
      <c r="D3556">
        <v>1972</v>
      </c>
      <c r="E3556">
        <v>191</v>
      </c>
      <c r="F3556" t="s">
        <v>626</v>
      </c>
      <c r="G3556">
        <v>22</v>
      </c>
    </row>
    <row r="3557" spans="1:7">
      <c r="A3557" t="str">
        <f t="shared" si="55"/>
        <v>Ringbaan 24</v>
      </c>
      <c r="B3557" t="s">
        <v>625</v>
      </c>
      <c r="C3557" t="s">
        <v>296</v>
      </c>
      <c r="D3557">
        <v>1972</v>
      </c>
      <c r="E3557">
        <v>153</v>
      </c>
      <c r="F3557" t="s">
        <v>626</v>
      </c>
      <c r="G3557">
        <v>24</v>
      </c>
    </row>
    <row r="3558" spans="1:7">
      <c r="A3558" t="str">
        <f t="shared" si="55"/>
        <v>Ringbaan 26</v>
      </c>
      <c r="B3558" t="s">
        <v>627</v>
      </c>
      <c r="C3558" t="s">
        <v>296</v>
      </c>
      <c r="D3558">
        <v>1972</v>
      </c>
      <c r="E3558">
        <v>153</v>
      </c>
      <c r="F3558" t="s">
        <v>626</v>
      </c>
      <c r="G3558">
        <v>26</v>
      </c>
    </row>
    <row r="3559" spans="1:7">
      <c r="A3559" t="str">
        <f t="shared" si="55"/>
        <v>Ringbaan 28</v>
      </c>
      <c r="B3559" t="s">
        <v>627</v>
      </c>
      <c r="C3559" t="s">
        <v>296</v>
      </c>
      <c r="D3559">
        <v>1972</v>
      </c>
      <c r="E3559">
        <v>171</v>
      </c>
      <c r="F3559" t="s">
        <v>626</v>
      </c>
      <c r="G3559">
        <v>28</v>
      </c>
    </row>
    <row r="3560" spans="1:7">
      <c r="A3560" t="str">
        <f t="shared" si="55"/>
        <v>Ringbaan 30</v>
      </c>
      <c r="B3560" t="s">
        <v>627</v>
      </c>
      <c r="C3560" t="s">
        <v>296</v>
      </c>
      <c r="D3560">
        <v>1972</v>
      </c>
      <c r="E3560">
        <v>153</v>
      </c>
      <c r="F3560" t="s">
        <v>626</v>
      </c>
      <c r="G3560">
        <v>30</v>
      </c>
    </row>
    <row r="3561" spans="1:7">
      <c r="A3561" t="str">
        <f t="shared" si="55"/>
        <v>Ringbaan 32</v>
      </c>
      <c r="B3561" t="s">
        <v>627</v>
      </c>
      <c r="C3561" t="s">
        <v>296</v>
      </c>
      <c r="D3561">
        <v>1972</v>
      </c>
      <c r="E3561">
        <v>152</v>
      </c>
      <c r="F3561" t="s">
        <v>626</v>
      </c>
      <c r="G3561">
        <v>32</v>
      </c>
    </row>
    <row r="3562" spans="1:7">
      <c r="A3562" t="str">
        <f t="shared" si="55"/>
        <v>Ringbaan 34</v>
      </c>
      <c r="B3562" t="s">
        <v>627</v>
      </c>
      <c r="C3562" t="s">
        <v>296</v>
      </c>
      <c r="D3562">
        <v>1972</v>
      </c>
      <c r="E3562">
        <v>166</v>
      </c>
      <c r="F3562" t="s">
        <v>626</v>
      </c>
      <c r="G3562">
        <v>34</v>
      </c>
    </row>
    <row r="3563" spans="1:7">
      <c r="A3563" t="str">
        <f t="shared" si="55"/>
        <v>Ringbaan 36</v>
      </c>
      <c r="B3563" t="s">
        <v>627</v>
      </c>
      <c r="C3563" t="s">
        <v>296</v>
      </c>
      <c r="D3563">
        <v>1972</v>
      </c>
      <c r="E3563">
        <v>153</v>
      </c>
      <c r="F3563" t="s">
        <v>626</v>
      </c>
      <c r="G3563">
        <v>36</v>
      </c>
    </row>
    <row r="3564" spans="1:7">
      <c r="A3564" t="str">
        <f t="shared" si="55"/>
        <v>Ringbaan 38</v>
      </c>
      <c r="B3564" t="s">
        <v>627</v>
      </c>
      <c r="C3564" t="s">
        <v>296</v>
      </c>
      <c r="D3564">
        <v>1972</v>
      </c>
      <c r="E3564">
        <v>167</v>
      </c>
      <c r="F3564" t="s">
        <v>626</v>
      </c>
      <c r="G3564">
        <v>38</v>
      </c>
    </row>
    <row r="3565" spans="1:7">
      <c r="A3565" t="str">
        <f t="shared" si="55"/>
        <v>Ringbaan 40</v>
      </c>
      <c r="B3565" t="s">
        <v>627</v>
      </c>
      <c r="C3565" t="s">
        <v>296</v>
      </c>
      <c r="D3565">
        <v>1972</v>
      </c>
      <c r="E3565">
        <v>152</v>
      </c>
      <c r="F3565" t="s">
        <v>626</v>
      </c>
      <c r="G3565">
        <v>40</v>
      </c>
    </row>
    <row r="3566" spans="1:7">
      <c r="A3566" t="str">
        <f t="shared" si="55"/>
        <v>Ringbaan 42</v>
      </c>
      <c r="B3566" t="s">
        <v>627</v>
      </c>
      <c r="C3566" t="s">
        <v>296</v>
      </c>
      <c r="D3566">
        <v>1972</v>
      </c>
      <c r="E3566">
        <v>153</v>
      </c>
      <c r="F3566" t="s">
        <v>626</v>
      </c>
      <c r="G3566">
        <v>42</v>
      </c>
    </row>
    <row r="3567" spans="1:7">
      <c r="A3567" t="str">
        <f t="shared" si="55"/>
        <v>Ringbaan 44</v>
      </c>
      <c r="B3567" t="s">
        <v>627</v>
      </c>
      <c r="C3567" t="s">
        <v>296</v>
      </c>
      <c r="D3567">
        <v>1972</v>
      </c>
      <c r="E3567">
        <v>152</v>
      </c>
      <c r="F3567" t="s">
        <v>626</v>
      </c>
      <c r="G3567">
        <v>44</v>
      </c>
    </row>
    <row r="3568" spans="1:7">
      <c r="A3568" t="str">
        <f t="shared" si="55"/>
        <v>Ringbaan 46</v>
      </c>
      <c r="B3568" t="s">
        <v>627</v>
      </c>
      <c r="C3568" t="s">
        <v>296</v>
      </c>
      <c r="D3568">
        <v>1972</v>
      </c>
      <c r="E3568">
        <v>144</v>
      </c>
      <c r="F3568" t="s">
        <v>626</v>
      </c>
      <c r="G3568">
        <v>46</v>
      </c>
    </row>
    <row r="3569" spans="1:8">
      <c r="A3569" t="str">
        <f t="shared" si="55"/>
        <v>Ringbaan 48</v>
      </c>
      <c r="B3569" t="s">
        <v>627</v>
      </c>
      <c r="C3569" t="s">
        <v>296</v>
      </c>
      <c r="D3569">
        <v>1972</v>
      </c>
      <c r="E3569">
        <v>153</v>
      </c>
      <c r="F3569" t="s">
        <v>626</v>
      </c>
      <c r="G3569">
        <v>48</v>
      </c>
    </row>
    <row r="3570" spans="1:8">
      <c r="A3570" t="str">
        <f t="shared" si="55"/>
        <v>Ringbaan 50a</v>
      </c>
      <c r="B3570" t="s">
        <v>627</v>
      </c>
      <c r="C3570" t="s">
        <v>296</v>
      </c>
      <c r="D3570">
        <v>1980</v>
      </c>
      <c r="E3570">
        <v>9</v>
      </c>
      <c r="F3570" t="s">
        <v>626</v>
      </c>
      <c r="G3570">
        <v>50</v>
      </c>
      <c r="H3570" t="s">
        <v>304</v>
      </c>
    </row>
    <row r="3571" spans="1:8">
      <c r="A3571" t="str">
        <f t="shared" si="55"/>
        <v>Ringbaan 50b</v>
      </c>
      <c r="B3571" t="s">
        <v>627</v>
      </c>
      <c r="C3571" t="s">
        <v>296</v>
      </c>
      <c r="D3571">
        <v>1980</v>
      </c>
      <c r="E3571">
        <v>9</v>
      </c>
      <c r="F3571" t="s">
        <v>626</v>
      </c>
      <c r="G3571">
        <v>50</v>
      </c>
      <c r="H3571" t="s">
        <v>298</v>
      </c>
    </row>
    <row r="3572" spans="1:8">
      <c r="A3572" t="str">
        <f t="shared" si="55"/>
        <v>Ringbaan 50c</v>
      </c>
      <c r="B3572" t="s">
        <v>627</v>
      </c>
      <c r="C3572" t="s">
        <v>296</v>
      </c>
      <c r="D3572">
        <v>1972</v>
      </c>
      <c r="E3572">
        <v>18</v>
      </c>
      <c r="F3572" t="s">
        <v>626</v>
      </c>
      <c r="G3572">
        <v>50</v>
      </c>
      <c r="H3572" t="s">
        <v>299</v>
      </c>
    </row>
    <row r="3573" spans="1:8">
      <c r="A3573" t="str">
        <f t="shared" si="55"/>
        <v>Ringbaan 50d</v>
      </c>
      <c r="B3573" t="s">
        <v>627</v>
      </c>
      <c r="C3573" t="s">
        <v>296</v>
      </c>
      <c r="D3573">
        <v>1972</v>
      </c>
      <c r="E3573">
        <v>17</v>
      </c>
      <c r="F3573" t="s">
        <v>626</v>
      </c>
      <c r="G3573">
        <v>50</v>
      </c>
      <c r="H3573" t="s">
        <v>300</v>
      </c>
    </row>
    <row r="3574" spans="1:8">
      <c r="A3574" t="str">
        <f t="shared" si="55"/>
        <v>Ringbaan 50e</v>
      </c>
      <c r="B3574" t="s">
        <v>627</v>
      </c>
      <c r="C3574" t="s">
        <v>296</v>
      </c>
      <c r="D3574">
        <v>1972</v>
      </c>
      <c r="E3574">
        <v>17</v>
      </c>
      <c r="F3574" t="s">
        <v>626</v>
      </c>
      <c r="G3574">
        <v>50</v>
      </c>
      <c r="H3574" t="s">
        <v>319</v>
      </c>
    </row>
    <row r="3575" spans="1:8">
      <c r="A3575" t="str">
        <f t="shared" si="55"/>
        <v>Ringbaan 50f</v>
      </c>
      <c r="B3575" t="s">
        <v>627</v>
      </c>
      <c r="C3575" t="s">
        <v>296</v>
      </c>
      <c r="D3575">
        <v>1972</v>
      </c>
      <c r="E3575">
        <v>17</v>
      </c>
      <c r="F3575" t="s">
        <v>626</v>
      </c>
      <c r="G3575">
        <v>50</v>
      </c>
      <c r="H3575" t="s">
        <v>329</v>
      </c>
    </row>
    <row r="3576" spans="1:8">
      <c r="A3576" t="str">
        <f t="shared" si="55"/>
        <v>Ringbaan 50g</v>
      </c>
      <c r="B3576" t="s">
        <v>627</v>
      </c>
      <c r="C3576" t="s">
        <v>296</v>
      </c>
      <c r="D3576">
        <v>1972</v>
      </c>
      <c r="E3576">
        <v>17</v>
      </c>
      <c r="F3576" t="s">
        <v>626</v>
      </c>
      <c r="G3576">
        <v>50</v>
      </c>
      <c r="H3576" t="s">
        <v>330</v>
      </c>
    </row>
    <row r="3577" spans="1:8">
      <c r="A3577" t="str">
        <f t="shared" si="55"/>
        <v>Ringbaan 50h</v>
      </c>
      <c r="B3577" t="s">
        <v>627</v>
      </c>
      <c r="C3577" t="s">
        <v>296</v>
      </c>
      <c r="D3577">
        <v>1972</v>
      </c>
      <c r="E3577">
        <v>19</v>
      </c>
      <c r="F3577" t="s">
        <v>626</v>
      </c>
      <c r="G3577">
        <v>50</v>
      </c>
      <c r="H3577" t="s">
        <v>397</v>
      </c>
    </row>
    <row r="3578" spans="1:8">
      <c r="A3578" t="str">
        <f t="shared" si="55"/>
        <v>Ringbaan 50</v>
      </c>
      <c r="B3578" t="s">
        <v>627</v>
      </c>
      <c r="C3578" t="s">
        <v>296</v>
      </c>
      <c r="D3578">
        <v>1980</v>
      </c>
      <c r="E3578">
        <v>124</v>
      </c>
      <c r="F3578" t="s">
        <v>626</v>
      </c>
      <c r="G3578">
        <v>50</v>
      </c>
    </row>
    <row r="3579" spans="1:8">
      <c r="A3579" t="str">
        <f t="shared" si="55"/>
        <v>Ringbaan 52</v>
      </c>
      <c r="B3579" t="s">
        <v>627</v>
      </c>
      <c r="C3579" t="s">
        <v>296</v>
      </c>
      <c r="D3579">
        <v>1980</v>
      </c>
      <c r="E3579">
        <v>121</v>
      </c>
      <c r="F3579" t="s">
        <v>626</v>
      </c>
      <c r="G3579">
        <v>52</v>
      </c>
    </row>
    <row r="3580" spans="1:8">
      <c r="A3580" t="str">
        <f t="shared" si="55"/>
        <v>Ringbaan 54</v>
      </c>
      <c r="B3580" t="s">
        <v>627</v>
      </c>
      <c r="C3580" t="s">
        <v>296</v>
      </c>
      <c r="D3580">
        <v>1980</v>
      </c>
      <c r="E3580">
        <v>130</v>
      </c>
      <c r="F3580" t="s">
        <v>626</v>
      </c>
      <c r="G3580">
        <v>54</v>
      </c>
    </row>
    <row r="3581" spans="1:8">
      <c r="A3581" t="str">
        <f t="shared" si="55"/>
        <v>Ringbaan 56</v>
      </c>
      <c r="B3581" t="s">
        <v>627</v>
      </c>
      <c r="C3581" t="s">
        <v>296</v>
      </c>
      <c r="D3581">
        <v>1980</v>
      </c>
      <c r="E3581">
        <v>122</v>
      </c>
      <c r="F3581" t="s">
        <v>626</v>
      </c>
      <c r="G3581">
        <v>56</v>
      </c>
    </row>
    <row r="3582" spans="1:8">
      <c r="A3582" t="str">
        <f t="shared" si="55"/>
        <v>Ringbaan 58</v>
      </c>
      <c r="B3582" t="s">
        <v>627</v>
      </c>
      <c r="C3582" t="s">
        <v>296</v>
      </c>
      <c r="D3582">
        <v>1980</v>
      </c>
      <c r="E3582">
        <v>127</v>
      </c>
      <c r="F3582" t="s">
        <v>626</v>
      </c>
      <c r="G3582">
        <v>58</v>
      </c>
    </row>
    <row r="3583" spans="1:8">
      <c r="A3583" t="str">
        <f t="shared" si="55"/>
        <v>Ringbaan 60</v>
      </c>
      <c r="B3583" t="s">
        <v>627</v>
      </c>
      <c r="C3583" t="s">
        <v>296</v>
      </c>
      <c r="D3583">
        <v>1980</v>
      </c>
      <c r="E3583">
        <v>121</v>
      </c>
      <c r="F3583" t="s">
        <v>626</v>
      </c>
      <c r="G3583">
        <v>60</v>
      </c>
    </row>
    <row r="3584" spans="1:8">
      <c r="A3584" t="str">
        <f t="shared" si="55"/>
        <v>Ringbaan 62</v>
      </c>
      <c r="B3584" t="s">
        <v>627</v>
      </c>
      <c r="C3584" t="s">
        <v>296</v>
      </c>
      <c r="D3584">
        <v>1980</v>
      </c>
      <c r="E3584">
        <v>124</v>
      </c>
      <c r="F3584" t="s">
        <v>626</v>
      </c>
      <c r="G3584">
        <v>62</v>
      </c>
    </row>
    <row r="3585" spans="1:7">
      <c r="A3585" t="str">
        <f t="shared" si="55"/>
        <v>Ringbaan 64</v>
      </c>
      <c r="B3585" t="s">
        <v>627</v>
      </c>
      <c r="C3585" t="s">
        <v>296</v>
      </c>
      <c r="D3585">
        <v>1980</v>
      </c>
      <c r="E3585">
        <v>121</v>
      </c>
      <c r="F3585" t="s">
        <v>626</v>
      </c>
      <c r="G3585">
        <v>64</v>
      </c>
    </row>
    <row r="3586" spans="1:7">
      <c r="A3586" t="str">
        <f t="shared" ref="A3586:A3649" si="56">CONCATENATE(F3586," ",G3586,H3586)</f>
        <v>Ringbaan 66</v>
      </c>
      <c r="B3586" t="s">
        <v>627</v>
      </c>
      <c r="C3586" t="s">
        <v>296</v>
      </c>
      <c r="D3586">
        <v>1980</v>
      </c>
      <c r="E3586">
        <v>121</v>
      </c>
      <c r="F3586" t="s">
        <v>626</v>
      </c>
      <c r="G3586">
        <v>66</v>
      </c>
    </row>
    <row r="3587" spans="1:7">
      <c r="A3587" t="str">
        <f t="shared" si="56"/>
        <v>Ringbaan 68</v>
      </c>
      <c r="B3587" t="s">
        <v>627</v>
      </c>
      <c r="C3587" t="s">
        <v>296</v>
      </c>
      <c r="D3587">
        <v>1980</v>
      </c>
      <c r="E3587">
        <v>125</v>
      </c>
      <c r="F3587" t="s">
        <v>626</v>
      </c>
      <c r="G3587">
        <v>68</v>
      </c>
    </row>
    <row r="3588" spans="1:7">
      <c r="A3588" t="str">
        <f t="shared" si="56"/>
        <v>Ringbaan 70</v>
      </c>
      <c r="B3588" t="s">
        <v>627</v>
      </c>
      <c r="C3588" t="s">
        <v>296</v>
      </c>
      <c r="D3588">
        <v>1980</v>
      </c>
      <c r="E3588">
        <v>122</v>
      </c>
      <c r="F3588" t="s">
        <v>626</v>
      </c>
      <c r="G3588">
        <v>70</v>
      </c>
    </row>
    <row r="3589" spans="1:7">
      <c r="A3589" t="str">
        <f t="shared" si="56"/>
        <v>Ringbaan 72</v>
      </c>
      <c r="B3589" t="s">
        <v>627</v>
      </c>
      <c r="C3589" t="s">
        <v>296</v>
      </c>
      <c r="D3589">
        <v>1980</v>
      </c>
      <c r="E3589">
        <v>121</v>
      </c>
      <c r="F3589" t="s">
        <v>626</v>
      </c>
      <c r="G3589">
        <v>72</v>
      </c>
    </row>
    <row r="3590" spans="1:7">
      <c r="A3590" t="str">
        <f t="shared" si="56"/>
        <v>Ringbaan 74</v>
      </c>
      <c r="B3590" t="s">
        <v>627</v>
      </c>
      <c r="C3590" t="s">
        <v>296</v>
      </c>
      <c r="D3590">
        <v>1980</v>
      </c>
      <c r="E3590">
        <v>127</v>
      </c>
      <c r="F3590" t="s">
        <v>626</v>
      </c>
      <c r="G3590">
        <v>74</v>
      </c>
    </row>
    <row r="3591" spans="1:7">
      <c r="A3591" t="str">
        <f t="shared" si="56"/>
        <v>Ringbaan 76</v>
      </c>
      <c r="B3591" t="s">
        <v>627</v>
      </c>
      <c r="C3591" t="s">
        <v>296</v>
      </c>
      <c r="D3591">
        <v>1980</v>
      </c>
      <c r="E3591">
        <v>122</v>
      </c>
      <c r="F3591" t="s">
        <v>626</v>
      </c>
      <c r="G3591">
        <v>76</v>
      </c>
    </row>
    <row r="3592" spans="1:7">
      <c r="A3592" t="str">
        <f t="shared" si="56"/>
        <v>Romeinenstraat 1</v>
      </c>
      <c r="B3592" t="s">
        <v>628</v>
      </c>
      <c r="C3592" t="s">
        <v>306</v>
      </c>
      <c r="D3592">
        <v>1992</v>
      </c>
      <c r="E3592">
        <v>128</v>
      </c>
      <c r="F3592" t="s">
        <v>629</v>
      </c>
      <c r="G3592">
        <v>1</v>
      </c>
    </row>
    <row r="3593" spans="1:7">
      <c r="A3593" t="str">
        <f t="shared" si="56"/>
        <v>Romeinenstraat 2</v>
      </c>
      <c r="B3593" t="s">
        <v>628</v>
      </c>
      <c r="C3593" t="s">
        <v>306</v>
      </c>
      <c r="D3593">
        <v>1985</v>
      </c>
      <c r="E3593">
        <v>84</v>
      </c>
      <c r="F3593" t="s">
        <v>629</v>
      </c>
      <c r="G3593">
        <v>2</v>
      </c>
    </row>
    <row r="3594" spans="1:7">
      <c r="A3594" t="str">
        <f t="shared" si="56"/>
        <v>Romeinenstraat 3</v>
      </c>
      <c r="B3594" t="s">
        <v>628</v>
      </c>
      <c r="C3594" t="s">
        <v>306</v>
      </c>
      <c r="D3594">
        <v>1992</v>
      </c>
      <c r="E3594">
        <v>122</v>
      </c>
      <c r="F3594" t="s">
        <v>629</v>
      </c>
      <c r="G3594">
        <v>3</v>
      </c>
    </row>
    <row r="3595" spans="1:7">
      <c r="A3595" t="str">
        <f t="shared" si="56"/>
        <v>Romeinenstraat 4</v>
      </c>
      <c r="B3595" t="s">
        <v>628</v>
      </c>
      <c r="C3595" t="s">
        <v>306</v>
      </c>
      <c r="D3595">
        <v>1985</v>
      </c>
      <c r="E3595">
        <v>84</v>
      </c>
      <c r="F3595" t="s">
        <v>629</v>
      </c>
      <c r="G3595">
        <v>4</v>
      </c>
    </row>
    <row r="3596" spans="1:7">
      <c r="A3596" t="str">
        <f t="shared" si="56"/>
        <v>Romeinenstraat 5</v>
      </c>
      <c r="B3596" t="s">
        <v>628</v>
      </c>
      <c r="C3596" t="s">
        <v>306</v>
      </c>
      <c r="D3596">
        <v>1992</v>
      </c>
      <c r="E3596">
        <v>122</v>
      </c>
      <c r="F3596" t="s">
        <v>629</v>
      </c>
      <c r="G3596">
        <v>5</v>
      </c>
    </row>
    <row r="3597" spans="1:7">
      <c r="A3597" t="str">
        <f t="shared" si="56"/>
        <v>Romeinenstraat 6</v>
      </c>
      <c r="B3597" t="s">
        <v>628</v>
      </c>
      <c r="C3597" t="s">
        <v>306</v>
      </c>
      <c r="D3597">
        <v>1985</v>
      </c>
      <c r="E3597">
        <v>84</v>
      </c>
      <c r="F3597" t="s">
        <v>629</v>
      </c>
      <c r="G3597">
        <v>6</v>
      </c>
    </row>
    <row r="3598" spans="1:7">
      <c r="A3598" t="str">
        <f t="shared" si="56"/>
        <v>Romeinenstraat 7</v>
      </c>
      <c r="B3598" t="s">
        <v>628</v>
      </c>
      <c r="C3598" t="s">
        <v>306</v>
      </c>
      <c r="D3598">
        <v>1992</v>
      </c>
      <c r="E3598">
        <v>122</v>
      </c>
      <c r="F3598" t="s">
        <v>629</v>
      </c>
      <c r="G3598">
        <v>7</v>
      </c>
    </row>
    <row r="3599" spans="1:7">
      <c r="A3599" t="str">
        <f t="shared" si="56"/>
        <v>Romeinenstraat 8</v>
      </c>
      <c r="B3599" t="s">
        <v>628</v>
      </c>
      <c r="C3599" t="s">
        <v>306</v>
      </c>
      <c r="D3599">
        <v>1985</v>
      </c>
      <c r="E3599">
        <v>84</v>
      </c>
      <c r="F3599" t="s">
        <v>629</v>
      </c>
      <c r="G3599">
        <v>8</v>
      </c>
    </row>
    <row r="3600" spans="1:7">
      <c r="A3600" t="str">
        <f t="shared" si="56"/>
        <v>Romeinenstraat 9</v>
      </c>
      <c r="B3600" t="s">
        <v>628</v>
      </c>
      <c r="C3600" t="s">
        <v>306</v>
      </c>
      <c r="D3600">
        <v>1992</v>
      </c>
      <c r="E3600">
        <v>130</v>
      </c>
      <c r="F3600" t="s">
        <v>629</v>
      </c>
      <c r="G3600">
        <v>9</v>
      </c>
    </row>
    <row r="3601" spans="1:7">
      <c r="A3601" t="str">
        <f t="shared" si="56"/>
        <v>Romeinenstraat 10</v>
      </c>
      <c r="B3601" t="s">
        <v>628</v>
      </c>
      <c r="C3601" t="s">
        <v>306</v>
      </c>
      <c r="D3601">
        <v>1985</v>
      </c>
      <c r="E3601">
        <v>84</v>
      </c>
      <c r="F3601" t="s">
        <v>629</v>
      </c>
      <c r="G3601">
        <v>10</v>
      </c>
    </row>
    <row r="3602" spans="1:7">
      <c r="A3602" t="str">
        <f t="shared" si="56"/>
        <v>Romeinenstraat 11</v>
      </c>
      <c r="B3602" t="s">
        <v>628</v>
      </c>
      <c r="C3602" t="s">
        <v>306</v>
      </c>
      <c r="D3602">
        <v>1992</v>
      </c>
      <c r="E3602">
        <v>122</v>
      </c>
      <c r="F3602" t="s">
        <v>629</v>
      </c>
      <c r="G3602">
        <v>11</v>
      </c>
    </row>
    <row r="3603" spans="1:7">
      <c r="A3603" t="str">
        <f t="shared" si="56"/>
        <v>Romeinenstraat 12</v>
      </c>
      <c r="B3603" t="s">
        <v>628</v>
      </c>
      <c r="C3603" t="s">
        <v>306</v>
      </c>
      <c r="D3603">
        <v>1985</v>
      </c>
      <c r="E3603">
        <v>84</v>
      </c>
      <c r="F3603" t="s">
        <v>629</v>
      </c>
      <c r="G3603">
        <v>12</v>
      </c>
    </row>
    <row r="3604" spans="1:7">
      <c r="A3604" t="str">
        <f t="shared" si="56"/>
        <v>Romeinenstraat 13</v>
      </c>
      <c r="B3604" t="s">
        <v>628</v>
      </c>
      <c r="C3604" t="s">
        <v>306</v>
      </c>
      <c r="D3604">
        <v>1992</v>
      </c>
      <c r="E3604">
        <v>123</v>
      </c>
      <c r="F3604" t="s">
        <v>629</v>
      </c>
      <c r="G3604">
        <v>13</v>
      </c>
    </row>
    <row r="3605" spans="1:7">
      <c r="A3605" t="str">
        <f t="shared" si="56"/>
        <v>Romeinenstraat 14</v>
      </c>
      <c r="B3605" t="s">
        <v>628</v>
      </c>
      <c r="C3605" t="s">
        <v>306</v>
      </c>
      <c r="D3605">
        <v>1985</v>
      </c>
      <c r="E3605">
        <v>94</v>
      </c>
      <c r="F3605" t="s">
        <v>629</v>
      </c>
      <c r="G3605">
        <v>14</v>
      </c>
    </row>
    <row r="3606" spans="1:7">
      <c r="A3606" t="str">
        <f t="shared" si="56"/>
        <v>Romeinenstraat 15</v>
      </c>
      <c r="B3606" t="s">
        <v>628</v>
      </c>
      <c r="C3606" t="s">
        <v>306</v>
      </c>
      <c r="D3606">
        <v>1992</v>
      </c>
      <c r="E3606">
        <v>138</v>
      </c>
      <c r="F3606" t="s">
        <v>629</v>
      </c>
      <c r="G3606">
        <v>15</v>
      </c>
    </row>
    <row r="3607" spans="1:7">
      <c r="A3607" t="str">
        <f t="shared" si="56"/>
        <v>Romeinenstraat 16</v>
      </c>
      <c r="B3607" t="s">
        <v>628</v>
      </c>
      <c r="C3607" t="s">
        <v>306</v>
      </c>
      <c r="D3607">
        <v>1985</v>
      </c>
      <c r="E3607">
        <v>84</v>
      </c>
      <c r="F3607" t="s">
        <v>629</v>
      </c>
      <c r="G3607">
        <v>16</v>
      </c>
    </row>
    <row r="3608" spans="1:7">
      <c r="A3608" t="str">
        <f t="shared" si="56"/>
        <v>Romeinenstraat 18</v>
      </c>
      <c r="B3608" t="s">
        <v>628</v>
      </c>
      <c r="C3608" t="s">
        <v>306</v>
      </c>
      <c r="D3608">
        <v>1992</v>
      </c>
      <c r="E3608">
        <v>92</v>
      </c>
      <c r="F3608" t="s">
        <v>629</v>
      </c>
      <c r="G3608">
        <v>18</v>
      </c>
    </row>
    <row r="3609" spans="1:7">
      <c r="A3609" t="str">
        <f t="shared" si="56"/>
        <v>Romeinenstraat 20</v>
      </c>
      <c r="B3609" t="s">
        <v>628</v>
      </c>
      <c r="C3609" t="s">
        <v>306</v>
      </c>
      <c r="D3609">
        <v>1992</v>
      </c>
      <c r="E3609">
        <v>92</v>
      </c>
      <c r="F3609" t="s">
        <v>629</v>
      </c>
      <c r="G3609">
        <v>20</v>
      </c>
    </row>
    <row r="3610" spans="1:7">
      <c r="A3610" t="str">
        <f t="shared" si="56"/>
        <v>Romeinenstraat 22</v>
      </c>
      <c r="B3610" t="s">
        <v>628</v>
      </c>
      <c r="C3610" t="s">
        <v>306</v>
      </c>
      <c r="D3610">
        <v>1992</v>
      </c>
      <c r="E3610">
        <v>92</v>
      </c>
      <c r="F3610" t="s">
        <v>629</v>
      </c>
      <c r="G3610">
        <v>22</v>
      </c>
    </row>
    <row r="3611" spans="1:7">
      <c r="A3611" t="str">
        <f t="shared" si="56"/>
        <v>Romeinenstraat 24</v>
      </c>
      <c r="B3611" t="s">
        <v>628</v>
      </c>
      <c r="C3611" t="s">
        <v>306</v>
      </c>
      <c r="D3611">
        <v>1992</v>
      </c>
      <c r="E3611">
        <v>92</v>
      </c>
      <c r="F3611" t="s">
        <v>629</v>
      </c>
      <c r="G3611">
        <v>24</v>
      </c>
    </row>
    <row r="3612" spans="1:7">
      <c r="A3612" t="str">
        <f t="shared" si="56"/>
        <v>Romeinenstraat 26</v>
      </c>
      <c r="B3612" t="s">
        <v>628</v>
      </c>
      <c r="C3612" t="s">
        <v>306</v>
      </c>
      <c r="D3612">
        <v>1992</v>
      </c>
      <c r="E3612">
        <v>92</v>
      </c>
      <c r="F3612" t="s">
        <v>629</v>
      </c>
      <c r="G3612">
        <v>26</v>
      </c>
    </row>
    <row r="3613" spans="1:7">
      <c r="A3613" t="str">
        <f t="shared" si="56"/>
        <v>Romeinenstraat 28</v>
      </c>
      <c r="B3613" t="s">
        <v>628</v>
      </c>
      <c r="C3613" t="s">
        <v>306</v>
      </c>
      <c r="D3613">
        <v>1992</v>
      </c>
      <c r="E3613">
        <v>192</v>
      </c>
      <c r="F3613" t="s">
        <v>629</v>
      </c>
      <c r="G3613">
        <v>28</v>
      </c>
    </row>
    <row r="3614" spans="1:7">
      <c r="A3614" t="str">
        <f t="shared" si="56"/>
        <v>Schansweg 1</v>
      </c>
      <c r="B3614" t="s">
        <v>630</v>
      </c>
      <c r="C3614" t="s">
        <v>306</v>
      </c>
      <c r="D3614">
        <v>1985</v>
      </c>
      <c r="E3614">
        <v>117</v>
      </c>
      <c r="F3614" t="s">
        <v>631</v>
      </c>
      <c r="G3614">
        <v>1</v>
      </c>
    </row>
    <row r="3615" spans="1:7">
      <c r="A3615" t="str">
        <f t="shared" si="56"/>
        <v>Schansweg 2</v>
      </c>
      <c r="B3615" t="s">
        <v>630</v>
      </c>
      <c r="C3615" t="s">
        <v>306</v>
      </c>
      <c r="D3615">
        <v>1992</v>
      </c>
      <c r="E3615">
        <v>119</v>
      </c>
      <c r="F3615" t="s">
        <v>631</v>
      </c>
      <c r="G3615">
        <v>2</v>
      </c>
    </row>
    <row r="3616" spans="1:7">
      <c r="A3616" t="str">
        <f t="shared" si="56"/>
        <v>Schansweg 3</v>
      </c>
      <c r="B3616" t="s">
        <v>630</v>
      </c>
      <c r="C3616" t="s">
        <v>306</v>
      </c>
      <c r="D3616">
        <v>1985</v>
      </c>
      <c r="E3616">
        <v>118</v>
      </c>
      <c r="F3616" t="s">
        <v>631</v>
      </c>
      <c r="G3616">
        <v>3</v>
      </c>
    </row>
    <row r="3617" spans="1:7">
      <c r="A3617" t="str">
        <f t="shared" si="56"/>
        <v>Schansweg 4</v>
      </c>
      <c r="B3617" t="s">
        <v>630</v>
      </c>
      <c r="C3617" t="s">
        <v>306</v>
      </c>
      <c r="D3617">
        <v>1992</v>
      </c>
      <c r="E3617">
        <v>92</v>
      </c>
      <c r="F3617" t="s">
        <v>631</v>
      </c>
      <c r="G3617">
        <v>4</v>
      </c>
    </row>
    <row r="3618" spans="1:7">
      <c r="A3618" t="str">
        <f t="shared" si="56"/>
        <v>Schansweg 5</v>
      </c>
      <c r="B3618" t="s">
        <v>630</v>
      </c>
      <c r="C3618" t="s">
        <v>306</v>
      </c>
      <c r="D3618">
        <v>1985</v>
      </c>
      <c r="E3618">
        <v>118</v>
      </c>
      <c r="F3618" t="s">
        <v>631</v>
      </c>
      <c r="G3618">
        <v>5</v>
      </c>
    </row>
    <row r="3619" spans="1:7">
      <c r="A3619" t="str">
        <f t="shared" si="56"/>
        <v>Schansweg 6</v>
      </c>
      <c r="B3619" t="s">
        <v>630</v>
      </c>
      <c r="C3619" t="s">
        <v>306</v>
      </c>
      <c r="D3619">
        <v>1992</v>
      </c>
      <c r="E3619">
        <v>92</v>
      </c>
      <c r="F3619" t="s">
        <v>631</v>
      </c>
      <c r="G3619">
        <v>6</v>
      </c>
    </row>
    <row r="3620" spans="1:7">
      <c r="A3620" t="str">
        <f t="shared" si="56"/>
        <v>Schansweg 7</v>
      </c>
      <c r="B3620" t="s">
        <v>630</v>
      </c>
      <c r="C3620" t="s">
        <v>306</v>
      </c>
      <c r="D3620">
        <v>1985</v>
      </c>
      <c r="E3620">
        <v>124</v>
      </c>
      <c r="F3620" t="s">
        <v>631</v>
      </c>
      <c r="G3620">
        <v>7</v>
      </c>
    </row>
    <row r="3621" spans="1:7">
      <c r="A3621" t="str">
        <f t="shared" si="56"/>
        <v>Schansweg 8</v>
      </c>
      <c r="B3621" t="s">
        <v>630</v>
      </c>
      <c r="C3621" t="s">
        <v>306</v>
      </c>
      <c r="D3621">
        <v>1992</v>
      </c>
      <c r="E3621">
        <v>92</v>
      </c>
      <c r="F3621" t="s">
        <v>631</v>
      </c>
      <c r="G3621">
        <v>8</v>
      </c>
    </row>
    <row r="3622" spans="1:7">
      <c r="A3622" t="str">
        <f t="shared" si="56"/>
        <v>Schansweg 9</v>
      </c>
      <c r="B3622" t="s">
        <v>630</v>
      </c>
      <c r="C3622" t="s">
        <v>306</v>
      </c>
      <c r="D3622">
        <v>1985</v>
      </c>
      <c r="E3622">
        <v>107</v>
      </c>
      <c r="F3622" t="s">
        <v>631</v>
      </c>
      <c r="G3622">
        <v>9</v>
      </c>
    </row>
    <row r="3623" spans="1:7">
      <c r="A3623" t="str">
        <f t="shared" si="56"/>
        <v>Schansweg 10</v>
      </c>
      <c r="B3623" t="s">
        <v>630</v>
      </c>
      <c r="C3623" t="s">
        <v>306</v>
      </c>
      <c r="D3623">
        <v>1992</v>
      </c>
      <c r="E3623">
        <v>92</v>
      </c>
      <c r="F3623" t="s">
        <v>631</v>
      </c>
      <c r="G3623">
        <v>10</v>
      </c>
    </row>
    <row r="3624" spans="1:7">
      <c r="A3624" t="str">
        <f t="shared" si="56"/>
        <v>Schansweg 11</v>
      </c>
      <c r="B3624" t="s">
        <v>630</v>
      </c>
      <c r="C3624" t="s">
        <v>306</v>
      </c>
      <c r="D3624">
        <v>1985</v>
      </c>
      <c r="E3624">
        <v>143</v>
      </c>
      <c r="F3624" t="s">
        <v>631</v>
      </c>
      <c r="G3624">
        <v>11</v>
      </c>
    </row>
    <row r="3625" spans="1:7">
      <c r="A3625" t="str">
        <f t="shared" si="56"/>
        <v>Schansweg 13</v>
      </c>
      <c r="B3625" t="s">
        <v>630</v>
      </c>
      <c r="C3625" t="s">
        <v>306</v>
      </c>
      <c r="D3625">
        <v>1985</v>
      </c>
      <c r="E3625">
        <v>119</v>
      </c>
      <c r="F3625" t="s">
        <v>631</v>
      </c>
      <c r="G3625">
        <v>13</v>
      </c>
    </row>
    <row r="3626" spans="1:7">
      <c r="A3626" t="str">
        <f t="shared" si="56"/>
        <v>Schansweg 15</v>
      </c>
      <c r="B3626" t="s">
        <v>630</v>
      </c>
      <c r="C3626" t="s">
        <v>306</v>
      </c>
      <c r="D3626">
        <v>1985</v>
      </c>
      <c r="E3626">
        <v>153</v>
      </c>
      <c r="F3626" t="s">
        <v>631</v>
      </c>
      <c r="G3626">
        <v>15</v>
      </c>
    </row>
    <row r="3627" spans="1:7">
      <c r="A3627" t="str">
        <f t="shared" si="56"/>
        <v>Schansweg 17</v>
      </c>
      <c r="B3627" t="s">
        <v>630</v>
      </c>
      <c r="C3627" t="s">
        <v>306</v>
      </c>
      <c r="D3627">
        <v>1992</v>
      </c>
      <c r="E3627">
        <v>92</v>
      </c>
      <c r="F3627" t="s">
        <v>631</v>
      </c>
      <c r="G3627">
        <v>17</v>
      </c>
    </row>
    <row r="3628" spans="1:7">
      <c r="A3628" t="str">
        <f t="shared" si="56"/>
        <v>Schansweg 19</v>
      </c>
      <c r="B3628" t="s">
        <v>630</v>
      </c>
      <c r="C3628" t="s">
        <v>306</v>
      </c>
      <c r="D3628">
        <v>1992</v>
      </c>
      <c r="E3628">
        <v>92</v>
      </c>
      <c r="F3628" t="s">
        <v>631</v>
      </c>
      <c r="G3628">
        <v>19</v>
      </c>
    </row>
    <row r="3629" spans="1:7">
      <c r="A3629" t="str">
        <f t="shared" si="56"/>
        <v>Schansweg 21</v>
      </c>
      <c r="B3629" t="s">
        <v>630</v>
      </c>
      <c r="C3629" t="s">
        <v>306</v>
      </c>
      <c r="D3629">
        <v>1992</v>
      </c>
      <c r="E3629">
        <v>92</v>
      </c>
      <c r="F3629" t="s">
        <v>631</v>
      </c>
      <c r="G3629">
        <v>21</v>
      </c>
    </row>
    <row r="3630" spans="1:7">
      <c r="A3630" t="str">
        <f t="shared" si="56"/>
        <v>Schansweg 23</v>
      </c>
      <c r="B3630" t="s">
        <v>630</v>
      </c>
      <c r="C3630" t="s">
        <v>306</v>
      </c>
      <c r="D3630">
        <v>1992</v>
      </c>
      <c r="E3630">
        <v>99</v>
      </c>
      <c r="F3630" t="s">
        <v>631</v>
      </c>
      <c r="G3630">
        <v>23</v>
      </c>
    </row>
    <row r="3631" spans="1:7">
      <c r="A3631" t="str">
        <f t="shared" si="56"/>
        <v>Schansweg 25</v>
      </c>
      <c r="B3631" t="s">
        <v>630</v>
      </c>
      <c r="C3631" t="s">
        <v>306</v>
      </c>
      <c r="D3631">
        <v>1992</v>
      </c>
      <c r="E3631">
        <v>105</v>
      </c>
      <c r="F3631" t="s">
        <v>631</v>
      </c>
      <c r="G3631">
        <v>25</v>
      </c>
    </row>
    <row r="3632" spans="1:7">
      <c r="A3632" t="str">
        <f t="shared" si="56"/>
        <v>Schansweg 27</v>
      </c>
      <c r="B3632" t="s">
        <v>630</v>
      </c>
      <c r="C3632" t="s">
        <v>306</v>
      </c>
      <c r="D3632">
        <v>1991</v>
      </c>
      <c r="E3632">
        <v>100</v>
      </c>
      <c r="F3632" t="s">
        <v>631</v>
      </c>
      <c r="G3632">
        <v>27</v>
      </c>
    </row>
    <row r="3633" spans="1:7">
      <c r="A3633" t="str">
        <f t="shared" si="56"/>
        <v>Schansweg 29</v>
      </c>
      <c r="B3633" t="s">
        <v>630</v>
      </c>
      <c r="C3633" t="s">
        <v>306</v>
      </c>
      <c r="D3633">
        <v>1991</v>
      </c>
      <c r="E3633">
        <v>96</v>
      </c>
      <c r="F3633" t="s">
        <v>631</v>
      </c>
      <c r="G3633">
        <v>29</v>
      </c>
    </row>
    <row r="3634" spans="1:7">
      <c r="A3634" t="str">
        <f t="shared" si="56"/>
        <v>Schansweg 31</v>
      </c>
      <c r="B3634" t="s">
        <v>630</v>
      </c>
      <c r="C3634" t="s">
        <v>306</v>
      </c>
      <c r="D3634">
        <v>1991</v>
      </c>
      <c r="E3634">
        <v>96</v>
      </c>
      <c r="F3634" t="s">
        <v>631</v>
      </c>
      <c r="G3634">
        <v>31</v>
      </c>
    </row>
    <row r="3635" spans="1:7">
      <c r="A3635" t="str">
        <f t="shared" si="56"/>
        <v>Schansweg 33</v>
      </c>
      <c r="B3635" t="s">
        <v>630</v>
      </c>
      <c r="C3635" t="s">
        <v>306</v>
      </c>
      <c r="D3635">
        <v>1991</v>
      </c>
      <c r="E3635">
        <v>112</v>
      </c>
      <c r="F3635" t="s">
        <v>631</v>
      </c>
      <c r="G3635">
        <v>33</v>
      </c>
    </row>
    <row r="3636" spans="1:7">
      <c r="A3636" t="str">
        <f t="shared" si="56"/>
        <v>Schansweg 35</v>
      </c>
      <c r="B3636" t="s">
        <v>630</v>
      </c>
      <c r="C3636" t="s">
        <v>306</v>
      </c>
      <c r="D3636">
        <v>1991</v>
      </c>
      <c r="E3636">
        <v>110</v>
      </c>
      <c r="F3636" t="s">
        <v>631</v>
      </c>
      <c r="G3636">
        <v>35</v>
      </c>
    </row>
    <row r="3637" spans="1:7">
      <c r="A3637" t="str">
        <f t="shared" si="56"/>
        <v>Schansweg 37</v>
      </c>
      <c r="B3637" t="s">
        <v>630</v>
      </c>
      <c r="C3637" t="s">
        <v>306</v>
      </c>
      <c r="D3637">
        <v>1991</v>
      </c>
      <c r="E3637">
        <v>105</v>
      </c>
      <c r="F3637" t="s">
        <v>631</v>
      </c>
      <c r="G3637">
        <v>37</v>
      </c>
    </row>
    <row r="3638" spans="1:7">
      <c r="A3638" t="str">
        <f t="shared" si="56"/>
        <v>Scheidingsweg 3</v>
      </c>
      <c r="B3638" t="s">
        <v>334</v>
      </c>
      <c r="C3638" t="s">
        <v>306</v>
      </c>
      <c r="D3638">
        <v>1979</v>
      </c>
      <c r="E3638">
        <v>247</v>
      </c>
      <c r="F3638" t="s">
        <v>632</v>
      </c>
      <c r="G3638">
        <v>3</v>
      </c>
    </row>
    <row r="3639" spans="1:7">
      <c r="A3639" t="str">
        <f t="shared" si="56"/>
        <v>Scheidingsweg 5</v>
      </c>
      <c r="B3639" t="s">
        <v>334</v>
      </c>
      <c r="C3639" t="s">
        <v>306</v>
      </c>
      <c r="D3639">
        <v>1922</v>
      </c>
      <c r="E3639">
        <v>218</v>
      </c>
      <c r="F3639" t="s">
        <v>632</v>
      </c>
      <c r="G3639">
        <v>5</v>
      </c>
    </row>
    <row r="3640" spans="1:7">
      <c r="A3640" t="str">
        <f t="shared" si="56"/>
        <v>Schenck van Nijdeggenstraat 1</v>
      </c>
      <c r="B3640" t="s">
        <v>633</v>
      </c>
      <c r="C3640" t="s">
        <v>302</v>
      </c>
      <c r="D3640">
        <v>1969</v>
      </c>
      <c r="E3640">
        <v>129</v>
      </c>
      <c r="F3640" t="s">
        <v>634</v>
      </c>
      <c r="G3640">
        <v>1</v>
      </c>
    </row>
    <row r="3641" spans="1:7">
      <c r="A3641" t="str">
        <f t="shared" si="56"/>
        <v>Schenck van Nijdeggenstraat 2</v>
      </c>
      <c r="B3641" t="s">
        <v>633</v>
      </c>
      <c r="C3641" t="s">
        <v>302</v>
      </c>
      <c r="D3641">
        <v>1969</v>
      </c>
      <c r="E3641">
        <v>151</v>
      </c>
      <c r="F3641" t="s">
        <v>634</v>
      </c>
      <c r="G3641">
        <v>2</v>
      </c>
    </row>
    <row r="3642" spans="1:7">
      <c r="A3642" t="str">
        <f t="shared" si="56"/>
        <v>Schenck van Nijdeggenstraat 3</v>
      </c>
      <c r="B3642" t="s">
        <v>633</v>
      </c>
      <c r="C3642" t="s">
        <v>302</v>
      </c>
      <c r="D3642">
        <v>1969</v>
      </c>
      <c r="E3642">
        <v>132</v>
      </c>
      <c r="F3642" t="s">
        <v>634</v>
      </c>
      <c r="G3642">
        <v>3</v>
      </c>
    </row>
    <row r="3643" spans="1:7">
      <c r="A3643" t="str">
        <f t="shared" si="56"/>
        <v>Schenck van Nijdeggenstraat 4</v>
      </c>
      <c r="B3643" t="s">
        <v>633</v>
      </c>
      <c r="C3643" t="s">
        <v>302</v>
      </c>
      <c r="D3643">
        <v>1969</v>
      </c>
      <c r="E3643">
        <v>98</v>
      </c>
      <c r="F3643" t="s">
        <v>634</v>
      </c>
      <c r="G3643">
        <v>4</v>
      </c>
    </row>
    <row r="3644" spans="1:7">
      <c r="A3644" t="str">
        <f t="shared" si="56"/>
        <v>Schenck van Nijdeggenstraat 5</v>
      </c>
      <c r="B3644" t="s">
        <v>633</v>
      </c>
      <c r="C3644" t="s">
        <v>302</v>
      </c>
      <c r="D3644">
        <v>1965</v>
      </c>
      <c r="E3644">
        <v>108</v>
      </c>
      <c r="F3644" t="s">
        <v>634</v>
      </c>
      <c r="G3644">
        <v>5</v>
      </c>
    </row>
    <row r="3645" spans="1:7">
      <c r="A3645" t="str">
        <f t="shared" si="56"/>
        <v>Schenck van Nijdeggenstraat 6</v>
      </c>
      <c r="B3645" t="s">
        <v>633</v>
      </c>
      <c r="C3645" t="s">
        <v>302</v>
      </c>
      <c r="D3645">
        <v>1969</v>
      </c>
      <c r="E3645">
        <v>129</v>
      </c>
      <c r="F3645" t="s">
        <v>634</v>
      </c>
      <c r="G3645">
        <v>6</v>
      </c>
    </row>
    <row r="3646" spans="1:7">
      <c r="A3646" t="str">
        <f t="shared" si="56"/>
        <v>Schenck van Nijdeggenstraat 7</v>
      </c>
      <c r="B3646" t="s">
        <v>633</v>
      </c>
      <c r="C3646" t="s">
        <v>302</v>
      </c>
      <c r="D3646">
        <v>1965</v>
      </c>
      <c r="E3646">
        <v>95</v>
      </c>
      <c r="F3646" t="s">
        <v>634</v>
      </c>
      <c r="G3646">
        <v>7</v>
      </c>
    </row>
    <row r="3647" spans="1:7">
      <c r="A3647" t="str">
        <f t="shared" si="56"/>
        <v>Schenck van Nijdeggenstraat 8</v>
      </c>
      <c r="B3647" t="s">
        <v>633</v>
      </c>
      <c r="C3647" t="s">
        <v>302</v>
      </c>
      <c r="D3647">
        <v>1969</v>
      </c>
      <c r="E3647">
        <v>111</v>
      </c>
      <c r="F3647" t="s">
        <v>634</v>
      </c>
      <c r="G3647">
        <v>8</v>
      </c>
    </row>
    <row r="3648" spans="1:7">
      <c r="A3648" t="str">
        <f t="shared" si="56"/>
        <v>Schenck van Nijdeggenstraat 9</v>
      </c>
      <c r="B3648" t="s">
        <v>633</v>
      </c>
      <c r="C3648" t="s">
        <v>302</v>
      </c>
      <c r="D3648">
        <v>1965</v>
      </c>
      <c r="E3648">
        <v>97</v>
      </c>
      <c r="F3648" t="s">
        <v>634</v>
      </c>
      <c r="G3648">
        <v>9</v>
      </c>
    </row>
    <row r="3649" spans="1:8">
      <c r="A3649" t="str">
        <f t="shared" si="56"/>
        <v>Schenck van Nijdeggenstraat 10</v>
      </c>
      <c r="B3649" t="s">
        <v>633</v>
      </c>
      <c r="C3649" t="s">
        <v>302</v>
      </c>
      <c r="D3649">
        <v>1969</v>
      </c>
      <c r="E3649">
        <v>111</v>
      </c>
      <c r="F3649" t="s">
        <v>634</v>
      </c>
      <c r="G3649">
        <v>10</v>
      </c>
    </row>
    <row r="3650" spans="1:8">
      <c r="A3650" t="str">
        <f t="shared" ref="A3650:A3713" si="57">CONCATENATE(F3650," ",G3650,H3650)</f>
        <v>Schenck van Nijdeggenstraat 11</v>
      </c>
      <c r="B3650" t="s">
        <v>633</v>
      </c>
      <c r="C3650" t="s">
        <v>302</v>
      </c>
      <c r="D3650">
        <v>1965</v>
      </c>
      <c r="E3650">
        <v>96</v>
      </c>
      <c r="F3650" t="s">
        <v>634</v>
      </c>
      <c r="G3650">
        <v>11</v>
      </c>
    </row>
    <row r="3651" spans="1:8">
      <c r="A3651" t="str">
        <f t="shared" si="57"/>
        <v>Schenck van Nijdeggenstraat 12</v>
      </c>
      <c r="B3651" t="s">
        <v>633</v>
      </c>
      <c r="C3651" t="s">
        <v>302</v>
      </c>
      <c r="D3651">
        <v>1969</v>
      </c>
      <c r="E3651">
        <v>111</v>
      </c>
      <c r="F3651" t="s">
        <v>634</v>
      </c>
      <c r="G3651">
        <v>12</v>
      </c>
    </row>
    <row r="3652" spans="1:8">
      <c r="A3652" t="str">
        <f t="shared" si="57"/>
        <v>Schenck van Nijdeggenstraat 13</v>
      </c>
      <c r="B3652" t="s">
        <v>633</v>
      </c>
      <c r="C3652" t="s">
        <v>302</v>
      </c>
      <c r="D3652">
        <v>1965</v>
      </c>
      <c r="E3652">
        <v>97</v>
      </c>
      <c r="F3652" t="s">
        <v>634</v>
      </c>
      <c r="G3652">
        <v>13</v>
      </c>
    </row>
    <row r="3653" spans="1:8">
      <c r="A3653" t="str">
        <f t="shared" si="57"/>
        <v>Schenck van Nijdeggenstraat 14</v>
      </c>
      <c r="B3653" t="s">
        <v>633</v>
      </c>
      <c r="C3653" t="s">
        <v>302</v>
      </c>
      <c r="D3653">
        <v>1969</v>
      </c>
      <c r="E3653">
        <v>120</v>
      </c>
      <c r="F3653" t="s">
        <v>634</v>
      </c>
      <c r="G3653">
        <v>14</v>
      </c>
    </row>
    <row r="3654" spans="1:8">
      <c r="A3654" t="str">
        <f t="shared" si="57"/>
        <v>Schenck van Nijdeggenstraat 15</v>
      </c>
      <c r="B3654" t="s">
        <v>633</v>
      </c>
      <c r="C3654" t="s">
        <v>302</v>
      </c>
      <c r="D3654">
        <v>1965</v>
      </c>
      <c r="E3654">
        <v>96</v>
      </c>
      <c r="F3654" t="s">
        <v>634</v>
      </c>
      <c r="G3654">
        <v>15</v>
      </c>
    </row>
    <row r="3655" spans="1:8">
      <c r="A3655" t="str">
        <f t="shared" si="57"/>
        <v>Schenck van Nijdeggenstraat 16</v>
      </c>
      <c r="B3655" t="s">
        <v>633</v>
      </c>
      <c r="C3655" t="s">
        <v>302</v>
      </c>
      <c r="D3655">
        <v>1969</v>
      </c>
      <c r="E3655">
        <v>118</v>
      </c>
      <c r="F3655" t="s">
        <v>634</v>
      </c>
      <c r="G3655">
        <v>16</v>
      </c>
    </row>
    <row r="3656" spans="1:8">
      <c r="A3656" t="str">
        <f t="shared" si="57"/>
        <v>Schenck van Nijdeggenstraat 17</v>
      </c>
      <c r="B3656" t="s">
        <v>633</v>
      </c>
      <c r="C3656" t="s">
        <v>302</v>
      </c>
      <c r="D3656">
        <v>1965</v>
      </c>
      <c r="E3656">
        <v>96</v>
      </c>
      <c r="F3656" t="s">
        <v>634</v>
      </c>
      <c r="G3656">
        <v>17</v>
      </c>
    </row>
    <row r="3657" spans="1:8">
      <c r="A3657" t="str">
        <f t="shared" si="57"/>
        <v>Schenck van Nijdeggenstraat 18</v>
      </c>
      <c r="B3657" t="s">
        <v>633</v>
      </c>
      <c r="C3657" t="s">
        <v>302</v>
      </c>
      <c r="D3657">
        <v>1969</v>
      </c>
      <c r="E3657">
        <v>111</v>
      </c>
      <c r="F3657" t="s">
        <v>634</v>
      </c>
      <c r="G3657">
        <v>18</v>
      </c>
    </row>
    <row r="3658" spans="1:8">
      <c r="A3658" t="str">
        <f t="shared" si="57"/>
        <v>Schenck van Nijdeggenstraat 19</v>
      </c>
      <c r="B3658" t="s">
        <v>633</v>
      </c>
      <c r="C3658" t="s">
        <v>302</v>
      </c>
      <c r="D3658">
        <v>1965</v>
      </c>
      <c r="E3658">
        <v>107</v>
      </c>
      <c r="F3658" t="s">
        <v>634</v>
      </c>
      <c r="G3658">
        <v>19</v>
      </c>
    </row>
    <row r="3659" spans="1:8">
      <c r="A3659" t="str">
        <f t="shared" si="57"/>
        <v>Schenck van Nijdeggenstraat 20</v>
      </c>
      <c r="B3659" t="s">
        <v>633</v>
      </c>
      <c r="C3659" t="s">
        <v>302</v>
      </c>
      <c r="D3659">
        <v>1969</v>
      </c>
      <c r="E3659">
        <v>111</v>
      </c>
      <c r="F3659" t="s">
        <v>634</v>
      </c>
      <c r="G3659">
        <v>20</v>
      </c>
    </row>
    <row r="3660" spans="1:8">
      <c r="A3660" t="str">
        <f t="shared" si="57"/>
        <v>Schenck van Nijdeggenstraat 22</v>
      </c>
      <c r="B3660" t="s">
        <v>633</v>
      </c>
      <c r="C3660" t="s">
        <v>302</v>
      </c>
      <c r="D3660">
        <v>1969</v>
      </c>
      <c r="E3660">
        <v>138</v>
      </c>
      <c r="F3660" t="s">
        <v>634</v>
      </c>
      <c r="G3660">
        <v>22</v>
      </c>
    </row>
    <row r="3661" spans="1:8">
      <c r="A3661" t="str">
        <f t="shared" si="57"/>
        <v>Schildersweg 1a</v>
      </c>
      <c r="B3661" t="s">
        <v>635</v>
      </c>
      <c r="C3661" t="s">
        <v>343</v>
      </c>
      <c r="D3661">
        <v>1950</v>
      </c>
      <c r="E3661">
        <v>207</v>
      </c>
      <c r="F3661" t="s">
        <v>636</v>
      </c>
      <c r="G3661">
        <v>1</v>
      </c>
      <c r="H3661" t="s">
        <v>304</v>
      </c>
    </row>
    <row r="3662" spans="1:8">
      <c r="A3662" t="str">
        <f t="shared" si="57"/>
        <v>Schildersweg 1</v>
      </c>
      <c r="B3662" t="s">
        <v>635</v>
      </c>
      <c r="C3662" t="s">
        <v>343</v>
      </c>
      <c r="D3662">
        <v>1948</v>
      </c>
      <c r="E3662">
        <v>164</v>
      </c>
      <c r="F3662" t="s">
        <v>636</v>
      </c>
      <c r="G3662">
        <v>1</v>
      </c>
    </row>
    <row r="3663" spans="1:8">
      <c r="A3663" t="str">
        <f t="shared" si="57"/>
        <v>Schildersweg 3</v>
      </c>
      <c r="B3663" t="s">
        <v>635</v>
      </c>
      <c r="C3663" t="s">
        <v>343</v>
      </c>
      <c r="D3663">
        <v>1953</v>
      </c>
      <c r="E3663">
        <v>174</v>
      </c>
      <c r="F3663" t="s">
        <v>636</v>
      </c>
      <c r="G3663">
        <v>3</v>
      </c>
    </row>
    <row r="3664" spans="1:8">
      <c r="A3664" t="str">
        <f t="shared" si="57"/>
        <v>Schildersweg 4</v>
      </c>
      <c r="B3664" t="s">
        <v>635</v>
      </c>
      <c r="C3664" t="s">
        <v>343</v>
      </c>
      <c r="D3664">
        <v>1954</v>
      </c>
      <c r="E3664">
        <v>216</v>
      </c>
      <c r="F3664" t="s">
        <v>636</v>
      </c>
      <c r="G3664">
        <v>4</v>
      </c>
    </row>
    <row r="3665" spans="1:8">
      <c r="A3665" t="str">
        <f t="shared" si="57"/>
        <v>Schildersweg 6a</v>
      </c>
      <c r="B3665" t="s">
        <v>635</v>
      </c>
      <c r="C3665" t="s">
        <v>343</v>
      </c>
      <c r="D3665">
        <v>1963</v>
      </c>
      <c r="E3665">
        <v>664</v>
      </c>
      <c r="F3665" t="s">
        <v>636</v>
      </c>
      <c r="G3665">
        <v>6</v>
      </c>
      <c r="H3665" t="s">
        <v>304</v>
      </c>
    </row>
    <row r="3666" spans="1:8">
      <c r="A3666" t="str">
        <f t="shared" si="57"/>
        <v>Schildersweg 6</v>
      </c>
      <c r="B3666" t="s">
        <v>635</v>
      </c>
      <c r="C3666" t="s">
        <v>343</v>
      </c>
      <c r="D3666">
        <v>1979</v>
      </c>
      <c r="E3666">
        <v>406</v>
      </c>
      <c r="F3666" t="s">
        <v>636</v>
      </c>
      <c r="G3666">
        <v>6</v>
      </c>
    </row>
    <row r="3667" spans="1:8">
      <c r="A3667" t="str">
        <f t="shared" si="57"/>
        <v>Schildersweg 7</v>
      </c>
      <c r="B3667" t="s">
        <v>635</v>
      </c>
      <c r="C3667" t="s">
        <v>343</v>
      </c>
      <c r="D3667">
        <v>1950</v>
      </c>
      <c r="E3667">
        <v>275</v>
      </c>
      <c r="F3667" t="s">
        <v>636</v>
      </c>
      <c r="G3667">
        <v>7</v>
      </c>
    </row>
    <row r="3668" spans="1:8">
      <c r="A3668" t="str">
        <f t="shared" si="57"/>
        <v>Schildersweg 8</v>
      </c>
      <c r="B3668" t="s">
        <v>635</v>
      </c>
      <c r="C3668" t="s">
        <v>343</v>
      </c>
      <c r="D3668">
        <v>2009</v>
      </c>
      <c r="E3668">
        <v>240</v>
      </c>
      <c r="F3668" t="s">
        <v>636</v>
      </c>
      <c r="G3668">
        <v>8</v>
      </c>
    </row>
    <row r="3669" spans="1:8">
      <c r="A3669" t="str">
        <f t="shared" si="57"/>
        <v>Schildersweg 9</v>
      </c>
      <c r="B3669" t="s">
        <v>635</v>
      </c>
      <c r="C3669" t="s">
        <v>343</v>
      </c>
      <c r="D3669">
        <v>1975</v>
      </c>
      <c r="E3669">
        <v>301</v>
      </c>
      <c r="F3669" t="s">
        <v>636</v>
      </c>
      <c r="G3669">
        <v>9</v>
      </c>
    </row>
    <row r="3670" spans="1:8">
      <c r="A3670" t="str">
        <f t="shared" si="57"/>
        <v>Schildersweg 11</v>
      </c>
      <c r="B3670" t="s">
        <v>635</v>
      </c>
      <c r="C3670" t="s">
        <v>343</v>
      </c>
      <c r="D3670">
        <v>2010</v>
      </c>
      <c r="E3670">
        <v>519</v>
      </c>
      <c r="F3670" t="s">
        <v>636</v>
      </c>
      <c r="G3670">
        <v>11</v>
      </c>
    </row>
    <row r="3671" spans="1:8">
      <c r="A3671" t="str">
        <f t="shared" si="57"/>
        <v>Schildersweg 13</v>
      </c>
      <c r="B3671" t="s">
        <v>635</v>
      </c>
      <c r="C3671" t="s">
        <v>343</v>
      </c>
      <c r="D3671">
        <v>1954</v>
      </c>
      <c r="E3671">
        <v>270</v>
      </c>
      <c r="F3671" t="s">
        <v>636</v>
      </c>
      <c r="G3671">
        <v>13</v>
      </c>
    </row>
    <row r="3672" spans="1:8">
      <c r="A3672" t="str">
        <f t="shared" si="57"/>
        <v>Schildersweg 15</v>
      </c>
      <c r="B3672" t="s">
        <v>635</v>
      </c>
      <c r="C3672" t="s">
        <v>343</v>
      </c>
      <c r="D3672">
        <v>1955</v>
      </c>
      <c r="E3672">
        <v>124</v>
      </c>
      <c r="F3672" t="s">
        <v>636</v>
      </c>
      <c r="G3672">
        <v>15</v>
      </c>
    </row>
    <row r="3673" spans="1:8">
      <c r="A3673" t="str">
        <f t="shared" si="57"/>
        <v>Schildersweg 17</v>
      </c>
      <c r="B3673" t="s">
        <v>635</v>
      </c>
      <c r="C3673" t="s">
        <v>343</v>
      </c>
      <c r="D3673">
        <v>1963</v>
      </c>
      <c r="E3673">
        <v>156</v>
      </c>
      <c r="F3673" t="s">
        <v>636</v>
      </c>
      <c r="G3673">
        <v>17</v>
      </c>
    </row>
    <row r="3674" spans="1:8">
      <c r="A3674" t="str">
        <f t="shared" si="57"/>
        <v>Schildersweg 19</v>
      </c>
      <c r="B3674" t="s">
        <v>635</v>
      </c>
      <c r="C3674" t="s">
        <v>343</v>
      </c>
      <c r="D3674">
        <v>1900</v>
      </c>
      <c r="E3674">
        <v>139</v>
      </c>
      <c r="F3674" t="s">
        <v>636</v>
      </c>
      <c r="G3674">
        <v>19</v>
      </c>
    </row>
    <row r="3675" spans="1:8">
      <c r="A3675" t="str">
        <f t="shared" si="57"/>
        <v>Schildersweg 21a</v>
      </c>
      <c r="B3675" t="s">
        <v>635</v>
      </c>
      <c r="C3675" t="s">
        <v>343</v>
      </c>
      <c r="D3675">
        <v>1983</v>
      </c>
      <c r="E3675">
        <v>137</v>
      </c>
      <c r="F3675" t="s">
        <v>636</v>
      </c>
      <c r="G3675">
        <v>21</v>
      </c>
      <c r="H3675" t="s">
        <v>304</v>
      </c>
    </row>
    <row r="3676" spans="1:8">
      <c r="A3676" t="str">
        <f t="shared" si="57"/>
        <v>Schildersweg 21</v>
      </c>
      <c r="B3676" t="s">
        <v>635</v>
      </c>
      <c r="C3676" t="s">
        <v>343</v>
      </c>
      <c r="D3676">
        <v>1963</v>
      </c>
      <c r="E3676">
        <v>116</v>
      </c>
      <c r="F3676" t="s">
        <v>636</v>
      </c>
      <c r="G3676">
        <v>21</v>
      </c>
    </row>
    <row r="3677" spans="1:8">
      <c r="A3677" t="str">
        <f t="shared" si="57"/>
        <v>Schildersweg 23</v>
      </c>
      <c r="B3677" t="s">
        <v>635</v>
      </c>
      <c r="C3677" t="s">
        <v>343</v>
      </c>
      <c r="D3677">
        <v>1935</v>
      </c>
      <c r="E3677">
        <v>120</v>
      </c>
      <c r="F3677" t="s">
        <v>636</v>
      </c>
      <c r="G3677">
        <v>23</v>
      </c>
    </row>
    <row r="3678" spans="1:8">
      <c r="A3678" t="str">
        <f t="shared" si="57"/>
        <v>Schildersweg 25</v>
      </c>
      <c r="B3678" t="s">
        <v>635</v>
      </c>
      <c r="C3678" t="s">
        <v>343</v>
      </c>
      <c r="D3678">
        <v>1961</v>
      </c>
      <c r="E3678">
        <v>166</v>
      </c>
      <c r="F3678" t="s">
        <v>636</v>
      </c>
      <c r="G3678">
        <v>25</v>
      </c>
    </row>
    <row r="3679" spans="1:8">
      <c r="A3679" t="str">
        <f t="shared" si="57"/>
        <v>Schildersweg 27</v>
      </c>
      <c r="B3679" t="s">
        <v>635</v>
      </c>
      <c r="C3679" t="s">
        <v>343</v>
      </c>
      <c r="D3679">
        <v>1973</v>
      </c>
      <c r="E3679">
        <v>191</v>
      </c>
      <c r="F3679" t="s">
        <v>636</v>
      </c>
      <c r="G3679">
        <v>27</v>
      </c>
    </row>
    <row r="3680" spans="1:8">
      <c r="A3680" t="str">
        <f t="shared" si="57"/>
        <v>Schildersweg 29</v>
      </c>
      <c r="B3680" t="s">
        <v>635</v>
      </c>
      <c r="C3680" t="s">
        <v>343</v>
      </c>
      <c r="D3680">
        <v>1974</v>
      </c>
      <c r="E3680">
        <v>174</v>
      </c>
      <c r="F3680" t="s">
        <v>636</v>
      </c>
      <c r="G3680">
        <v>29</v>
      </c>
    </row>
    <row r="3681" spans="1:8">
      <c r="A3681" t="str">
        <f t="shared" si="57"/>
        <v>Schoutenpad 1</v>
      </c>
      <c r="C3681" t="s">
        <v>296</v>
      </c>
      <c r="D3681">
        <v>1986</v>
      </c>
      <c r="E3681">
        <v>9</v>
      </c>
      <c r="F3681" t="s">
        <v>637</v>
      </c>
      <c r="G3681">
        <v>1</v>
      </c>
    </row>
    <row r="3682" spans="1:8">
      <c r="A3682" t="str">
        <f t="shared" si="57"/>
        <v>Schuttersweg 1a</v>
      </c>
      <c r="B3682" t="s">
        <v>638</v>
      </c>
      <c r="C3682" t="s">
        <v>306</v>
      </c>
      <c r="D3682">
        <v>1989</v>
      </c>
      <c r="E3682">
        <v>68</v>
      </c>
      <c r="F3682" t="s">
        <v>639</v>
      </c>
      <c r="G3682">
        <v>1</v>
      </c>
      <c r="H3682" t="s">
        <v>304</v>
      </c>
    </row>
    <row r="3683" spans="1:8">
      <c r="A3683" t="str">
        <f t="shared" si="57"/>
        <v>Schuttersweg 1</v>
      </c>
      <c r="B3683" t="s">
        <v>638</v>
      </c>
      <c r="C3683" t="s">
        <v>306</v>
      </c>
      <c r="D3683">
        <v>1967</v>
      </c>
      <c r="E3683">
        <v>71</v>
      </c>
      <c r="F3683" t="s">
        <v>639</v>
      </c>
      <c r="G3683">
        <v>1</v>
      </c>
    </row>
    <row r="3684" spans="1:8">
      <c r="A3684" t="str">
        <f t="shared" si="57"/>
        <v>Schuttersweg 3</v>
      </c>
      <c r="B3684" t="s">
        <v>638</v>
      </c>
      <c r="C3684" t="s">
        <v>306</v>
      </c>
      <c r="D3684">
        <v>1961</v>
      </c>
      <c r="E3684">
        <v>123</v>
      </c>
      <c r="F3684" t="s">
        <v>639</v>
      </c>
      <c r="G3684">
        <v>3</v>
      </c>
    </row>
    <row r="3685" spans="1:8">
      <c r="A3685" t="str">
        <f t="shared" si="57"/>
        <v>Schuttersweg 5</v>
      </c>
      <c r="B3685" t="s">
        <v>638</v>
      </c>
      <c r="C3685" t="s">
        <v>306</v>
      </c>
      <c r="D3685">
        <v>1967</v>
      </c>
      <c r="E3685">
        <v>226</v>
      </c>
      <c r="F3685" t="s">
        <v>639</v>
      </c>
      <c r="G3685">
        <v>5</v>
      </c>
    </row>
    <row r="3686" spans="1:8">
      <c r="A3686" t="str">
        <f t="shared" si="57"/>
        <v>Schuttersweg 7</v>
      </c>
      <c r="B3686" t="s">
        <v>638</v>
      </c>
      <c r="C3686" t="s">
        <v>306</v>
      </c>
      <c r="D3686">
        <v>1968</v>
      </c>
      <c r="E3686">
        <v>113</v>
      </c>
      <c r="F3686" t="s">
        <v>639</v>
      </c>
      <c r="G3686">
        <v>7</v>
      </c>
    </row>
    <row r="3687" spans="1:8">
      <c r="A3687" t="str">
        <f t="shared" si="57"/>
        <v>Schuttersweg 8</v>
      </c>
      <c r="B3687" t="s">
        <v>638</v>
      </c>
      <c r="C3687" t="s">
        <v>306</v>
      </c>
      <c r="D3687">
        <v>1967</v>
      </c>
      <c r="E3687">
        <v>191</v>
      </c>
      <c r="F3687" t="s">
        <v>639</v>
      </c>
      <c r="G3687">
        <v>8</v>
      </c>
    </row>
    <row r="3688" spans="1:8">
      <c r="A3688" t="str">
        <f t="shared" si="57"/>
        <v>Schuttersweg 9</v>
      </c>
      <c r="B3688" t="s">
        <v>638</v>
      </c>
      <c r="C3688" t="s">
        <v>306</v>
      </c>
      <c r="D3688">
        <v>1970</v>
      </c>
      <c r="E3688">
        <v>416</v>
      </c>
      <c r="F3688" t="s">
        <v>639</v>
      </c>
      <c r="G3688">
        <v>9</v>
      </c>
    </row>
    <row r="3689" spans="1:8">
      <c r="A3689" t="str">
        <f t="shared" si="57"/>
        <v>Schuttersweg 11</v>
      </c>
      <c r="B3689" t="s">
        <v>638</v>
      </c>
      <c r="C3689" t="s">
        <v>306</v>
      </c>
      <c r="D3689">
        <v>1958</v>
      </c>
      <c r="E3689">
        <v>134</v>
      </c>
      <c r="F3689" t="s">
        <v>639</v>
      </c>
      <c r="G3689">
        <v>11</v>
      </c>
    </row>
    <row r="3690" spans="1:8">
      <c r="A3690" t="str">
        <f t="shared" si="57"/>
        <v>Schuttersweg 12</v>
      </c>
      <c r="B3690" t="s">
        <v>638</v>
      </c>
      <c r="C3690" t="s">
        <v>306</v>
      </c>
      <c r="D3690">
        <v>1900</v>
      </c>
      <c r="E3690">
        <v>118</v>
      </c>
      <c r="F3690" t="s">
        <v>639</v>
      </c>
      <c r="G3690">
        <v>12</v>
      </c>
    </row>
    <row r="3691" spans="1:8">
      <c r="A3691" t="str">
        <f t="shared" si="57"/>
        <v>Schuttersweg 14</v>
      </c>
      <c r="B3691" t="s">
        <v>638</v>
      </c>
      <c r="C3691" t="s">
        <v>306</v>
      </c>
      <c r="D3691">
        <v>2017</v>
      </c>
      <c r="E3691">
        <v>238</v>
      </c>
      <c r="F3691" t="s">
        <v>639</v>
      </c>
      <c r="G3691">
        <v>14</v>
      </c>
    </row>
    <row r="3692" spans="1:8">
      <c r="A3692" t="str">
        <f t="shared" si="57"/>
        <v>Schuttersweg 16</v>
      </c>
      <c r="B3692" t="s">
        <v>638</v>
      </c>
      <c r="C3692" t="s">
        <v>306</v>
      </c>
      <c r="D3692">
        <v>1925</v>
      </c>
      <c r="E3692">
        <v>200</v>
      </c>
      <c r="F3692" t="s">
        <v>639</v>
      </c>
      <c r="G3692">
        <v>16</v>
      </c>
    </row>
    <row r="3693" spans="1:8">
      <c r="A3693" t="str">
        <f t="shared" si="57"/>
        <v>Schuttersweg 18</v>
      </c>
      <c r="B3693" t="s">
        <v>638</v>
      </c>
      <c r="C3693" t="s">
        <v>306</v>
      </c>
      <c r="D3693">
        <v>1963</v>
      </c>
      <c r="E3693">
        <v>188</v>
      </c>
      <c r="F3693" t="s">
        <v>639</v>
      </c>
      <c r="G3693">
        <v>18</v>
      </c>
    </row>
    <row r="3694" spans="1:8">
      <c r="A3694" t="str">
        <f t="shared" si="57"/>
        <v>Schuttersweg 20</v>
      </c>
      <c r="B3694" t="s">
        <v>638</v>
      </c>
      <c r="C3694" t="s">
        <v>306</v>
      </c>
      <c r="D3694">
        <v>1975</v>
      </c>
      <c r="E3694">
        <v>48</v>
      </c>
      <c r="F3694" t="s">
        <v>639</v>
      </c>
      <c r="G3694">
        <v>20</v>
      </c>
    </row>
    <row r="3695" spans="1:8">
      <c r="A3695" t="str">
        <f t="shared" si="57"/>
        <v>Singel 1</v>
      </c>
      <c r="B3695" t="s">
        <v>640</v>
      </c>
      <c r="C3695" t="s">
        <v>296</v>
      </c>
      <c r="D3695">
        <v>1974</v>
      </c>
      <c r="E3695">
        <v>67</v>
      </c>
      <c r="F3695" t="s">
        <v>641</v>
      </c>
      <c r="G3695">
        <v>1</v>
      </c>
    </row>
    <row r="3696" spans="1:8">
      <c r="A3696" t="str">
        <f t="shared" si="57"/>
        <v>Singel 2</v>
      </c>
      <c r="B3696" t="s">
        <v>640</v>
      </c>
      <c r="C3696" t="s">
        <v>296</v>
      </c>
      <c r="D3696">
        <v>1974</v>
      </c>
      <c r="E3696">
        <v>67</v>
      </c>
      <c r="F3696" t="s">
        <v>641</v>
      </c>
      <c r="G3696">
        <v>2</v>
      </c>
    </row>
    <row r="3697" spans="1:7">
      <c r="A3697" t="str">
        <f t="shared" si="57"/>
        <v>Singel 3</v>
      </c>
      <c r="B3697" t="s">
        <v>640</v>
      </c>
      <c r="C3697" t="s">
        <v>296</v>
      </c>
      <c r="D3697">
        <v>1974</v>
      </c>
      <c r="E3697">
        <v>67</v>
      </c>
      <c r="F3697" t="s">
        <v>641</v>
      </c>
      <c r="G3697">
        <v>3</v>
      </c>
    </row>
    <row r="3698" spans="1:7">
      <c r="A3698" t="str">
        <f t="shared" si="57"/>
        <v>Singel 4</v>
      </c>
      <c r="B3698" t="s">
        <v>640</v>
      </c>
      <c r="C3698" t="s">
        <v>296</v>
      </c>
      <c r="D3698">
        <v>1974</v>
      </c>
      <c r="E3698">
        <v>67</v>
      </c>
      <c r="F3698" t="s">
        <v>641</v>
      </c>
      <c r="G3698">
        <v>4</v>
      </c>
    </row>
    <row r="3699" spans="1:7">
      <c r="A3699" t="str">
        <f t="shared" si="57"/>
        <v>Singel 5</v>
      </c>
      <c r="B3699" t="s">
        <v>640</v>
      </c>
      <c r="C3699" t="s">
        <v>296</v>
      </c>
      <c r="D3699">
        <v>1974</v>
      </c>
      <c r="E3699">
        <v>48</v>
      </c>
      <c r="F3699" t="s">
        <v>641</v>
      </c>
      <c r="G3699">
        <v>5</v>
      </c>
    </row>
    <row r="3700" spans="1:7">
      <c r="A3700" t="str">
        <f t="shared" si="57"/>
        <v>Singel 6</v>
      </c>
      <c r="B3700" t="s">
        <v>640</v>
      </c>
      <c r="C3700" t="s">
        <v>296</v>
      </c>
      <c r="D3700">
        <v>1974</v>
      </c>
      <c r="E3700">
        <v>67</v>
      </c>
      <c r="F3700" t="s">
        <v>641</v>
      </c>
      <c r="G3700">
        <v>6</v>
      </c>
    </row>
    <row r="3701" spans="1:7">
      <c r="A3701" t="str">
        <f t="shared" si="57"/>
        <v>Singel 7</v>
      </c>
      <c r="B3701" t="s">
        <v>640</v>
      </c>
      <c r="C3701" t="s">
        <v>296</v>
      </c>
      <c r="D3701">
        <v>1974</v>
      </c>
      <c r="E3701">
        <v>67</v>
      </c>
      <c r="F3701" t="s">
        <v>641</v>
      </c>
      <c r="G3701">
        <v>7</v>
      </c>
    </row>
    <row r="3702" spans="1:7">
      <c r="A3702" t="str">
        <f t="shared" si="57"/>
        <v>Singel 8</v>
      </c>
      <c r="B3702" t="s">
        <v>640</v>
      </c>
      <c r="C3702" t="s">
        <v>296</v>
      </c>
      <c r="D3702">
        <v>1974</v>
      </c>
      <c r="E3702">
        <v>67</v>
      </c>
      <c r="F3702" t="s">
        <v>641</v>
      </c>
      <c r="G3702">
        <v>8</v>
      </c>
    </row>
    <row r="3703" spans="1:7">
      <c r="A3703" t="str">
        <f t="shared" si="57"/>
        <v>Singel 9</v>
      </c>
      <c r="B3703" t="s">
        <v>640</v>
      </c>
      <c r="C3703" t="s">
        <v>296</v>
      </c>
      <c r="D3703">
        <v>1974</v>
      </c>
      <c r="E3703">
        <v>67</v>
      </c>
      <c r="F3703" t="s">
        <v>641</v>
      </c>
      <c r="G3703">
        <v>9</v>
      </c>
    </row>
    <row r="3704" spans="1:7">
      <c r="A3704" t="str">
        <f t="shared" si="57"/>
        <v>Singel 10</v>
      </c>
      <c r="B3704" t="s">
        <v>640</v>
      </c>
      <c r="C3704" t="s">
        <v>296</v>
      </c>
      <c r="D3704">
        <v>1974</v>
      </c>
      <c r="E3704">
        <v>48</v>
      </c>
      <c r="F3704" t="s">
        <v>641</v>
      </c>
      <c r="G3704">
        <v>10</v>
      </c>
    </row>
    <row r="3705" spans="1:7">
      <c r="A3705" t="str">
        <f t="shared" si="57"/>
        <v>Singel 11</v>
      </c>
      <c r="B3705" t="s">
        <v>640</v>
      </c>
      <c r="C3705" t="s">
        <v>296</v>
      </c>
      <c r="D3705">
        <v>1974</v>
      </c>
      <c r="E3705">
        <v>67</v>
      </c>
      <c r="F3705" t="s">
        <v>641</v>
      </c>
      <c r="G3705">
        <v>11</v>
      </c>
    </row>
    <row r="3706" spans="1:7">
      <c r="A3706" t="str">
        <f t="shared" si="57"/>
        <v>Singel 12</v>
      </c>
      <c r="B3706" t="s">
        <v>640</v>
      </c>
      <c r="C3706" t="s">
        <v>296</v>
      </c>
      <c r="D3706">
        <v>1974</v>
      </c>
      <c r="E3706">
        <v>67</v>
      </c>
      <c r="F3706" t="s">
        <v>641</v>
      </c>
      <c r="G3706">
        <v>12</v>
      </c>
    </row>
    <row r="3707" spans="1:7">
      <c r="A3707" t="str">
        <f t="shared" si="57"/>
        <v>Singel 13</v>
      </c>
      <c r="B3707" t="s">
        <v>640</v>
      </c>
      <c r="C3707" t="s">
        <v>296</v>
      </c>
      <c r="D3707">
        <v>1974</v>
      </c>
      <c r="E3707">
        <v>67</v>
      </c>
      <c r="F3707" t="s">
        <v>641</v>
      </c>
      <c r="G3707">
        <v>13</v>
      </c>
    </row>
    <row r="3708" spans="1:7">
      <c r="A3708" t="str">
        <f t="shared" si="57"/>
        <v>Singel 14</v>
      </c>
      <c r="B3708" t="s">
        <v>640</v>
      </c>
      <c r="C3708" t="s">
        <v>296</v>
      </c>
      <c r="D3708">
        <v>1974</v>
      </c>
      <c r="E3708">
        <v>67</v>
      </c>
      <c r="F3708" t="s">
        <v>641</v>
      </c>
      <c r="G3708">
        <v>14</v>
      </c>
    </row>
    <row r="3709" spans="1:7">
      <c r="A3709" t="str">
        <f t="shared" si="57"/>
        <v>Singel 15</v>
      </c>
      <c r="B3709" t="s">
        <v>642</v>
      </c>
      <c r="C3709" t="s">
        <v>296</v>
      </c>
      <c r="D3709">
        <v>1974</v>
      </c>
      <c r="E3709">
        <v>85</v>
      </c>
      <c r="F3709" t="s">
        <v>641</v>
      </c>
      <c r="G3709">
        <v>15</v>
      </c>
    </row>
    <row r="3710" spans="1:7">
      <c r="A3710" t="str">
        <f t="shared" si="57"/>
        <v>Singel 16</v>
      </c>
      <c r="B3710" t="s">
        <v>642</v>
      </c>
      <c r="C3710" t="s">
        <v>296</v>
      </c>
      <c r="D3710">
        <v>1974</v>
      </c>
      <c r="E3710">
        <v>85</v>
      </c>
      <c r="F3710" t="s">
        <v>641</v>
      </c>
      <c r="G3710">
        <v>16</v>
      </c>
    </row>
    <row r="3711" spans="1:7">
      <c r="A3711" t="str">
        <f t="shared" si="57"/>
        <v>Singel 17</v>
      </c>
      <c r="B3711" t="s">
        <v>642</v>
      </c>
      <c r="C3711" t="s">
        <v>296</v>
      </c>
      <c r="D3711">
        <v>1974</v>
      </c>
      <c r="E3711">
        <v>85</v>
      </c>
      <c r="F3711" t="s">
        <v>641</v>
      </c>
      <c r="G3711">
        <v>17</v>
      </c>
    </row>
    <row r="3712" spans="1:7">
      <c r="A3712" t="str">
        <f t="shared" si="57"/>
        <v>Singel 18</v>
      </c>
      <c r="B3712" t="s">
        <v>642</v>
      </c>
      <c r="C3712" t="s">
        <v>296</v>
      </c>
      <c r="D3712">
        <v>1974</v>
      </c>
      <c r="E3712">
        <v>85</v>
      </c>
      <c r="F3712" t="s">
        <v>641</v>
      </c>
      <c r="G3712">
        <v>18</v>
      </c>
    </row>
    <row r="3713" spans="1:7">
      <c r="A3713" t="str">
        <f t="shared" si="57"/>
        <v>Singel 19</v>
      </c>
      <c r="B3713" t="s">
        <v>642</v>
      </c>
      <c r="C3713" t="s">
        <v>296</v>
      </c>
      <c r="D3713">
        <v>1974</v>
      </c>
      <c r="E3713">
        <v>48</v>
      </c>
      <c r="F3713" t="s">
        <v>641</v>
      </c>
      <c r="G3713">
        <v>19</v>
      </c>
    </row>
    <row r="3714" spans="1:7">
      <c r="A3714" t="str">
        <f t="shared" ref="A3714:A3777" si="58">CONCATENATE(F3714," ",G3714,H3714)</f>
        <v>Singel 20</v>
      </c>
      <c r="B3714" t="s">
        <v>642</v>
      </c>
      <c r="C3714" t="s">
        <v>296</v>
      </c>
      <c r="D3714">
        <v>1974</v>
      </c>
      <c r="E3714">
        <v>85</v>
      </c>
      <c r="F3714" t="s">
        <v>641</v>
      </c>
      <c r="G3714">
        <v>20</v>
      </c>
    </row>
    <row r="3715" spans="1:7">
      <c r="A3715" t="str">
        <f t="shared" si="58"/>
        <v>Singel 21</v>
      </c>
      <c r="B3715" t="s">
        <v>642</v>
      </c>
      <c r="C3715" t="s">
        <v>296</v>
      </c>
      <c r="D3715">
        <v>1974</v>
      </c>
      <c r="E3715">
        <v>85</v>
      </c>
      <c r="F3715" t="s">
        <v>641</v>
      </c>
      <c r="G3715">
        <v>21</v>
      </c>
    </row>
    <row r="3716" spans="1:7">
      <c r="A3716" t="str">
        <f t="shared" si="58"/>
        <v>Singel 22</v>
      </c>
      <c r="B3716" t="s">
        <v>642</v>
      </c>
      <c r="C3716" t="s">
        <v>296</v>
      </c>
      <c r="D3716">
        <v>1974</v>
      </c>
      <c r="E3716">
        <v>85</v>
      </c>
      <c r="F3716" t="s">
        <v>641</v>
      </c>
      <c r="G3716">
        <v>22</v>
      </c>
    </row>
    <row r="3717" spans="1:7">
      <c r="A3717" t="str">
        <f t="shared" si="58"/>
        <v>Singel 23</v>
      </c>
      <c r="B3717" t="s">
        <v>642</v>
      </c>
      <c r="C3717" t="s">
        <v>296</v>
      </c>
      <c r="D3717">
        <v>1974</v>
      </c>
      <c r="E3717">
        <v>85</v>
      </c>
      <c r="F3717" t="s">
        <v>641</v>
      </c>
      <c r="G3717">
        <v>23</v>
      </c>
    </row>
    <row r="3718" spans="1:7">
      <c r="A3718" t="str">
        <f t="shared" si="58"/>
        <v>Singel 24</v>
      </c>
      <c r="B3718" t="s">
        <v>642</v>
      </c>
      <c r="C3718" t="s">
        <v>296</v>
      </c>
      <c r="D3718">
        <v>1974</v>
      </c>
      <c r="E3718">
        <v>48</v>
      </c>
      <c r="F3718" t="s">
        <v>641</v>
      </c>
      <c r="G3718">
        <v>24</v>
      </c>
    </row>
    <row r="3719" spans="1:7">
      <c r="A3719" t="str">
        <f t="shared" si="58"/>
        <v>Singel 25</v>
      </c>
      <c r="B3719" t="s">
        <v>642</v>
      </c>
      <c r="C3719" t="s">
        <v>296</v>
      </c>
      <c r="D3719">
        <v>1974</v>
      </c>
      <c r="E3719">
        <v>85</v>
      </c>
      <c r="F3719" t="s">
        <v>641</v>
      </c>
      <c r="G3719">
        <v>25</v>
      </c>
    </row>
    <row r="3720" spans="1:7">
      <c r="A3720" t="str">
        <f t="shared" si="58"/>
        <v>Singel 26</v>
      </c>
      <c r="B3720" t="s">
        <v>642</v>
      </c>
      <c r="C3720" t="s">
        <v>296</v>
      </c>
      <c r="D3720">
        <v>1974</v>
      </c>
      <c r="E3720">
        <v>85</v>
      </c>
      <c r="F3720" t="s">
        <v>641</v>
      </c>
      <c r="G3720">
        <v>26</v>
      </c>
    </row>
    <row r="3721" spans="1:7">
      <c r="A3721" t="str">
        <f t="shared" si="58"/>
        <v>Singel 27</v>
      </c>
      <c r="B3721" t="s">
        <v>642</v>
      </c>
      <c r="C3721" t="s">
        <v>296</v>
      </c>
      <c r="D3721">
        <v>1974</v>
      </c>
      <c r="E3721">
        <v>85</v>
      </c>
      <c r="F3721" t="s">
        <v>641</v>
      </c>
      <c r="G3721">
        <v>27</v>
      </c>
    </row>
    <row r="3722" spans="1:7">
      <c r="A3722" t="str">
        <f t="shared" si="58"/>
        <v>Singel 28</v>
      </c>
      <c r="B3722" t="s">
        <v>642</v>
      </c>
      <c r="C3722" t="s">
        <v>296</v>
      </c>
      <c r="D3722">
        <v>1974</v>
      </c>
      <c r="E3722">
        <v>85</v>
      </c>
      <c r="F3722" t="s">
        <v>641</v>
      </c>
      <c r="G3722">
        <v>28</v>
      </c>
    </row>
    <row r="3723" spans="1:7">
      <c r="A3723" t="str">
        <f t="shared" si="58"/>
        <v>Singel 29</v>
      </c>
      <c r="B3723" t="s">
        <v>643</v>
      </c>
      <c r="C3723" t="s">
        <v>296</v>
      </c>
      <c r="D3723">
        <v>1974</v>
      </c>
      <c r="E3723">
        <v>85</v>
      </c>
      <c r="F3723" t="s">
        <v>641</v>
      </c>
      <c r="G3723">
        <v>29</v>
      </c>
    </row>
    <row r="3724" spans="1:7">
      <c r="A3724" t="str">
        <f t="shared" si="58"/>
        <v>Singel 30</v>
      </c>
      <c r="B3724" t="s">
        <v>643</v>
      </c>
      <c r="C3724" t="s">
        <v>296</v>
      </c>
      <c r="D3724">
        <v>1974</v>
      </c>
      <c r="E3724">
        <v>85</v>
      </c>
      <c r="F3724" t="s">
        <v>641</v>
      </c>
      <c r="G3724">
        <v>30</v>
      </c>
    </row>
    <row r="3725" spans="1:7">
      <c r="A3725" t="str">
        <f t="shared" si="58"/>
        <v>Singel 31</v>
      </c>
      <c r="B3725" t="s">
        <v>643</v>
      </c>
      <c r="C3725" t="s">
        <v>296</v>
      </c>
      <c r="D3725">
        <v>1974</v>
      </c>
      <c r="E3725">
        <v>85</v>
      </c>
      <c r="F3725" t="s">
        <v>641</v>
      </c>
      <c r="G3725">
        <v>31</v>
      </c>
    </row>
    <row r="3726" spans="1:7">
      <c r="A3726" t="str">
        <f t="shared" si="58"/>
        <v>Singel 32</v>
      </c>
      <c r="B3726" t="s">
        <v>643</v>
      </c>
      <c r="C3726" t="s">
        <v>296</v>
      </c>
      <c r="D3726">
        <v>1974</v>
      </c>
      <c r="E3726">
        <v>85</v>
      </c>
      <c r="F3726" t="s">
        <v>641</v>
      </c>
      <c r="G3726">
        <v>32</v>
      </c>
    </row>
    <row r="3727" spans="1:7">
      <c r="A3727" t="str">
        <f t="shared" si="58"/>
        <v>Singel 33</v>
      </c>
      <c r="B3727" t="s">
        <v>643</v>
      </c>
      <c r="C3727" t="s">
        <v>296</v>
      </c>
      <c r="D3727">
        <v>1974</v>
      </c>
      <c r="E3727">
        <v>48</v>
      </c>
      <c r="F3727" t="s">
        <v>641</v>
      </c>
      <c r="G3727">
        <v>33</v>
      </c>
    </row>
    <row r="3728" spans="1:7">
      <c r="A3728" t="str">
        <f t="shared" si="58"/>
        <v>Singel 34</v>
      </c>
      <c r="B3728" t="s">
        <v>643</v>
      </c>
      <c r="C3728" t="s">
        <v>296</v>
      </c>
      <c r="D3728">
        <v>1974</v>
      </c>
      <c r="E3728">
        <v>85</v>
      </c>
      <c r="F3728" t="s">
        <v>641</v>
      </c>
      <c r="G3728">
        <v>34</v>
      </c>
    </row>
    <row r="3729" spans="1:7">
      <c r="A3729" t="str">
        <f t="shared" si="58"/>
        <v>Singel 35</v>
      </c>
      <c r="B3729" t="s">
        <v>643</v>
      </c>
      <c r="C3729" t="s">
        <v>296</v>
      </c>
      <c r="D3729">
        <v>1974</v>
      </c>
      <c r="E3729">
        <v>85</v>
      </c>
      <c r="F3729" t="s">
        <v>641</v>
      </c>
      <c r="G3729">
        <v>35</v>
      </c>
    </row>
    <row r="3730" spans="1:7">
      <c r="A3730" t="str">
        <f t="shared" si="58"/>
        <v>Singel 36</v>
      </c>
      <c r="B3730" t="s">
        <v>643</v>
      </c>
      <c r="C3730" t="s">
        <v>296</v>
      </c>
      <c r="D3730">
        <v>1974</v>
      </c>
      <c r="E3730">
        <v>85</v>
      </c>
      <c r="F3730" t="s">
        <v>641</v>
      </c>
      <c r="G3730">
        <v>36</v>
      </c>
    </row>
    <row r="3731" spans="1:7">
      <c r="A3731" t="str">
        <f t="shared" si="58"/>
        <v>Singel 37</v>
      </c>
      <c r="B3731" t="s">
        <v>643</v>
      </c>
      <c r="C3731" t="s">
        <v>296</v>
      </c>
      <c r="D3731">
        <v>1974</v>
      </c>
      <c r="E3731">
        <v>85</v>
      </c>
      <c r="F3731" t="s">
        <v>641</v>
      </c>
      <c r="G3731">
        <v>37</v>
      </c>
    </row>
    <row r="3732" spans="1:7">
      <c r="A3732" t="str">
        <f t="shared" si="58"/>
        <v>Singel 38</v>
      </c>
      <c r="B3732" t="s">
        <v>643</v>
      </c>
      <c r="C3732" t="s">
        <v>296</v>
      </c>
      <c r="D3732">
        <v>1974</v>
      </c>
      <c r="E3732">
        <v>85</v>
      </c>
      <c r="F3732" t="s">
        <v>641</v>
      </c>
      <c r="G3732">
        <v>38</v>
      </c>
    </row>
    <row r="3733" spans="1:7">
      <c r="A3733" t="str">
        <f t="shared" si="58"/>
        <v>Singel 39</v>
      </c>
      <c r="B3733" t="s">
        <v>643</v>
      </c>
      <c r="C3733" t="s">
        <v>296</v>
      </c>
      <c r="D3733">
        <v>1974</v>
      </c>
      <c r="E3733">
        <v>85</v>
      </c>
      <c r="F3733" t="s">
        <v>641</v>
      </c>
      <c r="G3733">
        <v>39</v>
      </c>
    </row>
    <row r="3734" spans="1:7">
      <c r="A3734" t="str">
        <f t="shared" si="58"/>
        <v>Singel 40</v>
      </c>
      <c r="B3734" t="s">
        <v>643</v>
      </c>
      <c r="C3734" t="s">
        <v>296</v>
      </c>
      <c r="D3734">
        <v>1974</v>
      </c>
      <c r="E3734">
        <v>85</v>
      </c>
      <c r="F3734" t="s">
        <v>641</v>
      </c>
      <c r="G3734">
        <v>40</v>
      </c>
    </row>
    <row r="3735" spans="1:7">
      <c r="A3735" t="str">
        <f t="shared" si="58"/>
        <v>Singel 41</v>
      </c>
      <c r="B3735" t="s">
        <v>643</v>
      </c>
      <c r="C3735" t="s">
        <v>296</v>
      </c>
      <c r="D3735">
        <v>1974</v>
      </c>
      <c r="E3735">
        <v>85</v>
      </c>
      <c r="F3735" t="s">
        <v>641</v>
      </c>
      <c r="G3735">
        <v>41</v>
      </c>
    </row>
    <row r="3736" spans="1:7">
      <c r="A3736" t="str">
        <f t="shared" si="58"/>
        <v>Singel 42</v>
      </c>
      <c r="B3736" t="s">
        <v>643</v>
      </c>
      <c r="C3736" t="s">
        <v>296</v>
      </c>
      <c r="D3736">
        <v>1974</v>
      </c>
      <c r="E3736">
        <v>85</v>
      </c>
      <c r="F3736" t="s">
        <v>641</v>
      </c>
      <c r="G3736">
        <v>42</v>
      </c>
    </row>
    <row r="3737" spans="1:7">
      <c r="A3737" t="str">
        <f t="shared" si="58"/>
        <v>Singel 43</v>
      </c>
      <c r="B3737" t="s">
        <v>644</v>
      </c>
      <c r="C3737" t="s">
        <v>296</v>
      </c>
      <c r="D3737">
        <v>1974</v>
      </c>
      <c r="E3737">
        <v>85</v>
      </c>
      <c r="F3737" t="s">
        <v>641</v>
      </c>
      <c r="G3737">
        <v>43</v>
      </c>
    </row>
    <row r="3738" spans="1:7">
      <c r="A3738" t="str">
        <f t="shared" si="58"/>
        <v>Singel 44</v>
      </c>
      <c r="B3738" t="s">
        <v>644</v>
      </c>
      <c r="C3738" t="s">
        <v>296</v>
      </c>
      <c r="D3738">
        <v>1974</v>
      </c>
      <c r="E3738">
        <v>85</v>
      </c>
      <c r="F3738" t="s">
        <v>641</v>
      </c>
      <c r="G3738">
        <v>44</v>
      </c>
    </row>
    <row r="3739" spans="1:7">
      <c r="A3739" t="str">
        <f t="shared" si="58"/>
        <v>Singel 45</v>
      </c>
      <c r="B3739" t="s">
        <v>644</v>
      </c>
      <c r="C3739" t="s">
        <v>296</v>
      </c>
      <c r="D3739">
        <v>1974</v>
      </c>
      <c r="E3739">
        <v>85</v>
      </c>
      <c r="F3739" t="s">
        <v>641</v>
      </c>
      <c r="G3739">
        <v>45</v>
      </c>
    </row>
    <row r="3740" spans="1:7">
      <c r="A3740" t="str">
        <f t="shared" si="58"/>
        <v>Singel 46</v>
      </c>
      <c r="B3740" t="s">
        <v>644</v>
      </c>
      <c r="C3740" t="s">
        <v>296</v>
      </c>
      <c r="D3740">
        <v>1974</v>
      </c>
      <c r="E3740">
        <v>85</v>
      </c>
      <c r="F3740" t="s">
        <v>641</v>
      </c>
      <c r="G3740">
        <v>46</v>
      </c>
    </row>
    <row r="3741" spans="1:7">
      <c r="A3741" t="str">
        <f t="shared" si="58"/>
        <v>Singel 47</v>
      </c>
      <c r="B3741" t="s">
        <v>644</v>
      </c>
      <c r="C3741" t="s">
        <v>296</v>
      </c>
      <c r="D3741">
        <v>1974</v>
      </c>
      <c r="E3741">
        <v>48</v>
      </c>
      <c r="F3741" t="s">
        <v>641</v>
      </c>
      <c r="G3741">
        <v>47</v>
      </c>
    </row>
    <row r="3742" spans="1:7">
      <c r="A3742" t="str">
        <f t="shared" si="58"/>
        <v>Singel 48</v>
      </c>
      <c r="B3742" t="s">
        <v>644</v>
      </c>
      <c r="C3742" t="s">
        <v>296</v>
      </c>
      <c r="D3742">
        <v>1974</v>
      </c>
      <c r="E3742">
        <v>85</v>
      </c>
      <c r="F3742" t="s">
        <v>641</v>
      </c>
      <c r="G3742">
        <v>48</v>
      </c>
    </row>
    <row r="3743" spans="1:7">
      <c r="A3743" t="str">
        <f t="shared" si="58"/>
        <v>Singel 49</v>
      </c>
      <c r="B3743" t="s">
        <v>644</v>
      </c>
      <c r="C3743" t="s">
        <v>296</v>
      </c>
      <c r="D3743">
        <v>1974</v>
      </c>
      <c r="E3743">
        <v>85</v>
      </c>
      <c r="F3743" t="s">
        <v>641</v>
      </c>
      <c r="G3743">
        <v>49</v>
      </c>
    </row>
    <row r="3744" spans="1:7">
      <c r="A3744" t="str">
        <f t="shared" si="58"/>
        <v>Singel 50</v>
      </c>
      <c r="B3744" t="s">
        <v>644</v>
      </c>
      <c r="C3744" t="s">
        <v>296</v>
      </c>
      <c r="D3744">
        <v>1974</v>
      </c>
      <c r="E3744">
        <v>85</v>
      </c>
      <c r="F3744" t="s">
        <v>641</v>
      </c>
      <c r="G3744">
        <v>50</v>
      </c>
    </row>
    <row r="3745" spans="1:8">
      <c r="A3745" t="str">
        <f t="shared" si="58"/>
        <v>Singel 51</v>
      </c>
      <c r="B3745" t="s">
        <v>644</v>
      </c>
      <c r="C3745" t="s">
        <v>296</v>
      </c>
      <c r="D3745">
        <v>1974</v>
      </c>
      <c r="E3745">
        <v>85</v>
      </c>
      <c r="F3745" t="s">
        <v>641</v>
      </c>
      <c r="G3745">
        <v>51</v>
      </c>
    </row>
    <row r="3746" spans="1:8">
      <c r="A3746" t="str">
        <f t="shared" si="58"/>
        <v>Singel 53</v>
      </c>
      <c r="B3746" t="s">
        <v>644</v>
      </c>
      <c r="C3746" t="s">
        <v>296</v>
      </c>
      <c r="D3746">
        <v>1974</v>
      </c>
      <c r="E3746">
        <v>85</v>
      </c>
      <c r="F3746" t="s">
        <v>641</v>
      </c>
      <c r="G3746">
        <v>53</v>
      </c>
    </row>
    <row r="3747" spans="1:8">
      <c r="A3747" t="str">
        <f t="shared" si="58"/>
        <v>Singel 54</v>
      </c>
      <c r="B3747" t="s">
        <v>644</v>
      </c>
      <c r="C3747" t="s">
        <v>296</v>
      </c>
      <c r="D3747">
        <v>1974</v>
      </c>
      <c r="E3747">
        <v>85</v>
      </c>
      <c r="F3747" t="s">
        <v>641</v>
      </c>
      <c r="G3747">
        <v>54</v>
      </c>
    </row>
    <row r="3748" spans="1:8">
      <c r="A3748" t="str">
        <f t="shared" si="58"/>
        <v>Singel 55</v>
      </c>
      <c r="B3748" t="s">
        <v>644</v>
      </c>
      <c r="C3748" t="s">
        <v>296</v>
      </c>
      <c r="D3748">
        <v>1974</v>
      </c>
      <c r="E3748">
        <v>85</v>
      </c>
      <c r="F3748" t="s">
        <v>641</v>
      </c>
      <c r="G3748">
        <v>55</v>
      </c>
    </row>
    <row r="3749" spans="1:8">
      <c r="A3749" t="str">
        <f t="shared" si="58"/>
        <v>Singel 56</v>
      </c>
      <c r="B3749" t="s">
        <v>644</v>
      </c>
      <c r="C3749" t="s">
        <v>296</v>
      </c>
      <c r="D3749">
        <v>1974</v>
      </c>
      <c r="E3749">
        <v>85</v>
      </c>
      <c r="F3749" t="s">
        <v>641</v>
      </c>
      <c r="G3749">
        <v>56</v>
      </c>
    </row>
    <row r="3750" spans="1:8">
      <c r="A3750" t="str">
        <f t="shared" si="58"/>
        <v>Singel 57a</v>
      </c>
      <c r="B3750" t="s">
        <v>644</v>
      </c>
      <c r="C3750" t="s">
        <v>296</v>
      </c>
      <c r="D3750">
        <v>1972</v>
      </c>
      <c r="E3750">
        <v>18</v>
      </c>
      <c r="F3750" t="s">
        <v>641</v>
      </c>
      <c r="G3750">
        <v>57</v>
      </c>
      <c r="H3750" t="s">
        <v>304</v>
      </c>
    </row>
    <row r="3751" spans="1:8">
      <c r="A3751" t="str">
        <f t="shared" si="58"/>
        <v>Singel 57b</v>
      </c>
      <c r="B3751" t="s">
        <v>644</v>
      </c>
      <c r="C3751" t="s">
        <v>296</v>
      </c>
      <c r="D3751">
        <v>1972</v>
      </c>
      <c r="E3751">
        <v>17</v>
      </c>
      <c r="F3751" t="s">
        <v>641</v>
      </c>
      <c r="G3751">
        <v>57</v>
      </c>
      <c r="H3751" t="s">
        <v>298</v>
      </c>
    </row>
    <row r="3752" spans="1:8">
      <c r="A3752" t="str">
        <f t="shared" si="58"/>
        <v>Singel 57c</v>
      </c>
      <c r="B3752" t="s">
        <v>644</v>
      </c>
      <c r="C3752" t="s">
        <v>296</v>
      </c>
      <c r="D3752">
        <v>1972</v>
      </c>
      <c r="E3752">
        <v>17</v>
      </c>
      <c r="F3752" t="s">
        <v>641</v>
      </c>
      <c r="G3752">
        <v>57</v>
      </c>
      <c r="H3752" t="s">
        <v>299</v>
      </c>
    </row>
    <row r="3753" spans="1:8">
      <c r="A3753" t="str">
        <f t="shared" si="58"/>
        <v>Singel 57d</v>
      </c>
      <c r="B3753" t="s">
        <v>644</v>
      </c>
      <c r="C3753" t="s">
        <v>296</v>
      </c>
      <c r="D3753">
        <v>1972</v>
      </c>
      <c r="E3753">
        <v>18</v>
      </c>
      <c r="F3753" t="s">
        <v>641</v>
      </c>
      <c r="G3753">
        <v>57</v>
      </c>
      <c r="H3753" t="s">
        <v>300</v>
      </c>
    </row>
    <row r="3754" spans="1:8">
      <c r="A3754" t="str">
        <f t="shared" si="58"/>
        <v>Singel 57e</v>
      </c>
      <c r="B3754" t="s">
        <v>644</v>
      </c>
      <c r="C3754" t="s">
        <v>296</v>
      </c>
      <c r="D3754">
        <v>1972</v>
      </c>
      <c r="E3754">
        <v>16</v>
      </c>
      <c r="F3754" t="s">
        <v>641</v>
      </c>
      <c r="G3754">
        <v>57</v>
      </c>
      <c r="H3754" t="s">
        <v>319</v>
      </c>
    </row>
    <row r="3755" spans="1:8">
      <c r="A3755" t="str">
        <f t="shared" si="58"/>
        <v>Singel 57f</v>
      </c>
      <c r="B3755" t="s">
        <v>644</v>
      </c>
      <c r="C3755" t="s">
        <v>296</v>
      </c>
      <c r="D3755">
        <v>1972</v>
      </c>
      <c r="E3755">
        <v>20</v>
      </c>
      <c r="F3755" t="s">
        <v>641</v>
      </c>
      <c r="G3755">
        <v>57</v>
      </c>
      <c r="H3755" t="s">
        <v>329</v>
      </c>
    </row>
    <row r="3756" spans="1:8">
      <c r="A3756" t="str">
        <f t="shared" si="58"/>
        <v>Singel 57g</v>
      </c>
      <c r="C3756" t="s">
        <v>296</v>
      </c>
      <c r="D3756">
        <v>2016</v>
      </c>
      <c r="E3756">
        <v>2</v>
      </c>
      <c r="F3756" t="s">
        <v>641</v>
      </c>
      <c r="G3756">
        <v>57</v>
      </c>
      <c r="H3756" t="s">
        <v>330</v>
      </c>
    </row>
    <row r="3757" spans="1:8">
      <c r="A3757" t="str">
        <f t="shared" si="58"/>
        <v>Singel 57</v>
      </c>
      <c r="B3757" t="s">
        <v>644</v>
      </c>
      <c r="C3757" t="s">
        <v>296</v>
      </c>
      <c r="D3757">
        <v>1980</v>
      </c>
      <c r="E3757">
        <v>121</v>
      </c>
      <c r="F3757" t="s">
        <v>641</v>
      </c>
      <c r="G3757">
        <v>57</v>
      </c>
    </row>
    <row r="3758" spans="1:8">
      <c r="A3758" t="str">
        <f t="shared" si="58"/>
        <v>Singel 59</v>
      </c>
      <c r="B3758" t="s">
        <v>644</v>
      </c>
      <c r="C3758" t="s">
        <v>296</v>
      </c>
      <c r="D3758">
        <v>1980</v>
      </c>
      <c r="E3758">
        <v>121</v>
      </c>
      <c r="F3758" t="s">
        <v>641</v>
      </c>
      <c r="G3758">
        <v>59</v>
      </c>
    </row>
    <row r="3759" spans="1:8">
      <c r="A3759" t="str">
        <f t="shared" si="58"/>
        <v>Singel 61</v>
      </c>
      <c r="B3759" t="s">
        <v>644</v>
      </c>
      <c r="C3759" t="s">
        <v>296</v>
      </c>
      <c r="D3759">
        <v>1980</v>
      </c>
      <c r="E3759">
        <v>121</v>
      </c>
      <c r="F3759" t="s">
        <v>641</v>
      </c>
      <c r="G3759">
        <v>61</v>
      </c>
    </row>
    <row r="3760" spans="1:8">
      <c r="A3760" t="str">
        <f t="shared" si="58"/>
        <v>Singel 63</v>
      </c>
      <c r="B3760" t="s">
        <v>644</v>
      </c>
      <c r="C3760" t="s">
        <v>296</v>
      </c>
      <c r="D3760">
        <v>1980</v>
      </c>
      <c r="E3760">
        <v>121</v>
      </c>
      <c r="F3760" t="s">
        <v>641</v>
      </c>
      <c r="G3760">
        <v>63</v>
      </c>
    </row>
    <row r="3761" spans="1:8">
      <c r="A3761" t="str">
        <f t="shared" si="58"/>
        <v>Singel 65</v>
      </c>
      <c r="B3761" t="s">
        <v>644</v>
      </c>
      <c r="C3761" t="s">
        <v>296</v>
      </c>
      <c r="D3761">
        <v>1980</v>
      </c>
      <c r="E3761">
        <v>121</v>
      </c>
      <c r="F3761" t="s">
        <v>641</v>
      </c>
      <c r="G3761">
        <v>65</v>
      </c>
    </row>
    <row r="3762" spans="1:8">
      <c r="A3762" t="str">
        <f t="shared" si="58"/>
        <v>Singel 67</v>
      </c>
      <c r="B3762" t="s">
        <v>644</v>
      </c>
      <c r="C3762" t="s">
        <v>296</v>
      </c>
      <c r="D3762">
        <v>1980</v>
      </c>
      <c r="E3762">
        <v>120</v>
      </c>
      <c r="F3762" t="s">
        <v>641</v>
      </c>
      <c r="G3762">
        <v>67</v>
      </c>
    </row>
    <row r="3763" spans="1:8">
      <c r="A3763" t="str">
        <f t="shared" si="58"/>
        <v>Singel 69</v>
      </c>
      <c r="B3763" t="s">
        <v>644</v>
      </c>
      <c r="C3763" t="s">
        <v>296</v>
      </c>
      <c r="D3763">
        <v>1980</v>
      </c>
      <c r="E3763">
        <v>121</v>
      </c>
      <c r="F3763" t="s">
        <v>641</v>
      </c>
      <c r="G3763">
        <v>69</v>
      </c>
    </row>
    <row r="3764" spans="1:8">
      <c r="A3764" t="str">
        <f t="shared" si="58"/>
        <v>Singel 71a</v>
      </c>
      <c r="B3764" t="s">
        <v>644</v>
      </c>
      <c r="C3764" t="s">
        <v>296</v>
      </c>
      <c r="D3764">
        <v>1972</v>
      </c>
      <c r="E3764">
        <v>18</v>
      </c>
      <c r="F3764" t="s">
        <v>641</v>
      </c>
      <c r="G3764">
        <v>71</v>
      </c>
      <c r="H3764" t="s">
        <v>304</v>
      </c>
    </row>
    <row r="3765" spans="1:8">
      <c r="A3765" t="str">
        <f t="shared" si="58"/>
        <v>Singel 71b</v>
      </c>
      <c r="B3765" t="s">
        <v>644</v>
      </c>
      <c r="C3765" t="s">
        <v>296</v>
      </c>
      <c r="D3765">
        <v>1972</v>
      </c>
      <c r="E3765">
        <v>18</v>
      </c>
      <c r="F3765" t="s">
        <v>641</v>
      </c>
      <c r="G3765">
        <v>71</v>
      </c>
      <c r="H3765" t="s">
        <v>298</v>
      </c>
    </row>
    <row r="3766" spans="1:8">
      <c r="A3766" t="str">
        <f t="shared" si="58"/>
        <v>Singel 71c</v>
      </c>
      <c r="B3766" t="s">
        <v>644</v>
      </c>
      <c r="C3766" t="s">
        <v>296</v>
      </c>
      <c r="D3766">
        <v>1972</v>
      </c>
      <c r="E3766">
        <v>16</v>
      </c>
      <c r="F3766" t="s">
        <v>641</v>
      </c>
      <c r="G3766">
        <v>71</v>
      </c>
      <c r="H3766" t="s">
        <v>299</v>
      </c>
    </row>
    <row r="3767" spans="1:8">
      <c r="A3767" t="str">
        <f t="shared" si="58"/>
        <v>Singel 71d</v>
      </c>
      <c r="B3767" t="s">
        <v>644</v>
      </c>
      <c r="C3767" t="s">
        <v>296</v>
      </c>
      <c r="D3767">
        <v>1972</v>
      </c>
      <c r="E3767">
        <v>18</v>
      </c>
      <c r="F3767" t="s">
        <v>641</v>
      </c>
      <c r="G3767">
        <v>71</v>
      </c>
      <c r="H3767" t="s">
        <v>300</v>
      </c>
    </row>
    <row r="3768" spans="1:8">
      <c r="A3768" t="str">
        <f t="shared" si="58"/>
        <v>Singel 71e</v>
      </c>
      <c r="B3768" t="s">
        <v>644</v>
      </c>
      <c r="C3768" t="s">
        <v>296</v>
      </c>
      <c r="D3768">
        <v>1972</v>
      </c>
      <c r="E3768">
        <v>18</v>
      </c>
      <c r="F3768" t="s">
        <v>641</v>
      </c>
      <c r="G3768">
        <v>71</v>
      </c>
      <c r="H3768" t="s">
        <v>319</v>
      </c>
    </row>
    <row r="3769" spans="1:8">
      <c r="A3769" t="str">
        <f t="shared" si="58"/>
        <v>Singel 71f</v>
      </c>
      <c r="B3769" t="s">
        <v>644</v>
      </c>
      <c r="C3769" t="s">
        <v>296</v>
      </c>
      <c r="D3769">
        <v>1972</v>
      </c>
      <c r="E3769">
        <v>18</v>
      </c>
      <c r="F3769" t="s">
        <v>641</v>
      </c>
      <c r="G3769">
        <v>71</v>
      </c>
      <c r="H3769" t="s">
        <v>329</v>
      </c>
    </row>
    <row r="3770" spans="1:8">
      <c r="A3770" t="str">
        <f t="shared" si="58"/>
        <v>Singel 71</v>
      </c>
      <c r="B3770" t="s">
        <v>644</v>
      </c>
      <c r="C3770" t="s">
        <v>296</v>
      </c>
      <c r="D3770">
        <v>1980</v>
      </c>
      <c r="E3770">
        <v>121</v>
      </c>
      <c r="F3770" t="s">
        <v>641</v>
      </c>
      <c r="G3770">
        <v>71</v>
      </c>
    </row>
    <row r="3771" spans="1:8">
      <c r="A3771" t="str">
        <f t="shared" si="58"/>
        <v>Singel 73</v>
      </c>
      <c r="B3771" t="s">
        <v>644</v>
      </c>
      <c r="C3771" t="s">
        <v>296</v>
      </c>
      <c r="D3771">
        <v>1980</v>
      </c>
      <c r="E3771">
        <v>121</v>
      </c>
      <c r="F3771" t="s">
        <v>641</v>
      </c>
      <c r="G3771">
        <v>73</v>
      </c>
    </row>
    <row r="3772" spans="1:8">
      <c r="A3772" t="str">
        <f t="shared" si="58"/>
        <v>Singel 75</v>
      </c>
      <c r="B3772" t="s">
        <v>644</v>
      </c>
      <c r="C3772" t="s">
        <v>296</v>
      </c>
      <c r="D3772">
        <v>1980</v>
      </c>
      <c r="E3772">
        <v>121</v>
      </c>
      <c r="F3772" t="s">
        <v>641</v>
      </c>
      <c r="G3772">
        <v>75</v>
      </c>
    </row>
    <row r="3773" spans="1:8">
      <c r="A3773" t="str">
        <f t="shared" si="58"/>
        <v>Singel 77</v>
      </c>
      <c r="B3773" t="s">
        <v>644</v>
      </c>
      <c r="C3773" t="s">
        <v>296</v>
      </c>
      <c r="D3773">
        <v>1980</v>
      </c>
      <c r="E3773">
        <v>121</v>
      </c>
      <c r="F3773" t="s">
        <v>641</v>
      </c>
      <c r="G3773">
        <v>77</v>
      </c>
    </row>
    <row r="3774" spans="1:8">
      <c r="A3774" t="str">
        <f t="shared" si="58"/>
        <v>Singel 79</v>
      </c>
      <c r="B3774" t="s">
        <v>644</v>
      </c>
      <c r="C3774" t="s">
        <v>296</v>
      </c>
      <c r="D3774">
        <v>1980</v>
      </c>
      <c r="E3774">
        <v>166</v>
      </c>
      <c r="F3774" t="s">
        <v>641</v>
      </c>
      <c r="G3774">
        <v>79</v>
      </c>
    </row>
    <row r="3775" spans="1:8">
      <c r="A3775" t="str">
        <f t="shared" si="58"/>
        <v>Singel 81</v>
      </c>
      <c r="B3775" t="s">
        <v>644</v>
      </c>
      <c r="C3775" t="s">
        <v>296</v>
      </c>
      <c r="D3775">
        <v>1980</v>
      </c>
      <c r="E3775">
        <v>130</v>
      </c>
      <c r="F3775" t="s">
        <v>641</v>
      </c>
      <c r="G3775">
        <v>81</v>
      </c>
    </row>
    <row r="3776" spans="1:8">
      <c r="A3776" t="str">
        <f t="shared" si="58"/>
        <v>Singel 83</v>
      </c>
      <c r="B3776" t="s">
        <v>644</v>
      </c>
      <c r="C3776" t="s">
        <v>296</v>
      </c>
      <c r="D3776">
        <v>1980</v>
      </c>
      <c r="E3776">
        <v>131</v>
      </c>
      <c r="F3776" t="s">
        <v>641</v>
      </c>
      <c r="G3776">
        <v>83</v>
      </c>
    </row>
    <row r="3777" spans="1:8">
      <c r="A3777" t="str">
        <f t="shared" si="58"/>
        <v>Singel 84</v>
      </c>
      <c r="B3777" t="s">
        <v>645</v>
      </c>
      <c r="C3777" t="s">
        <v>296</v>
      </c>
      <c r="D3777">
        <v>1990</v>
      </c>
      <c r="E3777">
        <v>139</v>
      </c>
      <c r="F3777" t="s">
        <v>641</v>
      </c>
      <c r="G3777">
        <v>84</v>
      </c>
    </row>
    <row r="3778" spans="1:8">
      <c r="A3778" t="str">
        <f t="shared" ref="A3778:A3841" si="59">CONCATENATE(F3778," ",G3778,H3778)</f>
        <v>Singel 85</v>
      </c>
      <c r="B3778" t="s">
        <v>644</v>
      </c>
      <c r="C3778" t="s">
        <v>296</v>
      </c>
      <c r="D3778">
        <v>1980</v>
      </c>
      <c r="E3778">
        <v>134</v>
      </c>
      <c r="F3778" t="s">
        <v>641</v>
      </c>
      <c r="G3778">
        <v>85</v>
      </c>
    </row>
    <row r="3779" spans="1:8">
      <c r="A3779" t="str">
        <f t="shared" si="59"/>
        <v>Singel 86</v>
      </c>
      <c r="B3779" t="s">
        <v>645</v>
      </c>
      <c r="C3779" t="s">
        <v>296</v>
      </c>
      <c r="D3779">
        <v>1990</v>
      </c>
      <c r="E3779">
        <v>162</v>
      </c>
      <c r="F3779" t="s">
        <v>641</v>
      </c>
      <c r="G3779">
        <v>86</v>
      </c>
    </row>
    <row r="3780" spans="1:8">
      <c r="A3780" t="str">
        <f t="shared" si="59"/>
        <v>Singel 87</v>
      </c>
      <c r="B3780" t="s">
        <v>644</v>
      </c>
      <c r="C3780" t="s">
        <v>296</v>
      </c>
      <c r="D3780">
        <v>1980</v>
      </c>
      <c r="E3780">
        <v>125</v>
      </c>
      <c r="F3780" t="s">
        <v>641</v>
      </c>
      <c r="G3780">
        <v>87</v>
      </c>
    </row>
    <row r="3781" spans="1:8">
      <c r="A3781" t="str">
        <f t="shared" si="59"/>
        <v>Singel 88</v>
      </c>
      <c r="B3781" t="s">
        <v>645</v>
      </c>
      <c r="C3781" t="s">
        <v>296</v>
      </c>
      <c r="D3781">
        <v>1990</v>
      </c>
      <c r="E3781">
        <v>187</v>
      </c>
      <c r="F3781" t="s">
        <v>641</v>
      </c>
      <c r="G3781">
        <v>88</v>
      </c>
    </row>
    <row r="3782" spans="1:8">
      <c r="A3782" t="str">
        <f t="shared" si="59"/>
        <v>Singel 89</v>
      </c>
      <c r="B3782" t="s">
        <v>644</v>
      </c>
      <c r="C3782" t="s">
        <v>296</v>
      </c>
      <c r="D3782">
        <v>1980</v>
      </c>
      <c r="E3782">
        <v>121</v>
      </c>
      <c r="F3782" t="s">
        <v>641</v>
      </c>
      <c r="G3782">
        <v>89</v>
      </c>
    </row>
    <row r="3783" spans="1:8">
      <c r="A3783" t="str">
        <f t="shared" si="59"/>
        <v>Singel 90</v>
      </c>
      <c r="B3783" t="s">
        <v>645</v>
      </c>
      <c r="C3783" t="s">
        <v>296</v>
      </c>
      <c r="D3783">
        <v>1968</v>
      </c>
      <c r="E3783">
        <v>140</v>
      </c>
      <c r="F3783" t="s">
        <v>641</v>
      </c>
      <c r="G3783">
        <v>90</v>
      </c>
    </row>
    <row r="3784" spans="1:8">
      <c r="A3784" t="str">
        <f t="shared" si="59"/>
        <v>Singel 91</v>
      </c>
      <c r="B3784" t="s">
        <v>644</v>
      </c>
      <c r="C3784" t="s">
        <v>296</v>
      </c>
      <c r="D3784">
        <v>1980</v>
      </c>
      <c r="E3784">
        <v>121</v>
      </c>
      <c r="F3784" t="s">
        <v>641</v>
      </c>
      <c r="G3784">
        <v>91</v>
      </c>
    </row>
    <row r="3785" spans="1:8">
      <c r="A3785" t="str">
        <f t="shared" si="59"/>
        <v>Singel 92</v>
      </c>
      <c r="B3785" t="s">
        <v>645</v>
      </c>
      <c r="C3785" t="s">
        <v>296</v>
      </c>
      <c r="D3785">
        <v>1968</v>
      </c>
      <c r="E3785">
        <v>167</v>
      </c>
      <c r="F3785" t="s">
        <v>641</v>
      </c>
      <c r="G3785">
        <v>92</v>
      </c>
    </row>
    <row r="3786" spans="1:8">
      <c r="A3786" t="str">
        <f t="shared" si="59"/>
        <v>Singel 93</v>
      </c>
      <c r="B3786" t="s">
        <v>644</v>
      </c>
      <c r="C3786" t="s">
        <v>296</v>
      </c>
      <c r="D3786">
        <v>1980</v>
      </c>
      <c r="E3786">
        <v>121</v>
      </c>
      <c r="F3786" t="s">
        <v>641</v>
      </c>
      <c r="G3786">
        <v>93</v>
      </c>
    </row>
    <row r="3787" spans="1:8">
      <c r="A3787" t="str">
        <f t="shared" si="59"/>
        <v>Singel 94</v>
      </c>
      <c r="B3787" t="s">
        <v>645</v>
      </c>
      <c r="C3787" t="s">
        <v>296</v>
      </c>
      <c r="D3787">
        <v>1968</v>
      </c>
      <c r="E3787">
        <v>174</v>
      </c>
      <c r="F3787" t="s">
        <v>641</v>
      </c>
      <c r="G3787">
        <v>94</v>
      </c>
    </row>
    <row r="3788" spans="1:8">
      <c r="A3788" t="str">
        <f t="shared" si="59"/>
        <v>Singel 95a</v>
      </c>
      <c r="B3788" t="s">
        <v>644</v>
      </c>
      <c r="C3788" t="s">
        <v>296</v>
      </c>
      <c r="D3788">
        <v>1972</v>
      </c>
      <c r="E3788">
        <v>19</v>
      </c>
      <c r="F3788" t="s">
        <v>641</v>
      </c>
      <c r="G3788">
        <v>95</v>
      </c>
      <c r="H3788" t="s">
        <v>304</v>
      </c>
    </row>
    <row r="3789" spans="1:8">
      <c r="A3789" t="str">
        <f t="shared" si="59"/>
        <v>Singel 95b</v>
      </c>
      <c r="B3789" t="s">
        <v>644</v>
      </c>
      <c r="C3789" t="s">
        <v>296</v>
      </c>
      <c r="D3789">
        <v>1972</v>
      </c>
      <c r="E3789">
        <v>16</v>
      </c>
      <c r="F3789" t="s">
        <v>641</v>
      </c>
      <c r="G3789">
        <v>95</v>
      </c>
      <c r="H3789" t="s">
        <v>298</v>
      </c>
    </row>
    <row r="3790" spans="1:8">
      <c r="A3790" t="str">
        <f t="shared" si="59"/>
        <v>Singel 95c</v>
      </c>
      <c r="B3790" t="s">
        <v>644</v>
      </c>
      <c r="C3790" t="s">
        <v>296</v>
      </c>
      <c r="D3790">
        <v>1972</v>
      </c>
      <c r="E3790">
        <v>17</v>
      </c>
      <c r="F3790" t="s">
        <v>641</v>
      </c>
      <c r="G3790">
        <v>95</v>
      </c>
      <c r="H3790" t="s">
        <v>299</v>
      </c>
    </row>
    <row r="3791" spans="1:8">
      <c r="A3791" t="str">
        <f t="shared" si="59"/>
        <v>Singel 95d</v>
      </c>
      <c r="B3791" t="s">
        <v>644</v>
      </c>
      <c r="C3791" t="s">
        <v>296</v>
      </c>
      <c r="D3791">
        <v>1972</v>
      </c>
      <c r="E3791">
        <v>18</v>
      </c>
      <c r="F3791" t="s">
        <v>641</v>
      </c>
      <c r="G3791">
        <v>95</v>
      </c>
      <c r="H3791" t="s">
        <v>300</v>
      </c>
    </row>
    <row r="3792" spans="1:8">
      <c r="A3792" t="str">
        <f t="shared" si="59"/>
        <v>Singel 95e</v>
      </c>
      <c r="B3792" t="s">
        <v>644</v>
      </c>
      <c r="C3792" t="s">
        <v>296</v>
      </c>
      <c r="D3792">
        <v>1972</v>
      </c>
      <c r="E3792">
        <v>18</v>
      </c>
      <c r="F3792" t="s">
        <v>641</v>
      </c>
      <c r="G3792">
        <v>95</v>
      </c>
      <c r="H3792" t="s">
        <v>319</v>
      </c>
    </row>
    <row r="3793" spans="1:8">
      <c r="A3793" t="str">
        <f t="shared" si="59"/>
        <v>Singel 95f</v>
      </c>
      <c r="B3793" t="s">
        <v>644</v>
      </c>
      <c r="C3793" t="s">
        <v>296</v>
      </c>
      <c r="D3793">
        <v>1972</v>
      </c>
      <c r="E3793">
        <v>19</v>
      </c>
      <c r="F3793" t="s">
        <v>641</v>
      </c>
      <c r="G3793">
        <v>95</v>
      </c>
      <c r="H3793" t="s">
        <v>329</v>
      </c>
    </row>
    <row r="3794" spans="1:8">
      <c r="A3794" t="str">
        <f t="shared" si="59"/>
        <v>Singel 95</v>
      </c>
      <c r="B3794" t="s">
        <v>644</v>
      </c>
      <c r="C3794" t="s">
        <v>296</v>
      </c>
      <c r="D3794">
        <v>1980</v>
      </c>
      <c r="E3794">
        <v>122</v>
      </c>
      <c r="F3794" t="s">
        <v>641</v>
      </c>
      <c r="G3794">
        <v>95</v>
      </c>
    </row>
    <row r="3795" spans="1:8">
      <c r="A3795" t="str">
        <f t="shared" si="59"/>
        <v>Singel 96</v>
      </c>
      <c r="B3795" t="s">
        <v>645</v>
      </c>
      <c r="C3795" t="s">
        <v>296</v>
      </c>
      <c r="D3795">
        <v>1968</v>
      </c>
      <c r="E3795">
        <v>162</v>
      </c>
      <c r="F3795" t="s">
        <v>641</v>
      </c>
      <c r="G3795">
        <v>96</v>
      </c>
    </row>
    <row r="3796" spans="1:8">
      <c r="A3796" t="str">
        <f t="shared" si="59"/>
        <v>Singel 98</v>
      </c>
      <c r="B3796" t="s">
        <v>645</v>
      </c>
      <c r="C3796" t="s">
        <v>296</v>
      </c>
      <c r="D3796">
        <v>1970</v>
      </c>
      <c r="E3796">
        <v>121</v>
      </c>
      <c r="F3796" t="s">
        <v>641</v>
      </c>
      <c r="G3796">
        <v>98</v>
      </c>
    </row>
    <row r="3797" spans="1:8">
      <c r="A3797" t="str">
        <f t="shared" si="59"/>
        <v>Singel 100</v>
      </c>
      <c r="B3797" t="s">
        <v>645</v>
      </c>
      <c r="C3797" t="s">
        <v>296</v>
      </c>
      <c r="D3797">
        <v>1970</v>
      </c>
      <c r="E3797">
        <v>167</v>
      </c>
      <c r="F3797" t="s">
        <v>641</v>
      </c>
      <c r="G3797">
        <v>100</v>
      </c>
    </row>
    <row r="3798" spans="1:8">
      <c r="A3798" t="str">
        <f t="shared" si="59"/>
        <v>Singel 102</v>
      </c>
      <c r="B3798" t="s">
        <v>645</v>
      </c>
      <c r="C3798" t="s">
        <v>296</v>
      </c>
      <c r="D3798">
        <v>1970</v>
      </c>
      <c r="E3798">
        <v>121</v>
      </c>
      <c r="F3798" t="s">
        <v>641</v>
      </c>
      <c r="G3798">
        <v>102</v>
      </c>
    </row>
    <row r="3799" spans="1:8">
      <c r="A3799" t="str">
        <f t="shared" si="59"/>
        <v>Singel 104</v>
      </c>
      <c r="B3799" t="s">
        <v>645</v>
      </c>
      <c r="C3799" t="s">
        <v>296</v>
      </c>
      <c r="D3799">
        <v>1970</v>
      </c>
      <c r="E3799">
        <v>144</v>
      </c>
      <c r="F3799" t="s">
        <v>641</v>
      </c>
      <c r="G3799">
        <v>104</v>
      </c>
    </row>
    <row r="3800" spans="1:8">
      <c r="A3800" t="str">
        <f t="shared" si="59"/>
        <v>Singel 106</v>
      </c>
      <c r="B3800" t="s">
        <v>645</v>
      </c>
      <c r="C3800" t="s">
        <v>296</v>
      </c>
      <c r="D3800">
        <v>1970</v>
      </c>
      <c r="E3800">
        <v>121</v>
      </c>
      <c r="F3800" t="s">
        <v>641</v>
      </c>
      <c r="G3800">
        <v>106</v>
      </c>
    </row>
    <row r="3801" spans="1:8">
      <c r="A3801" t="str">
        <f t="shared" si="59"/>
        <v>Singel 108</v>
      </c>
      <c r="B3801" t="s">
        <v>645</v>
      </c>
      <c r="C3801" t="s">
        <v>296</v>
      </c>
      <c r="D3801">
        <v>1970</v>
      </c>
      <c r="E3801">
        <v>168</v>
      </c>
      <c r="F3801" t="s">
        <v>641</v>
      </c>
      <c r="G3801">
        <v>108</v>
      </c>
    </row>
    <row r="3802" spans="1:8">
      <c r="A3802" t="str">
        <f t="shared" si="59"/>
        <v>Singel 110</v>
      </c>
      <c r="B3802" t="s">
        <v>645</v>
      </c>
      <c r="C3802" t="s">
        <v>296</v>
      </c>
      <c r="D3802">
        <v>1970</v>
      </c>
      <c r="E3802">
        <v>133</v>
      </c>
      <c r="F3802" t="s">
        <v>641</v>
      </c>
      <c r="G3802">
        <v>110</v>
      </c>
    </row>
    <row r="3803" spans="1:8">
      <c r="A3803" t="str">
        <f t="shared" si="59"/>
        <v>Singel 112</v>
      </c>
      <c r="B3803" t="s">
        <v>645</v>
      </c>
      <c r="C3803" t="s">
        <v>296</v>
      </c>
      <c r="D3803">
        <v>1970</v>
      </c>
      <c r="E3803">
        <v>121</v>
      </c>
      <c r="F3803" t="s">
        <v>641</v>
      </c>
      <c r="G3803">
        <v>112</v>
      </c>
    </row>
    <row r="3804" spans="1:8">
      <c r="A3804" t="str">
        <f t="shared" si="59"/>
        <v>Singel 114</v>
      </c>
      <c r="B3804" t="s">
        <v>645</v>
      </c>
      <c r="C3804" t="s">
        <v>296</v>
      </c>
      <c r="D3804">
        <v>1970</v>
      </c>
      <c r="E3804">
        <v>154</v>
      </c>
      <c r="F3804" t="s">
        <v>641</v>
      </c>
      <c r="G3804">
        <v>114</v>
      </c>
    </row>
    <row r="3805" spans="1:8">
      <c r="A3805" t="str">
        <f t="shared" si="59"/>
        <v>Singel 116</v>
      </c>
      <c r="B3805" t="s">
        <v>645</v>
      </c>
      <c r="C3805" t="s">
        <v>296</v>
      </c>
      <c r="D3805">
        <v>1970</v>
      </c>
      <c r="E3805">
        <v>143</v>
      </c>
      <c r="F3805" t="s">
        <v>641</v>
      </c>
      <c r="G3805">
        <v>116</v>
      </c>
    </row>
    <row r="3806" spans="1:8">
      <c r="A3806" t="str">
        <f t="shared" si="59"/>
        <v>Singel 118</v>
      </c>
      <c r="B3806" t="s">
        <v>645</v>
      </c>
      <c r="C3806" t="s">
        <v>296</v>
      </c>
      <c r="D3806">
        <v>1970</v>
      </c>
      <c r="E3806">
        <v>121</v>
      </c>
      <c r="F3806" t="s">
        <v>641</v>
      </c>
      <c r="G3806">
        <v>118</v>
      </c>
    </row>
    <row r="3807" spans="1:8">
      <c r="A3807" t="str">
        <f t="shared" si="59"/>
        <v>Singel 120</v>
      </c>
      <c r="B3807" t="s">
        <v>645</v>
      </c>
      <c r="C3807" t="s">
        <v>296</v>
      </c>
      <c r="D3807">
        <v>1970</v>
      </c>
      <c r="E3807">
        <v>169</v>
      </c>
      <c r="F3807" t="s">
        <v>641</v>
      </c>
      <c r="G3807">
        <v>120</v>
      </c>
    </row>
    <row r="3808" spans="1:8">
      <c r="A3808" t="str">
        <f t="shared" si="59"/>
        <v>Singel 122</v>
      </c>
      <c r="B3808" t="s">
        <v>645</v>
      </c>
      <c r="C3808" t="s">
        <v>296</v>
      </c>
      <c r="D3808">
        <v>1986</v>
      </c>
      <c r="E3808">
        <v>145</v>
      </c>
      <c r="F3808" t="s">
        <v>641</v>
      </c>
      <c r="G3808">
        <v>122</v>
      </c>
    </row>
    <row r="3809" spans="1:7">
      <c r="A3809" t="str">
        <f t="shared" si="59"/>
        <v>Singel 124</v>
      </c>
      <c r="B3809" t="s">
        <v>645</v>
      </c>
      <c r="C3809" t="s">
        <v>296</v>
      </c>
      <c r="D3809">
        <v>1985</v>
      </c>
      <c r="E3809">
        <v>2907</v>
      </c>
      <c r="F3809" t="s">
        <v>641</v>
      </c>
      <c r="G3809">
        <v>124</v>
      </c>
    </row>
    <row r="3810" spans="1:7">
      <c r="A3810" t="str">
        <f t="shared" si="59"/>
        <v>Singel 126</v>
      </c>
      <c r="B3810" t="s">
        <v>645</v>
      </c>
      <c r="C3810" t="s">
        <v>296</v>
      </c>
      <c r="D3810">
        <v>1986</v>
      </c>
      <c r="E3810">
        <v>177</v>
      </c>
      <c r="F3810" t="s">
        <v>641</v>
      </c>
      <c r="G3810">
        <v>126</v>
      </c>
    </row>
    <row r="3811" spans="1:7">
      <c r="A3811" t="str">
        <f t="shared" si="59"/>
        <v>Singel 128</v>
      </c>
      <c r="B3811" t="s">
        <v>645</v>
      </c>
      <c r="C3811" t="s">
        <v>296</v>
      </c>
      <c r="D3811">
        <v>1986</v>
      </c>
      <c r="E3811">
        <v>114</v>
      </c>
      <c r="F3811" t="s">
        <v>641</v>
      </c>
      <c r="G3811">
        <v>128</v>
      </c>
    </row>
    <row r="3812" spans="1:7">
      <c r="A3812" t="str">
        <f t="shared" si="59"/>
        <v>Slakkehuis 1</v>
      </c>
      <c r="B3812" t="s">
        <v>646</v>
      </c>
      <c r="C3812" t="s">
        <v>306</v>
      </c>
      <c r="D3812">
        <v>1990</v>
      </c>
      <c r="E3812">
        <v>61</v>
      </c>
      <c r="F3812" t="s">
        <v>647</v>
      </c>
      <c r="G3812">
        <v>1</v>
      </c>
    </row>
    <row r="3813" spans="1:7">
      <c r="A3813" t="str">
        <f t="shared" si="59"/>
        <v>Slakkehuis 2</v>
      </c>
      <c r="B3813" t="s">
        <v>646</v>
      </c>
      <c r="C3813" t="s">
        <v>306</v>
      </c>
      <c r="D3813">
        <v>1925</v>
      </c>
      <c r="E3813">
        <v>131</v>
      </c>
      <c r="F3813" t="s">
        <v>647</v>
      </c>
      <c r="G3813">
        <v>2</v>
      </c>
    </row>
    <row r="3814" spans="1:7">
      <c r="A3814" t="str">
        <f t="shared" si="59"/>
        <v>Slakkehuis 3</v>
      </c>
      <c r="B3814" t="s">
        <v>646</v>
      </c>
      <c r="C3814" t="s">
        <v>306</v>
      </c>
      <c r="D3814">
        <v>1990</v>
      </c>
      <c r="E3814">
        <v>62</v>
      </c>
      <c r="F3814" t="s">
        <v>647</v>
      </c>
      <c r="G3814">
        <v>3</v>
      </c>
    </row>
    <row r="3815" spans="1:7">
      <c r="A3815" t="str">
        <f t="shared" si="59"/>
        <v>Slakkehuis 4</v>
      </c>
      <c r="B3815" t="s">
        <v>646</v>
      </c>
      <c r="C3815" t="s">
        <v>306</v>
      </c>
      <c r="D3815">
        <v>1998</v>
      </c>
      <c r="E3815">
        <v>197</v>
      </c>
      <c r="F3815" t="s">
        <v>647</v>
      </c>
      <c r="G3815">
        <v>4</v>
      </c>
    </row>
    <row r="3816" spans="1:7">
      <c r="A3816" t="str">
        <f t="shared" si="59"/>
        <v>Slakkehuis 5</v>
      </c>
      <c r="B3816" t="s">
        <v>646</v>
      </c>
      <c r="C3816" t="s">
        <v>306</v>
      </c>
      <c r="D3816">
        <v>1990</v>
      </c>
      <c r="E3816">
        <v>62</v>
      </c>
      <c r="F3816" t="s">
        <v>647</v>
      </c>
      <c r="G3816">
        <v>5</v>
      </c>
    </row>
    <row r="3817" spans="1:7">
      <c r="A3817" t="str">
        <f t="shared" si="59"/>
        <v>Slakkehuis 7</v>
      </c>
      <c r="B3817" t="s">
        <v>646</v>
      </c>
      <c r="C3817" t="s">
        <v>306</v>
      </c>
      <c r="D3817">
        <v>1990</v>
      </c>
      <c r="E3817">
        <v>61</v>
      </c>
      <c r="F3817" t="s">
        <v>647</v>
      </c>
      <c r="G3817">
        <v>7</v>
      </c>
    </row>
    <row r="3818" spans="1:7">
      <c r="A3818" t="str">
        <f t="shared" si="59"/>
        <v>Slakkehuis 9</v>
      </c>
      <c r="B3818" t="s">
        <v>646</v>
      </c>
      <c r="C3818" t="s">
        <v>306</v>
      </c>
      <c r="D3818">
        <v>1990</v>
      </c>
      <c r="E3818">
        <v>61</v>
      </c>
      <c r="F3818" t="s">
        <v>647</v>
      </c>
      <c r="G3818">
        <v>9</v>
      </c>
    </row>
    <row r="3819" spans="1:7">
      <c r="A3819" t="str">
        <f t="shared" si="59"/>
        <v>Slakkehuis 11</v>
      </c>
      <c r="B3819" t="s">
        <v>646</v>
      </c>
      <c r="C3819" t="s">
        <v>306</v>
      </c>
      <c r="D3819">
        <v>1990</v>
      </c>
      <c r="E3819">
        <v>62</v>
      </c>
      <c r="F3819" t="s">
        <v>647</v>
      </c>
      <c r="G3819">
        <v>11</v>
      </c>
    </row>
    <row r="3820" spans="1:7">
      <c r="A3820" t="str">
        <f t="shared" si="59"/>
        <v>Slakkehuis 13</v>
      </c>
      <c r="B3820" t="s">
        <v>646</v>
      </c>
      <c r="C3820" t="s">
        <v>306</v>
      </c>
      <c r="D3820">
        <v>1990</v>
      </c>
      <c r="E3820">
        <v>62</v>
      </c>
      <c r="F3820" t="s">
        <v>647</v>
      </c>
      <c r="G3820">
        <v>13</v>
      </c>
    </row>
    <row r="3821" spans="1:7">
      <c r="A3821" t="str">
        <f t="shared" si="59"/>
        <v>Slakkehuis 15</v>
      </c>
      <c r="B3821" t="s">
        <v>646</v>
      </c>
      <c r="C3821" t="s">
        <v>306</v>
      </c>
      <c r="D3821">
        <v>1990</v>
      </c>
      <c r="E3821">
        <v>62</v>
      </c>
      <c r="F3821" t="s">
        <v>647</v>
      </c>
      <c r="G3821">
        <v>15</v>
      </c>
    </row>
    <row r="3822" spans="1:7">
      <c r="A3822" t="str">
        <f t="shared" si="59"/>
        <v>Slakkehuis 17</v>
      </c>
      <c r="B3822" t="s">
        <v>646</v>
      </c>
      <c r="C3822" t="s">
        <v>306</v>
      </c>
      <c r="D3822">
        <v>1990</v>
      </c>
      <c r="E3822">
        <v>62</v>
      </c>
      <c r="F3822" t="s">
        <v>647</v>
      </c>
      <c r="G3822">
        <v>17</v>
      </c>
    </row>
    <row r="3823" spans="1:7">
      <c r="A3823" t="str">
        <f t="shared" si="59"/>
        <v>Spijkerweg 1</v>
      </c>
      <c r="B3823" t="s">
        <v>614</v>
      </c>
      <c r="C3823" t="s">
        <v>296</v>
      </c>
      <c r="D3823">
        <v>1996</v>
      </c>
      <c r="E3823">
        <v>3911</v>
      </c>
      <c r="F3823" t="s">
        <v>648</v>
      </c>
      <c r="G3823">
        <v>1</v>
      </c>
    </row>
    <row r="3824" spans="1:7">
      <c r="A3824" t="str">
        <f t="shared" si="59"/>
        <v>Spijkerweg 2</v>
      </c>
      <c r="B3824" t="s">
        <v>612</v>
      </c>
      <c r="C3824" t="s">
        <v>296</v>
      </c>
      <c r="D3824">
        <v>1999</v>
      </c>
      <c r="E3824">
        <v>379</v>
      </c>
      <c r="F3824" t="s">
        <v>648</v>
      </c>
      <c r="G3824">
        <v>2</v>
      </c>
    </row>
    <row r="3825" spans="1:8">
      <c r="A3825" t="str">
        <f t="shared" si="59"/>
        <v>Spijkerweg 3a</v>
      </c>
      <c r="B3825" t="s">
        <v>614</v>
      </c>
      <c r="C3825" t="s">
        <v>296</v>
      </c>
      <c r="D3825">
        <v>1950</v>
      </c>
      <c r="E3825">
        <v>51</v>
      </c>
      <c r="F3825" t="s">
        <v>648</v>
      </c>
      <c r="G3825">
        <v>3</v>
      </c>
      <c r="H3825" t="s">
        <v>304</v>
      </c>
    </row>
    <row r="3826" spans="1:8">
      <c r="A3826" t="str">
        <f t="shared" si="59"/>
        <v>Spijkerweg 3b</v>
      </c>
      <c r="B3826" t="s">
        <v>614</v>
      </c>
      <c r="C3826" t="s">
        <v>296</v>
      </c>
      <c r="D3826">
        <v>1950</v>
      </c>
      <c r="E3826">
        <v>419</v>
      </c>
      <c r="F3826" t="s">
        <v>648</v>
      </c>
      <c r="G3826">
        <v>3</v>
      </c>
      <c r="H3826" t="s">
        <v>298</v>
      </c>
    </row>
    <row r="3827" spans="1:8">
      <c r="A3827" t="str">
        <f t="shared" si="59"/>
        <v>Spijkerweg 3</v>
      </c>
      <c r="B3827" t="s">
        <v>614</v>
      </c>
      <c r="C3827" t="s">
        <v>296</v>
      </c>
      <c r="D3827">
        <v>2013</v>
      </c>
      <c r="E3827">
        <v>1031</v>
      </c>
      <c r="F3827" t="s">
        <v>648</v>
      </c>
      <c r="G3827">
        <v>3</v>
      </c>
    </row>
    <row r="3828" spans="1:8">
      <c r="A3828" t="str">
        <f t="shared" si="59"/>
        <v>Spijkerweg 5</v>
      </c>
      <c r="B3828" t="s">
        <v>614</v>
      </c>
      <c r="C3828" t="s">
        <v>296</v>
      </c>
      <c r="D3828">
        <v>1976</v>
      </c>
      <c r="E3828">
        <v>137</v>
      </c>
      <c r="F3828" t="s">
        <v>648</v>
      </c>
      <c r="G3828">
        <v>5</v>
      </c>
    </row>
    <row r="3829" spans="1:8">
      <c r="A3829" t="str">
        <f t="shared" si="59"/>
        <v>Spijkerweg 7a</v>
      </c>
      <c r="B3829" t="s">
        <v>614</v>
      </c>
      <c r="C3829" t="s">
        <v>296</v>
      </c>
      <c r="D3829">
        <v>1999</v>
      </c>
      <c r="E3829">
        <v>109</v>
      </c>
      <c r="F3829" t="s">
        <v>648</v>
      </c>
      <c r="G3829">
        <v>7</v>
      </c>
      <c r="H3829" t="s">
        <v>304</v>
      </c>
    </row>
    <row r="3830" spans="1:8">
      <c r="A3830" t="str">
        <f t="shared" si="59"/>
        <v>Spijkerweg 7</v>
      </c>
      <c r="B3830" t="s">
        <v>614</v>
      </c>
      <c r="C3830" t="s">
        <v>296</v>
      </c>
      <c r="D3830">
        <v>1976</v>
      </c>
      <c r="E3830">
        <v>264</v>
      </c>
      <c r="F3830" t="s">
        <v>648</v>
      </c>
      <c r="G3830">
        <v>7</v>
      </c>
    </row>
    <row r="3831" spans="1:8">
      <c r="A3831" t="str">
        <f t="shared" si="59"/>
        <v>St. Adelbertstraat 1</v>
      </c>
      <c r="B3831" t="s">
        <v>414</v>
      </c>
      <c r="C3831" t="s">
        <v>306</v>
      </c>
      <c r="D3831">
        <v>1961</v>
      </c>
      <c r="E3831">
        <v>81</v>
      </c>
      <c r="F3831" t="s">
        <v>649</v>
      </c>
      <c r="G3831">
        <v>1</v>
      </c>
    </row>
    <row r="3832" spans="1:8">
      <c r="A3832" t="str">
        <f t="shared" si="59"/>
        <v>St. Adelbertstraat 2</v>
      </c>
      <c r="B3832" t="s">
        <v>412</v>
      </c>
      <c r="C3832" t="s">
        <v>306</v>
      </c>
      <c r="D3832">
        <v>1960</v>
      </c>
      <c r="E3832">
        <v>114</v>
      </c>
      <c r="F3832" t="s">
        <v>649</v>
      </c>
      <c r="G3832">
        <v>2</v>
      </c>
    </row>
    <row r="3833" spans="1:8">
      <c r="A3833" t="str">
        <f t="shared" si="59"/>
        <v>St. Adelbertstraat 3</v>
      </c>
      <c r="B3833" t="s">
        <v>414</v>
      </c>
      <c r="C3833" t="s">
        <v>306</v>
      </c>
      <c r="D3833">
        <v>1961</v>
      </c>
      <c r="E3833">
        <v>80</v>
      </c>
      <c r="F3833" t="s">
        <v>649</v>
      </c>
      <c r="G3833">
        <v>3</v>
      </c>
    </row>
    <row r="3834" spans="1:8">
      <c r="A3834" t="str">
        <f t="shared" si="59"/>
        <v>St. Adelbertstraat 4</v>
      </c>
      <c r="B3834" t="s">
        <v>412</v>
      </c>
      <c r="C3834" t="s">
        <v>306</v>
      </c>
      <c r="D3834">
        <v>1960</v>
      </c>
      <c r="E3834">
        <v>89</v>
      </c>
      <c r="F3834" t="s">
        <v>649</v>
      </c>
      <c r="G3834">
        <v>4</v>
      </c>
    </row>
    <row r="3835" spans="1:8">
      <c r="A3835" t="str">
        <f t="shared" si="59"/>
        <v>St. Adelbertstraat 5</v>
      </c>
      <c r="B3835" t="s">
        <v>414</v>
      </c>
      <c r="C3835" t="s">
        <v>306</v>
      </c>
      <c r="D3835">
        <v>1961</v>
      </c>
      <c r="E3835">
        <v>81</v>
      </c>
      <c r="F3835" t="s">
        <v>649</v>
      </c>
      <c r="G3835">
        <v>5</v>
      </c>
    </row>
    <row r="3836" spans="1:8">
      <c r="A3836" t="str">
        <f t="shared" si="59"/>
        <v>St. Adelbertstraat 6</v>
      </c>
      <c r="B3836" t="s">
        <v>412</v>
      </c>
      <c r="C3836" t="s">
        <v>306</v>
      </c>
      <c r="D3836">
        <v>1968</v>
      </c>
      <c r="E3836">
        <v>156</v>
      </c>
      <c r="F3836" t="s">
        <v>649</v>
      </c>
      <c r="G3836">
        <v>6</v>
      </c>
    </row>
    <row r="3837" spans="1:8">
      <c r="A3837" t="str">
        <f t="shared" si="59"/>
        <v>St. Adelbertstraat 7</v>
      </c>
      <c r="B3837" t="s">
        <v>414</v>
      </c>
      <c r="C3837" t="s">
        <v>306</v>
      </c>
      <c r="D3837">
        <v>1961</v>
      </c>
      <c r="E3837">
        <v>81</v>
      </c>
      <c r="F3837" t="s">
        <v>649</v>
      </c>
      <c r="G3837">
        <v>7</v>
      </c>
    </row>
    <row r="3838" spans="1:8">
      <c r="A3838" t="str">
        <f t="shared" si="59"/>
        <v>St. Adelbertstraat 8</v>
      </c>
      <c r="B3838" t="s">
        <v>412</v>
      </c>
      <c r="C3838" t="s">
        <v>306</v>
      </c>
      <c r="D3838">
        <v>1968</v>
      </c>
      <c r="E3838">
        <v>101</v>
      </c>
      <c r="F3838" t="s">
        <v>649</v>
      </c>
      <c r="G3838">
        <v>8</v>
      </c>
    </row>
    <row r="3839" spans="1:8">
      <c r="A3839" t="str">
        <f t="shared" si="59"/>
        <v>St. Adelbertstraat 9</v>
      </c>
      <c r="B3839" t="s">
        <v>414</v>
      </c>
      <c r="C3839" t="s">
        <v>306</v>
      </c>
      <c r="D3839">
        <v>1961</v>
      </c>
      <c r="E3839">
        <v>91</v>
      </c>
      <c r="F3839" t="s">
        <v>649</v>
      </c>
      <c r="G3839">
        <v>9</v>
      </c>
    </row>
    <row r="3840" spans="1:8">
      <c r="A3840" t="str">
        <f t="shared" si="59"/>
        <v>St. Adelbertstraat 10</v>
      </c>
      <c r="B3840" t="s">
        <v>412</v>
      </c>
      <c r="C3840" t="s">
        <v>306</v>
      </c>
      <c r="D3840">
        <v>1968</v>
      </c>
      <c r="E3840">
        <v>118</v>
      </c>
      <c r="F3840" t="s">
        <v>649</v>
      </c>
      <c r="G3840">
        <v>10</v>
      </c>
    </row>
    <row r="3841" spans="1:7">
      <c r="A3841" t="str">
        <f t="shared" si="59"/>
        <v>St. Adelbertstraat 11</v>
      </c>
      <c r="B3841" t="s">
        <v>414</v>
      </c>
      <c r="C3841" t="s">
        <v>306</v>
      </c>
      <c r="D3841">
        <v>1961</v>
      </c>
      <c r="E3841">
        <v>91</v>
      </c>
      <c r="F3841" t="s">
        <v>649</v>
      </c>
      <c r="G3841">
        <v>11</v>
      </c>
    </row>
    <row r="3842" spans="1:7">
      <c r="A3842" t="str">
        <f t="shared" ref="A3842:A3905" si="60">CONCATENATE(F3842," ",G3842,H3842)</f>
        <v>St. Adelbertstraat 12</v>
      </c>
      <c r="B3842" t="s">
        <v>412</v>
      </c>
      <c r="C3842" t="s">
        <v>306</v>
      </c>
      <c r="D3842">
        <v>1968</v>
      </c>
      <c r="E3842">
        <v>136</v>
      </c>
      <c r="F3842" t="s">
        <v>649</v>
      </c>
      <c r="G3842">
        <v>12</v>
      </c>
    </row>
    <row r="3843" spans="1:7">
      <c r="A3843" t="str">
        <f t="shared" si="60"/>
        <v>St. Adelbertstraat 13</v>
      </c>
      <c r="B3843" t="s">
        <v>414</v>
      </c>
      <c r="C3843" t="s">
        <v>306</v>
      </c>
      <c r="D3843">
        <v>1961</v>
      </c>
      <c r="E3843">
        <v>93</v>
      </c>
      <c r="F3843" t="s">
        <v>649</v>
      </c>
      <c r="G3843">
        <v>13</v>
      </c>
    </row>
    <row r="3844" spans="1:7">
      <c r="A3844" t="str">
        <f t="shared" si="60"/>
        <v>St. Adelbertstraat 14</v>
      </c>
      <c r="B3844" t="s">
        <v>412</v>
      </c>
      <c r="C3844" t="s">
        <v>306</v>
      </c>
      <c r="D3844">
        <v>1968</v>
      </c>
      <c r="E3844">
        <v>159</v>
      </c>
      <c r="F3844" t="s">
        <v>649</v>
      </c>
      <c r="G3844">
        <v>14</v>
      </c>
    </row>
    <row r="3845" spans="1:7">
      <c r="A3845" t="str">
        <f t="shared" si="60"/>
        <v>St. Adelbertstraat 15</v>
      </c>
      <c r="B3845" t="s">
        <v>414</v>
      </c>
      <c r="C3845" t="s">
        <v>306</v>
      </c>
      <c r="D3845">
        <v>1961</v>
      </c>
      <c r="E3845">
        <v>93</v>
      </c>
      <c r="F3845" t="s">
        <v>649</v>
      </c>
      <c r="G3845">
        <v>15</v>
      </c>
    </row>
    <row r="3846" spans="1:7">
      <c r="A3846" t="str">
        <f t="shared" si="60"/>
        <v>St. Adelbertstraat 16</v>
      </c>
      <c r="B3846" t="s">
        <v>412</v>
      </c>
      <c r="C3846" t="s">
        <v>306</v>
      </c>
      <c r="D3846">
        <v>1968</v>
      </c>
      <c r="E3846">
        <v>133</v>
      </c>
      <c r="F3846" t="s">
        <v>649</v>
      </c>
      <c r="G3846">
        <v>16</v>
      </c>
    </row>
    <row r="3847" spans="1:7">
      <c r="A3847" t="str">
        <f t="shared" si="60"/>
        <v>St. Adelbertstraat 17</v>
      </c>
      <c r="B3847" t="s">
        <v>414</v>
      </c>
      <c r="C3847" t="s">
        <v>306</v>
      </c>
      <c r="D3847">
        <v>1961</v>
      </c>
      <c r="E3847">
        <v>81</v>
      </c>
      <c r="F3847" t="s">
        <v>649</v>
      </c>
      <c r="G3847">
        <v>17</v>
      </c>
    </row>
    <row r="3848" spans="1:7">
      <c r="A3848" t="str">
        <f t="shared" si="60"/>
        <v>St. Adelbertstraat 18</v>
      </c>
      <c r="B3848" t="s">
        <v>412</v>
      </c>
      <c r="C3848" t="s">
        <v>306</v>
      </c>
      <c r="D3848">
        <v>1968</v>
      </c>
      <c r="E3848">
        <v>140</v>
      </c>
      <c r="F3848" t="s">
        <v>649</v>
      </c>
      <c r="G3848">
        <v>18</v>
      </c>
    </row>
    <row r="3849" spans="1:7">
      <c r="A3849" t="str">
        <f t="shared" si="60"/>
        <v>St. Adelbertstraat 19</v>
      </c>
      <c r="B3849" t="s">
        <v>414</v>
      </c>
      <c r="C3849" t="s">
        <v>306</v>
      </c>
      <c r="D3849">
        <v>1961</v>
      </c>
      <c r="E3849">
        <v>81</v>
      </c>
      <c r="F3849" t="s">
        <v>649</v>
      </c>
      <c r="G3849">
        <v>19</v>
      </c>
    </row>
    <row r="3850" spans="1:7">
      <c r="A3850" t="str">
        <f t="shared" si="60"/>
        <v>St. Adelbertstraat 20</v>
      </c>
      <c r="B3850" t="s">
        <v>412</v>
      </c>
      <c r="C3850" t="s">
        <v>306</v>
      </c>
      <c r="D3850">
        <v>1968</v>
      </c>
      <c r="E3850">
        <v>132</v>
      </c>
      <c r="F3850" t="s">
        <v>649</v>
      </c>
      <c r="G3850">
        <v>20</v>
      </c>
    </row>
    <row r="3851" spans="1:7">
      <c r="A3851" t="str">
        <f t="shared" si="60"/>
        <v>St. Antoniusstraat 1</v>
      </c>
      <c r="B3851" t="s">
        <v>650</v>
      </c>
      <c r="C3851" t="s">
        <v>306</v>
      </c>
      <c r="D3851">
        <v>1960</v>
      </c>
      <c r="E3851">
        <v>99</v>
      </c>
      <c r="F3851" t="s">
        <v>651</v>
      </c>
      <c r="G3851">
        <v>1</v>
      </c>
    </row>
    <row r="3852" spans="1:7">
      <c r="A3852" t="str">
        <f t="shared" si="60"/>
        <v>St. Antoniusstraat 2</v>
      </c>
      <c r="B3852" t="s">
        <v>652</v>
      </c>
      <c r="C3852" t="s">
        <v>306</v>
      </c>
      <c r="D3852">
        <v>1964</v>
      </c>
      <c r="E3852">
        <v>130</v>
      </c>
      <c r="F3852" t="s">
        <v>651</v>
      </c>
      <c r="G3852">
        <v>2</v>
      </c>
    </row>
    <row r="3853" spans="1:7">
      <c r="A3853" t="str">
        <f t="shared" si="60"/>
        <v>St. Antoniusstraat 3</v>
      </c>
      <c r="B3853" t="s">
        <v>650</v>
      </c>
      <c r="C3853" t="s">
        <v>306</v>
      </c>
      <c r="D3853">
        <v>1960</v>
      </c>
      <c r="E3853">
        <v>93</v>
      </c>
      <c r="F3853" t="s">
        <v>651</v>
      </c>
      <c r="G3853">
        <v>3</v>
      </c>
    </row>
    <row r="3854" spans="1:7">
      <c r="A3854" t="str">
        <f t="shared" si="60"/>
        <v>St. Antoniusstraat 4</v>
      </c>
      <c r="B3854" t="s">
        <v>652</v>
      </c>
      <c r="C3854" t="s">
        <v>306</v>
      </c>
      <c r="D3854">
        <v>1964</v>
      </c>
      <c r="E3854">
        <v>96</v>
      </c>
      <c r="F3854" t="s">
        <v>651</v>
      </c>
      <c r="G3854">
        <v>4</v>
      </c>
    </row>
    <row r="3855" spans="1:7">
      <c r="A3855" t="str">
        <f t="shared" si="60"/>
        <v>St. Antoniusstraat 5</v>
      </c>
      <c r="B3855" t="s">
        <v>650</v>
      </c>
      <c r="C3855" t="s">
        <v>306</v>
      </c>
      <c r="D3855">
        <v>1960</v>
      </c>
      <c r="E3855">
        <v>92</v>
      </c>
      <c r="F3855" t="s">
        <v>651</v>
      </c>
      <c r="G3855">
        <v>5</v>
      </c>
    </row>
    <row r="3856" spans="1:7">
      <c r="A3856" t="str">
        <f t="shared" si="60"/>
        <v>St. Antoniusstraat 6</v>
      </c>
      <c r="B3856" t="s">
        <v>652</v>
      </c>
      <c r="C3856" t="s">
        <v>306</v>
      </c>
      <c r="D3856">
        <v>1964</v>
      </c>
      <c r="E3856">
        <v>95</v>
      </c>
      <c r="F3856" t="s">
        <v>651</v>
      </c>
      <c r="G3856">
        <v>6</v>
      </c>
    </row>
    <row r="3857" spans="1:7">
      <c r="A3857" t="str">
        <f t="shared" si="60"/>
        <v>St. Antoniusstraat 7</v>
      </c>
      <c r="B3857" t="s">
        <v>650</v>
      </c>
      <c r="C3857" t="s">
        <v>306</v>
      </c>
      <c r="D3857">
        <v>1960</v>
      </c>
      <c r="E3857">
        <v>101</v>
      </c>
      <c r="F3857" t="s">
        <v>651</v>
      </c>
      <c r="G3857">
        <v>7</v>
      </c>
    </row>
    <row r="3858" spans="1:7">
      <c r="A3858" t="str">
        <f t="shared" si="60"/>
        <v>St. Antoniusstraat 8</v>
      </c>
      <c r="B3858" t="s">
        <v>652</v>
      </c>
      <c r="C3858" t="s">
        <v>306</v>
      </c>
      <c r="D3858">
        <v>1964</v>
      </c>
      <c r="E3858">
        <v>95</v>
      </c>
      <c r="F3858" t="s">
        <v>651</v>
      </c>
      <c r="G3858">
        <v>8</v>
      </c>
    </row>
    <row r="3859" spans="1:7">
      <c r="A3859" t="str">
        <f t="shared" si="60"/>
        <v>St. Antoniusstraat 9</v>
      </c>
      <c r="B3859" t="s">
        <v>650</v>
      </c>
      <c r="C3859" t="s">
        <v>306</v>
      </c>
      <c r="D3859">
        <v>1960</v>
      </c>
      <c r="E3859">
        <v>93</v>
      </c>
      <c r="F3859" t="s">
        <v>651</v>
      </c>
      <c r="G3859">
        <v>9</v>
      </c>
    </row>
    <row r="3860" spans="1:7">
      <c r="A3860" t="str">
        <f t="shared" si="60"/>
        <v>St. Antoniusstraat 10</v>
      </c>
      <c r="B3860" t="s">
        <v>652</v>
      </c>
      <c r="C3860" t="s">
        <v>306</v>
      </c>
      <c r="D3860">
        <v>1964</v>
      </c>
      <c r="E3860">
        <v>96</v>
      </c>
      <c r="F3860" t="s">
        <v>651</v>
      </c>
      <c r="G3860">
        <v>10</v>
      </c>
    </row>
    <row r="3861" spans="1:7">
      <c r="A3861" t="str">
        <f t="shared" si="60"/>
        <v>St. Antoniusstraat 11</v>
      </c>
      <c r="B3861" t="s">
        <v>650</v>
      </c>
      <c r="C3861" t="s">
        <v>306</v>
      </c>
      <c r="D3861">
        <v>1960</v>
      </c>
      <c r="E3861">
        <v>124</v>
      </c>
      <c r="F3861" t="s">
        <v>651</v>
      </c>
      <c r="G3861">
        <v>11</v>
      </c>
    </row>
    <row r="3862" spans="1:7">
      <c r="A3862" t="str">
        <f t="shared" si="60"/>
        <v>St. Antoniusstraat 12</v>
      </c>
      <c r="B3862" t="s">
        <v>652</v>
      </c>
      <c r="C3862" t="s">
        <v>306</v>
      </c>
      <c r="D3862">
        <v>1964</v>
      </c>
      <c r="E3862">
        <v>122</v>
      </c>
      <c r="F3862" t="s">
        <v>651</v>
      </c>
      <c r="G3862">
        <v>12</v>
      </c>
    </row>
    <row r="3863" spans="1:7">
      <c r="A3863" t="str">
        <f t="shared" si="60"/>
        <v>St. Antoniusstraat 13</v>
      </c>
      <c r="B3863" t="s">
        <v>650</v>
      </c>
      <c r="C3863" t="s">
        <v>306</v>
      </c>
      <c r="D3863">
        <v>1960</v>
      </c>
      <c r="E3863">
        <v>106</v>
      </c>
      <c r="F3863" t="s">
        <v>651</v>
      </c>
      <c r="G3863">
        <v>13</v>
      </c>
    </row>
    <row r="3864" spans="1:7">
      <c r="A3864" t="str">
        <f t="shared" si="60"/>
        <v>St. Antoniusstraat 14</v>
      </c>
      <c r="B3864" t="s">
        <v>652</v>
      </c>
      <c r="C3864" t="s">
        <v>306</v>
      </c>
      <c r="D3864">
        <v>1964</v>
      </c>
      <c r="E3864">
        <v>122</v>
      </c>
      <c r="F3864" t="s">
        <v>651</v>
      </c>
      <c r="G3864">
        <v>14</v>
      </c>
    </row>
    <row r="3865" spans="1:7">
      <c r="A3865" t="str">
        <f t="shared" si="60"/>
        <v>St. Antoniusstraat 15</v>
      </c>
      <c r="B3865" t="s">
        <v>650</v>
      </c>
      <c r="C3865" t="s">
        <v>306</v>
      </c>
      <c r="D3865">
        <v>1960</v>
      </c>
      <c r="E3865">
        <v>152</v>
      </c>
      <c r="F3865" t="s">
        <v>651</v>
      </c>
      <c r="G3865">
        <v>15</v>
      </c>
    </row>
    <row r="3866" spans="1:7">
      <c r="A3866" t="str">
        <f t="shared" si="60"/>
        <v>St. Antoniusstraat 16</v>
      </c>
      <c r="B3866" t="s">
        <v>652</v>
      </c>
      <c r="C3866" t="s">
        <v>306</v>
      </c>
      <c r="D3866">
        <v>1964</v>
      </c>
      <c r="E3866">
        <v>129</v>
      </c>
      <c r="F3866" t="s">
        <v>651</v>
      </c>
      <c r="G3866">
        <v>16</v>
      </c>
    </row>
    <row r="3867" spans="1:7">
      <c r="A3867" t="str">
        <f t="shared" si="60"/>
        <v>St. Antoniusstraat 17</v>
      </c>
      <c r="B3867" t="s">
        <v>650</v>
      </c>
      <c r="C3867" t="s">
        <v>306</v>
      </c>
      <c r="D3867">
        <v>1961</v>
      </c>
      <c r="E3867">
        <v>90</v>
      </c>
      <c r="F3867" t="s">
        <v>651</v>
      </c>
      <c r="G3867">
        <v>17</v>
      </c>
    </row>
    <row r="3868" spans="1:7">
      <c r="A3868" t="str">
        <f t="shared" si="60"/>
        <v>St. Antoniusstraat 18</v>
      </c>
      <c r="B3868" t="s">
        <v>652</v>
      </c>
      <c r="C3868" t="s">
        <v>306</v>
      </c>
      <c r="D3868">
        <v>1964</v>
      </c>
      <c r="E3868">
        <v>108</v>
      </c>
      <c r="F3868" t="s">
        <v>651</v>
      </c>
      <c r="G3868">
        <v>18</v>
      </c>
    </row>
    <row r="3869" spans="1:7">
      <c r="A3869" t="str">
        <f t="shared" si="60"/>
        <v>St. Antoniusstraat 19</v>
      </c>
      <c r="B3869" t="s">
        <v>650</v>
      </c>
      <c r="C3869" t="s">
        <v>306</v>
      </c>
      <c r="D3869">
        <v>1961</v>
      </c>
      <c r="E3869">
        <v>82</v>
      </c>
      <c r="F3869" t="s">
        <v>651</v>
      </c>
      <c r="G3869">
        <v>19</v>
      </c>
    </row>
    <row r="3870" spans="1:7">
      <c r="A3870" t="str">
        <f t="shared" si="60"/>
        <v>St. Antoniusstraat 20</v>
      </c>
      <c r="B3870" t="s">
        <v>652</v>
      </c>
      <c r="C3870" t="s">
        <v>306</v>
      </c>
      <c r="D3870">
        <v>1964</v>
      </c>
      <c r="E3870">
        <v>119</v>
      </c>
      <c r="F3870" t="s">
        <v>651</v>
      </c>
      <c r="G3870">
        <v>20</v>
      </c>
    </row>
    <row r="3871" spans="1:7">
      <c r="A3871" t="str">
        <f t="shared" si="60"/>
        <v>St. Antoniusstraat 21</v>
      </c>
      <c r="B3871" t="s">
        <v>650</v>
      </c>
      <c r="C3871" t="s">
        <v>306</v>
      </c>
      <c r="D3871">
        <v>1961</v>
      </c>
      <c r="E3871">
        <v>81</v>
      </c>
      <c r="F3871" t="s">
        <v>651</v>
      </c>
      <c r="G3871">
        <v>21</v>
      </c>
    </row>
    <row r="3872" spans="1:7">
      <c r="A3872" t="str">
        <f t="shared" si="60"/>
        <v>St. Antoniusstraat 22</v>
      </c>
      <c r="B3872" t="s">
        <v>652</v>
      </c>
      <c r="C3872" t="s">
        <v>306</v>
      </c>
      <c r="D3872">
        <v>1964</v>
      </c>
      <c r="E3872">
        <v>95</v>
      </c>
      <c r="F3872" t="s">
        <v>651</v>
      </c>
      <c r="G3872">
        <v>22</v>
      </c>
    </row>
    <row r="3873" spans="1:7">
      <c r="A3873" t="str">
        <f t="shared" si="60"/>
        <v>St. Antoniusstraat 23</v>
      </c>
      <c r="B3873" t="s">
        <v>650</v>
      </c>
      <c r="C3873" t="s">
        <v>306</v>
      </c>
      <c r="D3873">
        <v>1961</v>
      </c>
      <c r="E3873">
        <v>82</v>
      </c>
      <c r="F3873" t="s">
        <v>651</v>
      </c>
      <c r="G3873">
        <v>23</v>
      </c>
    </row>
    <row r="3874" spans="1:7">
      <c r="A3874" t="str">
        <f t="shared" si="60"/>
        <v>St. Antoniusstraat 24</v>
      </c>
      <c r="B3874" t="s">
        <v>652</v>
      </c>
      <c r="C3874" t="s">
        <v>306</v>
      </c>
      <c r="D3874">
        <v>1964</v>
      </c>
      <c r="E3874">
        <v>96</v>
      </c>
      <c r="F3874" t="s">
        <v>651</v>
      </c>
      <c r="G3874">
        <v>24</v>
      </c>
    </row>
    <row r="3875" spans="1:7">
      <c r="A3875" t="str">
        <f t="shared" si="60"/>
        <v>St. Antoniusstraat 25</v>
      </c>
      <c r="B3875" t="s">
        <v>650</v>
      </c>
      <c r="C3875" t="s">
        <v>306</v>
      </c>
      <c r="D3875">
        <v>1964</v>
      </c>
      <c r="E3875">
        <v>92</v>
      </c>
      <c r="F3875" t="s">
        <v>651</v>
      </c>
      <c r="G3875">
        <v>25</v>
      </c>
    </row>
    <row r="3876" spans="1:7">
      <c r="A3876" t="str">
        <f t="shared" si="60"/>
        <v>St. Antoniusstraat 26</v>
      </c>
      <c r="B3876" t="s">
        <v>652</v>
      </c>
      <c r="C3876" t="s">
        <v>306</v>
      </c>
      <c r="D3876">
        <v>1964</v>
      </c>
      <c r="E3876">
        <v>108</v>
      </c>
      <c r="F3876" t="s">
        <v>651</v>
      </c>
      <c r="G3876">
        <v>26</v>
      </c>
    </row>
    <row r="3877" spans="1:7">
      <c r="A3877" t="str">
        <f t="shared" si="60"/>
        <v>St. Antoniusstraat 27</v>
      </c>
      <c r="B3877" t="s">
        <v>650</v>
      </c>
      <c r="C3877" t="s">
        <v>306</v>
      </c>
      <c r="D3877">
        <v>1964</v>
      </c>
      <c r="E3877">
        <v>99</v>
      </c>
      <c r="F3877" t="s">
        <v>651</v>
      </c>
      <c r="G3877">
        <v>27</v>
      </c>
    </row>
    <row r="3878" spans="1:7">
      <c r="A3878" t="str">
        <f t="shared" si="60"/>
        <v>St. Antoniusstraat 28</v>
      </c>
      <c r="B3878" t="s">
        <v>652</v>
      </c>
      <c r="C3878" t="s">
        <v>306</v>
      </c>
      <c r="D3878">
        <v>1964</v>
      </c>
      <c r="E3878">
        <v>184</v>
      </c>
      <c r="F3878" t="s">
        <v>651</v>
      </c>
      <c r="G3878">
        <v>28</v>
      </c>
    </row>
    <row r="3879" spans="1:7">
      <c r="A3879" t="str">
        <f t="shared" si="60"/>
        <v>St. Antoniusstraat 29</v>
      </c>
      <c r="B3879" t="s">
        <v>653</v>
      </c>
      <c r="C3879" t="s">
        <v>306</v>
      </c>
      <c r="D3879">
        <v>1964</v>
      </c>
      <c r="E3879">
        <v>92</v>
      </c>
      <c r="F3879" t="s">
        <v>651</v>
      </c>
      <c r="G3879">
        <v>29</v>
      </c>
    </row>
    <row r="3880" spans="1:7">
      <c r="A3880" t="str">
        <f t="shared" si="60"/>
        <v>St. Antoniusstraat 30</v>
      </c>
      <c r="B3880" t="s">
        <v>654</v>
      </c>
      <c r="C3880" t="s">
        <v>306</v>
      </c>
      <c r="D3880">
        <v>1968</v>
      </c>
      <c r="E3880">
        <v>129</v>
      </c>
      <c r="F3880" t="s">
        <v>651</v>
      </c>
      <c r="G3880">
        <v>30</v>
      </c>
    </row>
    <row r="3881" spans="1:7">
      <c r="A3881" t="str">
        <f t="shared" si="60"/>
        <v>St. Antoniusstraat 31</v>
      </c>
      <c r="B3881" t="s">
        <v>653</v>
      </c>
      <c r="C3881" t="s">
        <v>306</v>
      </c>
      <c r="D3881">
        <v>1964</v>
      </c>
      <c r="E3881">
        <v>107</v>
      </c>
      <c r="F3881" t="s">
        <v>651</v>
      </c>
      <c r="G3881">
        <v>31</v>
      </c>
    </row>
    <row r="3882" spans="1:7">
      <c r="A3882" t="str">
        <f t="shared" si="60"/>
        <v>St. Antoniusstraat 32</v>
      </c>
      <c r="B3882" t="s">
        <v>654</v>
      </c>
      <c r="C3882" t="s">
        <v>306</v>
      </c>
      <c r="D3882">
        <v>1968</v>
      </c>
      <c r="E3882">
        <v>116</v>
      </c>
      <c r="F3882" t="s">
        <v>651</v>
      </c>
      <c r="G3882">
        <v>32</v>
      </c>
    </row>
    <row r="3883" spans="1:7">
      <c r="A3883" t="str">
        <f t="shared" si="60"/>
        <v>St. Antoniusstraat 33</v>
      </c>
      <c r="B3883" t="s">
        <v>653</v>
      </c>
      <c r="C3883" t="s">
        <v>306</v>
      </c>
      <c r="D3883">
        <v>1964</v>
      </c>
      <c r="E3883">
        <v>105</v>
      </c>
      <c r="F3883" t="s">
        <v>651</v>
      </c>
      <c r="G3883">
        <v>33</v>
      </c>
    </row>
    <row r="3884" spans="1:7">
      <c r="A3884" t="str">
        <f t="shared" si="60"/>
        <v>St. Antoniusstraat 34</v>
      </c>
      <c r="B3884" t="s">
        <v>654</v>
      </c>
      <c r="C3884" t="s">
        <v>306</v>
      </c>
      <c r="D3884">
        <v>1968</v>
      </c>
      <c r="E3884">
        <v>143</v>
      </c>
      <c r="F3884" t="s">
        <v>651</v>
      </c>
      <c r="G3884">
        <v>34</v>
      </c>
    </row>
    <row r="3885" spans="1:7">
      <c r="A3885" t="str">
        <f t="shared" si="60"/>
        <v>St. Antoniusstraat 35</v>
      </c>
      <c r="B3885" t="s">
        <v>653</v>
      </c>
      <c r="C3885" t="s">
        <v>306</v>
      </c>
      <c r="D3885">
        <v>1964</v>
      </c>
      <c r="E3885">
        <v>93</v>
      </c>
      <c r="F3885" t="s">
        <v>651</v>
      </c>
      <c r="G3885">
        <v>35</v>
      </c>
    </row>
    <row r="3886" spans="1:7">
      <c r="A3886" t="str">
        <f t="shared" si="60"/>
        <v>St. Antoniusstraat 36</v>
      </c>
      <c r="B3886" t="s">
        <v>654</v>
      </c>
      <c r="C3886" t="s">
        <v>306</v>
      </c>
      <c r="D3886">
        <v>1968</v>
      </c>
      <c r="E3886">
        <v>145</v>
      </c>
      <c r="F3886" t="s">
        <v>651</v>
      </c>
      <c r="G3886">
        <v>36</v>
      </c>
    </row>
    <row r="3887" spans="1:7">
      <c r="A3887" t="str">
        <f t="shared" si="60"/>
        <v>St. Antoniusstraat 37</v>
      </c>
      <c r="B3887" t="s">
        <v>653</v>
      </c>
      <c r="C3887" t="s">
        <v>306</v>
      </c>
      <c r="D3887">
        <v>1964</v>
      </c>
      <c r="E3887">
        <v>93</v>
      </c>
      <c r="F3887" t="s">
        <v>651</v>
      </c>
      <c r="G3887">
        <v>37</v>
      </c>
    </row>
    <row r="3888" spans="1:7">
      <c r="A3888" t="str">
        <f t="shared" si="60"/>
        <v>St. Antoniusstraat 38</v>
      </c>
      <c r="B3888" t="s">
        <v>654</v>
      </c>
      <c r="C3888" t="s">
        <v>306</v>
      </c>
      <c r="D3888">
        <v>1968</v>
      </c>
      <c r="E3888">
        <v>101</v>
      </c>
      <c r="F3888" t="s">
        <v>651</v>
      </c>
      <c r="G3888">
        <v>38</v>
      </c>
    </row>
    <row r="3889" spans="1:7">
      <c r="A3889" t="str">
        <f t="shared" si="60"/>
        <v>St. Antoniusstraat 39</v>
      </c>
      <c r="B3889" t="s">
        <v>653</v>
      </c>
      <c r="C3889" t="s">
        <v>306</v>
      </c>
      <c r="D3889">
        <v>1964</v>
      </c>
      <c r="E3889">
        <v>120</v>
      </c>
      <c r="F3889" t="s">
        <v>651</v>
      </c>
      <c r="G3889">
        <v>39</v>
      </c>
    </row>
    <row r="3890" spans="1:7">
      <c r="A3890" t="str">
        <f t="shared" si="60"/>
        <v>St. Antoniusstraat 40</v>
      </c>
      <c r="B3890" t="s">
        <v>654</v>
      </c>
      <c r="C3890" t="s">
        <v>306</v>
      </c>
      <c r="D3890">
        <v>1968</v>
      </c>
      <c r="E3890">
        <v>101</v>
      </c>
      <c r="F3890" t="s">
        <v>651</v>
      </c>
      <c r="G3890">
        <v>40</v>
      </c>
    </row>
    <row r="3891" spans="1:7">
      <c r="A3891" t="str">
        <f t="shared" si="60"/>
        <v>St. Antoniusstraat 41</v>
      </c>
      <c r="B3891" t="s">
        <v>653</v>
      </c>
      <c r="C3891" t="s">
        <v>306</v>
      </c>
      <c r="D3891">
        <v>1964</v>
      </c>
      <c r="E3891">
        <v>92</v>
      </c>
      <c r="F3891" t="s">
        <v>651</v>
      </c>
      <c r="G3891">
        <v>41</v>
      </c>
    </row>
    <row r="3892" spans="1:7">
      <c r="A3892" t="str">
        <f t="shared" si="60"/>
        <v>St. Antoniusstraat 42</v>
      </c>
      <c r="B3892" t="s">
        <v>654</v>
      </c>
      <c r="C3892" t="s">
        <v>306</v>
      </c>
      <c r="D3892">
        <v>1968</v>
      </c>
      <c r="E3892">
        <v>134</v>
      </c>
      <c r="F3892" t="s">
        <v>651</v>
      </c>
      <c r="G3892">
        <v>42</v>
      </c>
    </row>
    <row r="3893" spans="1:7">
      <c r="A3893" t="str">
        <f t="shared" si="60"/>
        <v>St. Antoniusstraat 43</v>
      </c>
      <c r="B3893" t="s">
        <v>653</v>
      </c>
      <c r="C3893" t="s">
        <v>306</v>
      </c>
      <c r="D3893">
        <v>1964</v>
      </c>
      <c r="E3893">
        <v>93</v>
      </c>
      <c r="F3893" t="s">
        <v>651</v>
      </c>
      <c r="G3893">
        <v>43</v>
      </c>
    </row>
    <row r="3894" spans="1:7">
      <c r="A3894" t="str">
        <f t="shared" si="60"/>
        <v>St. Antoniusstraat 44</v>
      </c>
      <c r="B3894" t="s">
        <v>654</v>
      </c>
      <c r="C3894" t="s">
        <v>306</v>
      </c>
      <c r="D3894">
        <v>1968</v>
      </c>
      <c r="E3894">
        <v>118</v>
      </c>
      <c r="F3894" t="s">
        <v>651</v>
      </c>
      <c r="G3894">
        <v>44</v>
      </c>
    </row>
    <row r="3895" spans="1:7">
      <c r="A3895" t="str">
        <f t="shared" si="60"/>
        <v>St. Antoniusstraat 45</v>
      </c>
      <c r="B3895" t="s">
        <v>653</v>
      </c>
      <c r="C3895" t="s">
        <v>306</v>
      </c>
      <c r="D3895">
        <v>1968</v>
      </c>
      <c r="E3895">
        <v>156</v>
      </c>
      <c r="F3895" t="s">
        <v>651</v>
      </c>
      <c r="G3895">
        <v>45</v>
      </c>
    </row>
    <row r="3896" spans="1:7">
      <c r="A3896" t="str">
        <f t="shared" si="60"/>
        <v>St. Antoniusstraat 46</v>
      </c>
      <c r="B3896" t="s">
        <v>654</v>
      </c>
      <c r="C3896" t="s">
        <v>306</v>
      </c>
      <c r="D3896">
        <v>1968</v>
      </c>
      <c r="E3896">
        <v>100</v>
      </c>
      <c r="F3896" t="s">
        <v>651</v>
      </c>
      <c r="G3896">
        <v>46</v>
      </c>
    </row>
    <row r="3897" spans="1:7">
      <c r="A3897" t="str">
        <f t="shared" si="60"/>
        <v>St. Antoniusstraat 47</v>
      </c>
      <c r="B3897" t="s">
        <v>653</v>
      </c>
      <c r="C3897" t="s">
        <v>306</v>
      </c>
      <c r="D3897">
        <v>1968</v>
      </c>
      <c r="E3897">
        <v>118</v>
      </c>
      <c r="F3897" t="s">
        <v>651</v>
      </c>
      <c r="G3897">
        <v>47</v>
      </c>
    </row>
    <row r="3898" spans="1:7">
      <c r="A3898" t="str">
        <f t="shared" si="60"/>
        <v>St. Antoniusstraat 48</v>
      </c>
      <c r="B3898" t="s">
        <v>654</v>
      </c>
      <c r="C3898" t="s">
        <v>306</v>
      </c>
      <c r="D3898">
        <v>1968</v>
      </c>
      <c r="E3898">
        <v>133</v>
      </c>
      <c r="F3898" t="s">
        <v>651</v>
      </c>
      <c r="G3898">
        <v>48</v>
      </c>
    </row>
    <row r="3899" spans="1:7">
      <c r="A3899" t="str">
        <f t="shared" si="60"/>
        <v>St. Antoniusstraat 49</v>
      </c>
      <c r="B3899" t="s">
        <v>653</v>
      </c>
      <c r="C3899" t="s">
        <v>306</v>
      </c>
      <c r="D3899">
        <v>1968</v>
      </c>
      <c r="E3899">
        <v>106</v>
      </c>
      <c r="F3899" t="s">
        <v>651</v>
      </c>
      <c r="G3899">
        <v>49</v>
      </c>
    </row>
    <row r="3900" spans="1:7">
      <c r="A3900" t="str">
        <f t="shared" si="60"/>
        <v>St. Antoniusstraat 50</v>
      </c>
      <c r="B3900" t="s">
        <v>654</v>
      </c>
      <c r="C3900" t="s">
        <v>306</v>
      </c>
      <c r="D3900">
        <v>1968</v>
      </c>
      <c r="E3900">
        <v>107</v>
      </c>
      <c r="F3900" t="s">
        <v>651</v>
      </c>
      <c r="G3900">
        <v>50</v>
      </c>
    </row>
    <row r="3901" spans="1:7">
      <c r="A3901" t="str">
        <f t="shared" si="60"/>
        <v>St. Antoniusstraat 51</v>
      </c>
      <c r="B3901" t="s">
        <v>653</v>
      </c>
      <c r="C3901" t="s">
        <v>306</v>
      </c>
      <c r="D3901">
        <v>1968</v>
      </c>
      <c r="E3901">
        <v>106</v>
      </c>
      <c r="F3901" t="s">
        <v>651</v>
      </c>
      <c r="G3901">
        <v>51</v>
      </c>
    </row>
    <row r="3902" spans="1:7">
      <c r="A3902" t="str">
        <f t="shared" si="60"/>
        <v>St. Antoniusstraat 52</v>
      </c>
      <c r="B3902" t="s">
        <v>654</v>
      </c>
      <c r="C3902" t="s">
        <v>306</v>
      </c>
      <c r="D3902">
        <v>1968</v>
      </c>
      <c r="E3902">
        <v>101</v>
      </c>
      <c r="F3902" t="s">
        <v>651</v>
      </c>
      <c r="G3902">
        <v>52</v>
      </c>
    </row>
    <row r="3903" spans="1:7">
      <c r="A3903" t="str">
        <f t="shared" si="60"/>
        <v>St. Antoniusstraat 53</v>
      </c>
      <c r="B3903" t="s">
        <v>653</v>
      </c>
      <c r="C3903" t="s">
        <v>306</v>
      </c>
      <c r="D3903">
        <v>1968</v>
      </c>
      <c r="E3903">
        <v>163</v>
      </c>
      <c r="F3903" t="s">
        <v>651</v>
      </c>
      <c r="G3903">
        <v>53</v>
      </c>
    </row>
    <row r="3904" spans="1:7">
      <c r="A3904" t="str">
        <f t="shared" si="60"/>
        <v>St. Antoniusstraat 54</v>
      </c>
      <c r="B3904" t="s">
        <v>654</v>
      </c>
      <c r="C3904" t="s">
        <v>306</v>
      </c>
      <c r="D3904">
        <v>1968</v>
      </c>
      <c r="E3904">
        <v>111</v>
      </c>
      <c r="F3904" t="s">
        <v>651</v>
      </c>
      <c r="G3904">
        <v>54</v>
      </c>
    </row>
    <row r="3905" spans="1:7">
      <c r="A3905" t="str">
        <f t="shared" si="60"/>
        <v>St. Antoniusstraat 55</v>
      </c>
      <c r="B3905" t="s">
        <v>653</v>
      </c>
      <c r="C3905" t="s">
        <v>306</v>
      </c>
      <c r="D3905">
        <v>1968</v>
      </c>
      <c r="E3905">
        <v>148</v>
      </c>
      <c r="F3905" t="s">
        <v>651</v>
      </c>
      <c r="G3905">
        <v>55</v>
      </c>
    </row>
    <row r="3906" spans="1:7">
      <c r="A3906" t="str">
        <f t="shared" ref="A3906:A3969" si="61">CONCATENATE(F3906," ",G3906,H3906)</f>
        <v>St. Antoniusstraat 56</v>
      </c>
      <c r="B3906" t="s">
        <v>654</v>
      </c>
      <c r="C3906" t="s">
        <v>306</v>
      </c>
      <c r="D3906">
        <v>1968</v>
      </c>
      <c r="E3906">
        <v>127</v>
      </c>
      <c r="F3906" t="s">
        <v>651</v>
      </c>
      <c r="G3906">
        <v>56</v>
      </c>
    </row>
    <row r="3907" spans="1:7">
      <c r="A3907" t="str">
        <f t="shared" si="61"/>
        <v>St. Janstraat 1</v>
      </c>
      <c r="B3907" t="s">
        <v>655</v>
      </c>
      <c r="C3907" t="s">
        <v>306</v>
      </c>
      <c r="D3907">
        <v>1970</v>
      </c>
      <c r="E3907">
        <v>95</v>
      </c>
      <c r="F3907" t="s">
        <v>656</v>
      </c>
      <c r="G3907">
        <v>1</v>
      </c>
    </row>
    <row r="3908" spans="1:7">
      <c r="A3908" t="str">
        <f t="shared" si="61"/>
        <v>St. Janstraat 2</v>
      </c>
      <c r="B3908" t="s">
        <v>655</v>
      </c>
      <c r="C3908" t="s">
        <v>306</v>
      </c>
      <c r="D3908">
        <v>1962</v>
      </c>
      <c r="E3908">
        <v>137</v>
      </c>
      <c r="F3908" t="s">
        <v>656</v>
      </c>
      <c r="G3908">
        <v>2</v>
      </c>
    </row>
    <row r="3909" spans="1:7">
      <c r="A3909" t="str">
        <f t="shared" si="61"/>
        <v>St. Janstraat 3</v>
      </c>
      <c r="B3909" t="s">
        <v>655</v>
      </c>
      <c r="C3909" t="s">
        <v>306</v>
      </c>
      <c r="D3909">
        <v>1970</v>
      </c>
      <c r="E3909">
        <v>95</v>
      </c>
      <c r="F3909" t="s">
        <v>656</v>
      </c>
      <c r="G3909">
        <v>3</v>
      </c>
    </row>
    <row r="3910" spans="1:7">
      <c r="A3910" t="str">
        <f t="shared" si="61"/>
        <v>St. Janstraat 4</v>
      </c>
      <c r="B3910" t="s">
        <v>655</v>
      </c>
      <c r="C3910" t="s">
        <v>306</v>
      </c>
      <c r="D3910">
        <v>1965</v>
      </c>
      <c r="E3910">
        <v>111</v>
      </c>
      <c r="F3910" t="s">
        <v>656</v>
      </c>
      <c r="G3910">
        <v>4</v>
      </c>
    </row>
    <row r="3911" spans="1:7">
      <c r="A3911" t="str">
        <f t="shared" si="61"/>
        <v>St. Janstraat 5</v>
      </c>
      <c r="B3911" t="s">
        <v>655</v>
      </c>
      <c r="C3911" t="s">
        <v>306</v>
      </c>
      <c r="D3911">
        <v>1970</v>
      </c>
      <c r="E3911">
        <v>92</v>
      </c>
      <c r="F3911" t="s">
        <v>656</v>
      </c>
      <c r="G3911">
        <v>5</v>
      </c>
    </row>
    <row r="3912" spans="1:7">
      <c r="A3912" t="str">
        <f t="shared" si="61"/>
        <v>St. Janstraat 7</v>
      </c>
      <c r="B3912" t="s">
        <v>655</v>
      </c>
      <c r="C3912" t="s">
        <v>306</v>
      </c>
      <c r="D3912">
        <v>1970</v>
      </c>
      <c r="E3912">
        <v>92</v>
      </c>
      <c r="F3912" t="s">
        <v>656</v>
      </c>
      <c r="G3912">
        <v>7</v>
      </c>
    </row>
    <row r="3913" spans="1:7">
      <c r="A3913" t="str">
        <f t="shared" si="61"/>
        <v>St. Janstraat 9</v>
      </c>
      <c r="B3913" t="s">
        <v>655</v>
      </c>
      <c r="C3913" t="s">
        <v>306</v>
      </c>
      <c r="D3913">
        <v>1970</v>
      </c>
      <c r="E3913">
        <v>92</v>
      </c>
      <c r="F3913" t="s">
        <v>656</v>
      </c>
      <c r="G3913">
        <v>9</v>
      </c>
    </row>
    <row r="3914" spans="1:7">
      <c r="A3914" t="str">
        <f t="shared" si="61"/>
        <v>St. Janstraat 11</v>
      </c>
      <c r="B3914" t="s">
        <v>655</v>
      </c>
      <c r="C3914" t="s">
        <v>306</v>
      </c>
      <c r="D3914">
        <v>1970</v>
      </c>
      <c r="E3914">
        <v>92</v>
      </c>
      <c r="F3914" t="s">
        <v>656</v>
      </c>
      <c r="G3914">
        <v>11</v>
      </c>
    </row>
    <row r="3915" spans="1:7">
      <c r="A3915" t="str">
        <f t="shared" si="61"/>
        <v>St. Maartensweg 1</v>
      </c>
      <c r="B3915" t="s">
        <v>657</v>
      </c>
      <c r="C3915" t="s">
        <v>343</v>
      </c>
      <c r="D3915">
        <v>1725</v>
      </c>
      <c r="E3915">
        <v>62</v>
      </c>
      <c r="F3915" t="s">
        <v>658</v>
      </c>
      <c r="G3915">
        <v>1</v>
      </c>
    </row>
    <row r="3916" spans="1:7">
      <c r="A3916" t="str">
        <f t="shared" si="61"/>
        <v>Stadhouderslaan 1</v>
      </c>
      <c r="B3916" t="s">
        <v>659</v>
      </c>
      <c r="C3916" t="s">
        <v>296</v>
      </c>
      <c r="D3916">
        <v>1970</v>
      </c>
      <c r="E3916">
        <v>141</v>
      </c>
      <c r="F3916" t="s">
        <v>660</v>
      </c>
      <c r="G3916">
        <v>1</v>
      </c>
    </row>
    <row r="3917" spans="1:7">
      <c r="A3917" t="str">
        <f t="shared" si="61"/>
        <v>Stadhouderslaan 2</v>
      </c>
      <c r="B3917" t="s">
        <v>661</v>
      </c>
      <c r="C3917" t="s">
        <v>296</v>
      </c>
      <c r="D3917">
        <v>1971</v>
      </c>
      <c r="E3917">
        <v>127</v>
      </c>
      <c r="F3917" t="s">
        <v>660</v>
      </c>
      <c r="G3917">
        <v>2</v>
      </c>
    </row>
    <row r="3918" spans="1:7">
      <c r="A3918" t="str">
        <f t="shared" si="61"/>
        <v>Stadhouderslaan 3</v>
      </c>
      <c r="B3918" t="s">
        <v>659</v>
      </c>
      <c r="C3918" t="s">
        <v>296</v>
      </c>
      <c r="D3918">
        <v>1970</v>
      </c>
      <c r="E3918">
        <v>120</v>
      </c>
      <c r="F3918" t="s">
        <v>660</v>
      </c>
      <c r="G3918">
        <v>3</v>
      </c>
    </row>
    <row r="3919" spans="1:7">
      <c r="A3919" t="str">
        <f t="shared" si="61"/>
        <v>Stadhouderslaan 4</v>
      </c>
      <c r="B3919" t="s">
        <v>661</v>
      </c>
      <c r="C3919" t="s">
        <v>296</v>
      </c>
      <c r="D3919">
        <v>1971</v>
      </c>
      <c r="E3919">
        <v>152</v>
      </c>
      <c r="F3919" t="s">
        <v>660</v>
      </c>
      <c r="G3919">
        <v>4</v>
      </c>
    </row>
    <row r="3920" spans="1:7">
      <c r="A3920" t="str">
        <f t="shared" si="61"/>
        <v>Stadhouderslaan 5</v>
      </c>
      <c r="B3920" t="s">
        <v>659</v>
      </c>
      <c r="C3920" t="s">
        <v>296</v>
      </c>
      <c r="D3920">
        <v>1970</v>
      </c>
      <c r="E3920">
        <v>121</v>
      </c>
      <c r="F3920" t="s">
        <v>660</v>
      </c>
      <c r="G3920">
        <v>5</v>
      </c>
    </row>
    <row r="3921" spans="1:7">
      <c r="A3921" t="str">
        <f t="shared" si="61"/>
        <v>Stadhouderslaan 6</v>
      </c>
      <c r="B3921" t="s">
        <v>661</v>
      </c>
      <c r="C3921" t="s">
        <v>296</v>
      </c>
      <c r="D3921">
        <v>1971</v>
      </c>
      <c r="E3921">
        <v>149</v>
      </c>
      <c r="F3921" t="s">
        <v>660</v>
      </c>
      <c r="G3921">
        <v>6</v>
      </c>
    </row>
    <row r="3922" spans="1:7">
      <c r="A3922" t="str">
        <f t="shared" si="61"/>
        <v>Stadhouderslaan 7</v>
      </c>
      <c r="B3922" t="s">
        <v>659</v>
      </c>
      <c r="C3922" t="s">
        <v>296</v>
      </c>
      <c r="D3922">
        <v>1970</v>
      </c>
      <c r="E3922">
        <v>132</v>
      </c>
      <c r="F3922" t="s">
        <v>660</v>
      </c>
      <c r="G3922">
        <v>7</v>
      </c>
    </row>
    <row r="3923" spans="1:7">
      <c r="A3923" t="str">
        <f t="shared" si="61"/>
        <v>Stadhouderslaan 8</v>
      </c>
      <c r="B3923" t="s">
        <v>661</v>
      </c>
      <c r="C3923" t="s">
        <v>296</v>
      </c>
      <c r="D3923">
        <v>1971</v>
      </c>
      <c r="E3923">
        <v>161</v>
      </c>
      <c r="F3923" t="s">
        <v>660</v>
      </c>
      <c r="G3923">
        <v>8</v>
      </c>
    </row>
    <row r="3924" spans="1:7">
      <c r="A3924" t="str">
        <f t="shared" si="61"/>
        <v>Stadhouderslaan 9</v>
      </c>
      <c r="B3924" t="s">
        <v>659</v>
      </c>
      <c r="C3924" t="s">
        <v>296</v>
      </c>
      <c r="D3924">
        <v>1970</v>
      </c>
      <c r="E3924">
        <v>148</v>
      </c>
      <c r="F3924" t="s">
        <v>660</v>
      </c>
      <c r="G3924">
        <v>9</v>
      </c>
    </row>
    <row r="3925" spans="1:7">
      <c r="A3925" t="str">
        <f t="shared" si="61"/>
        <v>Stadhouderslaan 10</v>
      </c>
      <c r="B3925" t="s">
        <v>661</v>
      </c>
      <c r="C3925" t="s">
        <v>296</v>
      </c>
      <c r="D3925">
        <v>1971</v>
      </c>
      <c r="E3925">
        <v>172</v>
      </c>
      <c r="F3925" t="s">
        <v>660</v>
      </c>
      <c r="G3925">
        <v>10</v>
      </c>
    </row>
    <row r="3926" spans="1:7">
      <c r="A3926" t="str">
        <f t="shared" si="61"/>
        <v>Stadhouderslaan 11</v>
      </c>
      <c r="B3926" t="s">
        <v>659</v>
      </c>
      <c r="C3926" t="s">
        <v>296</v>
      </c>
      <c r="D3926">
        <v>1970</v>
      </c>
      <c r="E3926">
        <v>200</v>
      </c>
      <c r="F3926" t="s">
        <v>660</v>
      </c>
      <c r="G3926">
        <v>11</v>
      </c>
    </row>
    <row r="3927" spans="1:7">
      <c r="A3927" t="str">
        <f t="shared" si="61"/>
        <v>Stadhouderslaan 12</v>
      </c>
      <c r="B3927" t="s">
        <v>661</v>
      </c>
      <c r="C3927" t="s">
        <v>296</v>
      </c>
      <c r="D3927">
        <v>1971</v>
      </c>
      <c r="E3927">
        <v>165</v>
      </c>
      <c r="F3927" t="s">
        <v>660</v>
      </c>
      <c r="G3927">
        <v>12</v>
      </c>
    </row>
    <row r="3928" spans="1:7">
      <c r="A3928" t="str">
        <f t="shared" si="61"/>
        <v>Stadhouderslaan 13</v>
      </c>
      <c r="B3928" t="s">
        <v>659</v>
      </c>
      <c r="C3928" t="s">
        <v>296</v>
      </c>
      <c r="D3928">
        <v>1970</v>
      </c>
      <c r="E3928">
        <v>133</v>
      </c>
      <c r="F3928" t="s">
        <v>660</v>
      </c>
      <c r="G3928">
        <v>13</v>
      </c>
    </row>
    <row r="3929" spans="1:7">
      <c r="A3929" t="str">
        <f t="shared" si="61"/>
        <v>Stadhouderslaan 14</v>
      </c>
      <c r="B3929" t="s">
        <v>661</v>
      </c>
      <c r="C3929" t="s">
        <v>296</v>
      </c>
      <c r="D3929">
        <v>1971</v>
      </c>
      <c r="E3929">
        <v>202</v>
      </c>
      <c r="F3929" t="s">
        <v>660</v>
      </c>
      <c r="G3929">
        <v>14</v>
      </c>
    </row>
    <row r="3930" spans="1:7">
      <c r="A3930" t="str">
        <f t="shared" si="61"/>
        <v>Stadhouderslaan 15</v>
      </c>
      <c r="B3930" t="s">
        <v>659</v>
      </c>
      <c r="C3930" t="s">
        <v>296</v>
      </c>
      <c r="D3930">
        <v>1970</v>
      </c>
      <c r="E3930">
        <v>121</v>
      </c>
      <c r="F3930" t="s">
        <v>660</v>
      </c>
      <c r="G3930">
        <v>15</v>
      </c>
    </row>
    <row r="3931" spans="1:7">
      <c r="A3931" t="str">
        <f t="shared" si="61"/>
        <v>Stadhouderslaan 16</v>
      </c>
      <c r="B3931" t="s">
        <v>661</v>
      </c>
      <c r="C3931" t="s">
        <v>296</v>
      </c>
      <c r="D3931">
        <v>1970</v>
      </c>
      <c r="E3931">
        <v>167</v>
      </c>
      <c r="F3931" t="s">
        <v>660</v>
      </c>
      <c r="G3931">
        <v>16</v>
      </c>
    </row>
    <row r="3932" spans="1:7">
      <c r="A3932" t="str">
        <f t="shared" si="61"/>
        <v>Stadhouderslaan 17</v>
      </c>
      <c r="B3932" t="s">
        <v>659</v>
      </c>
      <c r="C3932" t="s">
        <v>296</v>
      </c>
      <c r="D3932">
        <v>1970</v>
      </c>
      <c r="E3932">
        <v>117</v>
      </c>
      <c r="F3932" t="s">
        <v>660</v>
      </c>
      <c r="G3932">
        <v>17</v>
      </c>
    </row>
    <row r="3933" spans="1:7">
      <c r="A3933" t="str">
        <f t="shared" si="61"/>
        <v>Stadhouderslaan 18</v>
      </c>
      <c r="B3933" t="s">
        <v>661</v>
      </c>
      <c r="C3933" t="s">
        <v>296</v>
      </c>
      <c r="D3933">
        <v>1970</v>
      </c>
      <c r="E3933">
        <v>205</v>
      </c>
      <c r="F3933" t="s">
        <v>660</v>
      </c>
      <c r="G3933">
        <v>18</v>
      </c>
    </row>
    <row r="3934" spans="1:7">
      <c r="A3934" t="str">
        <f t="shared" si="61"/>
        <v>Stadhouderslaan 19</v>
      </c>
      <c r="B3934" t="s">
        <v>659</v>
      </c>
      <c r="C3934" t="s">
        <v>296</v>
      </c>
      <c r="D3934">
        <v>1970</v>
      </c>
      <c r="E3934">
        <v>117</v>
      </c>
      <c r="F3934" t="s">
        <v>660</v>
      </c>
      <c r="G3934">
        <v>19</v>
      </c>
    </row>
    <row r="3935" spans="1:7">
      <c r="A3935" t="str">
        <f t="shared" si="61"/>
        <v>Stadhouderslaan 20</v>
      </c>
      <c r="B3935" t="s">
        <v>661</v>
      </c>
      <c r="C3935" t="s">
        <v>296</v>
      </c>
      <c r="D3935">
        <v>1970</v>
      </c>
      <c r="E3935">
        <v>129</v>
      </c>
      <c r="F3935" t="s">
        <v>660</v>
      </c>
      <c r="G3935">
        <v>20</v>
      </c>
    </row>
    <row r="3936" spans="1:7">
      <c r="A3936" t="str">
        <f t="shared" si="61"/>
        <v>Stadhouderslaan 21</v>
      </c>
      <c r="B3936" t="s">
        <v>659</v>
      </c>
      <c r="C3936" t="s">
        <v>296</v>
      </c>
      <c r="D3936">
        <v>1970</v>
      </c>
      <c r="E3936">
        <v>116</v>
      </c>
      <c r="F3936" t="s">
        <v>660</v>
      </c>
      <c r="G3936">
        <v>21</v>
      </c>
    </row>
    <row r="3937" spans="1:7">
      <c r="A3937" t="str">
        <f t="shared" si="61"/>
        <v>Stadhouderslaan 22</v>
      </c>
      <c r="B3937" t="s">
        <v>661</v>
      </c>
      <c r="C3937" t="s">
        <v>296</v>
      </c>
      <c r="D3937">
        <v>1970</v>
      </c>
      <c r="E3937">
        <v>113</v>
      </c>
      <c r="F3937" t="s">
        <v>660</v>
      </c>
      <c r="G3937">
        <v>22</v>
      </c>
    </row>
    <row r="3938" spans="1:7">
      <c r="A3938" t="str">
        <f t="shared" si="61"/>
        <v>Stadhouderslaan 24</v>
      </c>
      <c r="B3938" t="s">
        <v>661</v>
      </c>
      <c r="C3938" t="s">
        <v>296</v>
      </c>
      <c r="D3938">
        <v>1970</v>
      </c>
      <c r="E3938">
        <v>216</v>
      </c>
      <c r="F3938" t="s">
        <v>660</v>
      </c>
      <c r="G3938">
        <v>24</v>
      </c>
    </row>
    <row r="3939" spans="1:7">
      <c r="A3939" t="str">
        <f t="shared" si="61"/>
        <v>Startsedalweg 3</v>
      </c>
      <c r="B3939" t="s">
        <v>662</v>
      </c>
      <c r="C3939" t="s">
        <v>306</v>
      </c>
      <c r="D3939">
        <v>1953</v>
      </c>
      <c r="E3939">
        <v>116</v>
      </c>
      <c r="F3939" t="s">
        <v>663</v>
      </c>
      <c r="G3939">
        <v>3</v>
      </c>
    </row>
    <row r="3940" spans="1:7">
      <c r="A3940" t="str">
        <f t="shared" si="61"/>
        <v>Startsedijk 1</v>
      </c>
      <c r="B3940" t="s">
        <v>664</v>
      </c>
      <c r="C3940" t="s">
        <v>306</v>
      </c>
      <c r="D3940">
        <v>1951</v>
      </c>
      <c r="E3940">
        <v>190</v>
      </c>
      <c r="F3940" t="s">
        <v>665</v>
      </c>
      <c r="G3940">
        <v>1</v>
      </c>
    </row>
    <row r="3941" spans="1:7">
      <c r="A3941" t="str">
        <f t="shared" si="61"/>
        <v>Startsedijk 3</v>
      </c>
      <c r="B3941" t="s">
        <v>664</v>
      </c>
      <c r="C3941" t="s">
        <v>306</v>
      </c>
      <c r="D3941">
        <v>1959</v>
      </c>
      <c r="E3941">
        <v>225</v>
      </c>
      <c r="F3941" t="s">
        <v>665</v>
      </c>
      <c r="G3941">
        <v>3</v>
      </c>
    </row>
    <row r="3942" spans="1:7">
      <c r="A3942" t="str">
        <f t="shared" si="61"/>
        <v>Startsedijk 4</v>
      </c>
      <c r="B3942" t="s">
        <v>664</v>
      </c>
      <c r="C3942" t="s">
        <v>306</v>
      </c>
      <c r="D3942">
        <v>1951</v>
      </c>
      <c r="E3942">
        <v>323</v>
      </c>
      <c r="F3942" t="s">
        <v>665</v>
      </c>
      <c r="G3942">
        <v>4</v>
      </c>
    </row>
    <row r="3943" spans="1:7">
      <c r="A3943" t="str">
        <f t="shared" si="61"/>
        <v>Startsedijk 5</v>
      </c>
      <c r="B3943" t="s">
        <v>664</v>
      </c>
      <c r="C3943" t="s">
        <v>306</v>
      </c>
      <c r="D3943">
        <v>1996</v>
      </c>
      <c r="E3943">
        <v>120</v>
      </c>
      <c r="F3943" t="s">
        <v>665</v>
      </c>
      <c r="G3943">
        <v>5</v>
      </c>
    </row>
    <row r="3944" spans="1:7">
      <c r="A3944" t="str">
        <f t="shared" si="61"/>
        <v>Stationsstraat 1</v>
      </c>
      <c r="B3944" t="s">
        <v>666</v>
      </c>
      <c r="C3944" t="s">
        <v>296</v>
      </c>
      <c r="D3944">
        <v>1935</v>
      </c>
      <c r="E3944">
        <v>158</v>
      </c>
      <c r="F3944" t="s">
        <v>667</v>
      </c>
      <c r="G3944">
        <v>1</v>
      </c>
    </row>
    <row r="3945" spans="1:7">
      <c r="A3945" t="str">
        <f t="shared" si="61"/>
        <v>Stationsstraat 2</v>
      </c>
      <c r="B3945" t="s">
        <v>668</v>
      </c>
      <c r="C3945" t="s">
        <v>296</v>
      </c>
      <c r="D3945">
        <v>1961</v>
      </c>
      <c r="E3945">
        <v>153</v>
      </c>
      <c r="F3945" t="s">
        <v>667</v>
      </c>
      <c r="G3945">
        <v>2</v>
      </c>
    </row>
    <row r="3946" spans="1:7">
      <c r="A3946" t="str">
        <f t="shared" si="61"/>
        <v>Stationsstraat 3</v>
      </c>
      <c r="B3946" t="s">
        <v>666</v>
      </c>
      <c r="C3946" t="s">
        <v>296</v>
      </c>
      <c r="D3946">
        <v>1955</v>
      </c>
      <c r="E3946">
        <v>220</v>
      </c>
      <c r="F3946" t="s">
        <v>667</v>
      </c>
      <c r="G3946">
        <v>3</v>
      </c>
    </row>
    <row r="3947" spans="1:7">
      <c r="A3947" t="str">
        <f t="shared" si="61"/>
        <v>Stationsstraat 4</v>
      </c>
      <c r="B3947" t="s">
        <v>668</v>
      </c>
      <c r="C3947" t="s">
        <v>296</v>
      </c>
      <c r="D3947">
        <v>1961</v>
      </c>
      <c r="E3947">
        <v>108</v>
      </c>
      <c r="F3947" t="s">
        <v>667</v>
      </c>
      <c r="G3947">
        <v>4</v>
      </c>
    </row>
    <row r="3948" spans="1:7">
      <c r="A3948" t="str">
        <f t="shared" si="61"/>
        <v>Stationsstraat 5</v>
      </c>
      <c r="B3948" t="s">
        <v>666</v>
      </c>
      <c r="C3948" t="s">
        <v>296</v>
      </c>
      <c r="D3948">
        <v>1933</v>
      </c>
      <c r="E3948">
        <v>176</v>
      </c>
      <c r="F3948" t="s">
        <v>667</v>
      </c>
      <c r="G3948">
        <v>5</v>
      </c>
    </row>
    <row r="3949" spans="1:7">
      <c r="A3949" t="str">
        <f t="shared" si="61"/>
        <v>Stationsstraat 6</v>
      </c>
      <c r="B3949" t="s">
        <v>668</v>
      </c>
      <c r="C3949" t="s">
        <v>296</v>
      </c>
      <c r="D3949">
        <v>1961</v>
      </c>
      <c r="E3949">
        <v>186</v>
      </c>
      <c r="F3949" t="s">
        <v>667</v>
      </c>
      <c r="G3949">
        <v>6</v>
      </c>
    </row>
    <row r="3950" spans="1:7">
      <c r="A3950" t="str">
        <f t="shared" si="61"/>
        <v>Stationsstraat 7</v>
      </c>
      <c r="B3950" t="s">
        <v>666</v>
      </c>
      <c r="C3950" t="s">
        <v>296</v>
      </c>
      <c r="D3950">
        <v>1933</v>
      </c>
      <c r="E3950">
        <v>127</v>
      </c>
      <c r="F3950" t="s">
        <v>667</v>
      </c>
      <c r="G3950">
        <v>7</v>
      </c>
    </row>
    <row r="3951" spans="1:7">
      <c r="A3951" t="str">
        <f t="shared" si="61"/>
        <v>Stationsstraat 9</v>
      </c>
      <c r="B3951" t="s">
        <v>666</v>
      </c>
      <c r="C3951" t="s">
        <v>296</v>
      </c>
      <c r="D3951">
        <v>1936</v>
      </c>
      <c r="E3951">
        <v>245</v>
      </c>
      <c r="F3951" t="s">
        <v>667</v>
      </c>
      <c r="G3951">
        <v>9</v>
      </c>
    </row>
    <row r="3952" spans="1:7">
      <c r="A3952" t="str">
        <f t="shared" si="61"/>
        <v>Stationsstraat 10</v>
      </c>
      <c r="B3952" t="s">
        <v>668</v>
      </c>
      <c r="C3952" t="s">
        <v>296</v>
      </c>
      <c r="D3952">
        <v>1932</v>
      </c>
      <c r="E3952">
        <v>182</v>
      </c>
      <c r="F3952" t="s">
        <v>667</v>
      </c>
      <c r="G3952">
        <v>10</v>
      </c>
    </row>
    <row r="3953" spans="1:7">
      <c r="A3953" t="str">
        <f t="shared" si="61"/>
        <v>Stationsstraat 11</v>
      </c>
      <c r="B3953" t="s">
        <v>666</v>
      </c>
      <c r="C3953" t="s">
        <v>296</v>
      </c>
      <c r="D3953">
        <v>1933</v>
      </c>
      <c r="E3953">
        <v>124</v>
      </c>
      <c r="F3953" t="s">
        <v>667</v>
      </c>
      <c r="G3953">
        <v>11</v>
      </c>
    </row>
    <row r="3954" spans="1:7">
      <c r="A3954" t="str">
        <f t="shared" si="61"/>
        <v>Stationsstraat 12</v>
      </c>
      <c r="B3954" t="s">
        <v>668</v>
      </c>
      <c r="C3954" t="s">
        <v>296</v>
      </c>
      <c r="D3954">
        <v>1932</v>
      </c>
      <c r="E3954">
        <v>113</v>
      </c>
      <c r="F3954" t="s">
        <v>667</v>
      </c>
      <c r="G3954">
        <v>12</v>
      </c>
    </row>
    <row r="3955" spans="1:7">
      <c r="A3955" t="str">
        <f t="shared" si="61"/>
        <v>Stationsstraat 13</v>
      </c>
      <c r="B3955" t="s">
        <v>666</v>
      </c>
      <c r="C3955" t="s">
        <v>296</v>
      </c>
      <c r="D3955">
        <v>1933</v>
      </c>
      <c r="E3955">
        <v>131</v>
      </c>
      <c r="F3955" t="s">
        <v>667</v>
      </c>
      <c r="G3955">
        <v>13</v>
      </c>
    </row>
    <row r="3956" spans="1:7">
      <c r="A3956" t="str">
        <f t="shared" si="61"/>
        <v>Stationsstraat 14</v>
      </c>
      <c r="B3956" t="s">
        <v>668</v>
      </c>
      <c r="C3956" t="s">
        <v>296</v>
      </c>
      <c r="D3956">
        <v>1932</v>
      </c>
      <c r="E3956">
        <v>120</v>
      </c>
      <c r="F3956" t="s">
        <v>667</v>
      </c>
      <c r="G3956">
        <v>14</v>
      </c>
    </row>
    <row r="3957" spans="1:7">
      <c r="A3957" t="str">
        <f t="shared" si="61"/>
        <v>Stationsstraat 15</v>
      </c>
      <c r="B3957" t="s">
        <v>666</v>
      </c>
      <c r="C3957" t="s">
        <v>296</v>
      </c>
      <c r="D3957">
        <v>1920</v>
      </c>
      <c r="E3957">
        <v>162</v>
      </c>
      <c r="F3957" t="s">
        <v>667</v>
      </c>
      <c r="G3957">
        <v>15</v>
      </c>
    </row>
    <row r="3958" spans="1:7">
      <c r="A3958" t="str">
        <f t="shared" si="61"/>
        <v>Stationsstraat 16</v>
      </c>
      <c r="B3958" t="s">
        <v>668</v>
      </c>
      <c r="C3958" t="s">
        <v>296</v>
      </c>
      <c r="D3958">
        <v>1932</v>
      </c>
      <c r="E3958">
        <v>128</v>
      </c>
      <c r="F3958" t="s">
        <v>667</v>
      </c>
      <c r="G3958">
        <v>16</v>
      </c>
    </row>
    <row r="3959" spans="1:7">
      <c r="A3959" t="str">
        <f t="shared" si="61"/>
        <v>Stationsstraat 17</v>
      </c>
      <c r="B3959" t="s">
        <v>666</v>
      </c>
      <c r="C3959" t="s">
        <v>296</v>
      </c>
      <c r="D3959">
        <v>1933</v>
      </c>
      <c r="E3959">
        <v>249</v>
      </c>
      <c r="F3959" t="s">
        <v>667</v>
      </c>
      <c r="G3959">
        <v>17</v>
      </c>
    </row>
    <row r="3960" spans="1:7">
      <c r="A3960" t="str">
        <f t="shared" si="61"/>
        <v>Stationsstraat 18</v>
      </c>
      <c r="B3960" t="s">
        <v>668</v>
      </c>
      <c r="C3960" t="s">
        <v>296</v>
      </c>
      <c r="D3960">
        <v>1930</v>
      </c>
      <c r="E3960">
        <v>176</v>
      </c>
      <c r="F3960" t="s">
        <v>667</v>
      </c>
      <c r="G3960">
        <v>18</v>
      </c>
    </row>
    <row r="3961" spans="1:7">
      <c r="A3961" t="str">
        <f t="shared" si="61"/>
        <v>Stationsstraat 19</v>
      </c>
      <c r="B3961" t="s">
        <v>666</v>
      </c>
      <c r="C3961" t="s">
        <v>296</v>
      </c>
      <c r="D3961">
        <v>1989</v>
      </c>
      <c r="E3961">
        <v>251</v>
      </c>
      <c r="F3961" t="s">
        <v>667</v>
      </c>
      <c r="G3961">
        <v>19</v>
      </c>
    </row>
    <row r="3962" spans="1:7">
      <c r="A3962" t="str">
        <f t="shared" si="61"/>
        <v>Stationsstraat 20</v>
      </c>
      <c r="B3962" t="s">
        <v>668</v>
      </c>
      <c r="C3962" t="s">
        <v>296</v>
      </c>
      <c r="D3962">
        <v>2005</v>
      </c>
      <c r="E3962">
        <v>241</v>
      </c>
      <c r="F3962" t="s">
        <v>667</v>
      </c>
      <c r="G3962">
        <v>20</v>
      </c>
    </row>
    <row r="3963" spans="1:7">
      <c r="A3963" t="str">
        <f t="shared" si="61"/>
        <v>Stationsstraat 21</v>
      </c>
      <c r="B3963" t="s">
        <v>666</v>
      </c>
      <c r="C3963" t="s">
        <v>296</v>
      </c>
      <c r="D3963">
        <v>1954</v>
      </c>
      <c r="E3963">
        <v>174</v>
      </c>
      <c r="F3963" t="s">
        <v>667</v>
      </c>
      <c r="G3963">
        <v>21</v>
      </c>
    </row>
    <row r="3964" spans="1:7">
      <c r="A3964" t="str">
        <f t="shared" si="61"/>
        <v>Stationsstraat 22</v>
      </c>
      <c r="B3964" t="s">
        <v>668</v>
      </c>
      <c r="C3964" t="s">
        <v>296</v>
      </c>
      <c r="D3964">
        <v>2005</v>
      </c>
      <c r="E3964">
        <v>186</v>
      </c>
      <c r="F3964" t="s">
        <v>667</v>
      </c>
      <c r="G3964">
        <v>22</v>
      </c>
    </row>
    <row r="3965" spans="1:7">
      <c r="A3965" t="str">
        <f t="shared" si="61"/>
        <v>Stationsstraat 23</v>
      </c>
      <c r="B3965" t="s">
        <v>666</v>
      </c>
      <c r="C3965" t="s">
        <v>296</v>
      </c>
      <c r="D3965">
        <v>1955</v>
      </c>
      <c r="E3965">
        <v>110</v>
      </c>
      <c r="F3965" t="s">
        <v>667</v>
      </c>
      <c r="G3965">
        <v>23</v>
      </c>
    </row>
    <row r="3966" spans="1:7">
      <c r="A3966" t="str">
        <f t="shared" si="61"/>
        <v>Stationsstraat 24</v>
      </c>
      <c r="B3966" t="s">
        <v>668</v>
      </c>
      <c r="C3966" t="s">
        <v>296</v>
      </c>
      <c r="D3966">
        <v>1963</v>
      </c>
      <c r="E3966">
        <v>201</v>
      </c>
      <c r="F3966" t="s">
        <v>667</v>
      </c>
      <c r="G3966">
        <v>24</v>
      </c>
    </row>
    <row r="3967" spans="1:7">
      <c r="A3967" t="str">
        <f t="shared" si="61"/>
        <v>Stationsstraat 25</v>
      </c>
      <c r="B3967" t="s">
        <v>666</v>
      </c>
      <c r="C3967" t="s">
        <v>296</v>
      </c>
      <c r="D3967">
        <v>1955</v>
      </c>
      <c r="E3967">
        <v>79</v>
      </c>
      <c r="F3967" t="s">
        <v>667</v>
      </c>
      <c r="G3967">
        <v>25</v>
      </c>
    </row>
    <row r="3968" spans="1:7">
      <c r="A3968" t="str">
        <f t="shared" si="61"/>
        <v>Stationsstraat 26</v>
      </c>
      <c r="B3968" t="s">
        <v>668</v>
      </c>
      <c r="C3968" t="s">
        <v>296</v>
      </c>
      <c r="D3968">
        <v>1967</v>
      </c>
      <c r="E3968">
        <v>114</v>
      </c>
      <c r="F3968" t="s">
        <v>667</v>
      </c>
      <c r="G3968">
        <v>26</v>
      </c>
    </row>
    <row r="3969" spans="1:8">
      <c r="A3969" t="str">
        <f t="shared" si="61"/>
        <v>Stationsstraat 27</v>
      </c>
      <c r="B3969" t="s">
        <v>666</v>
      </c>
      <c r="C3969" t="s">
        <v>296</v>
      </c>
      <c r="D3969">
        <v>1967</v>
      </c>
      <c r="E3969">
        <v>165</v>
      </c>
      <c r="F3969" t="s">
        <v>667</v>
      </c>
      <c r="G3969">
        <v>27</v>
      </c>
    </row>
    <row r="3970" spans="1:8">
      <c r="A3970" t="str">
        <f t="shared" ref="A3970:A4033" si="62">CONCATENATE(F3970," ",G3970,H3970)</f>
        <v>Stationsstraat 28</v>
      </c>
      <c r="B3970" t="s">
        <v>669</v>
      </c>
      <c r="C3970" t="s">
        <v>296</v>
      </c>
      <c r="D3970">
        <v>1967</v>
      </c>
      <c r="E3970">
        <v>96</v>
      </c>
      <c r="F3970" t="s">
        <v>667</v>
      </c>
      <c r="G3970">
        <v>28</v>
      </c>
    </row>
    <row r="3971" spans="1:8">
      <c r="A3971" t="str">
        <f t="shared" si="62"/>
        <v>Stationsstraat 29</v>
      </c>
      <c r="B3971" t="s">
        <v>666</v>
      </c>
      <c r="C3971" t="s">
        <v>296</v>
      </c>
      <c r="D3971">
        <v>1967</v>
      </c>
      <c r="E3971">
        <v>178</v>
      </c>
      <c r="F3971" t="s">
        <v>667</v>
      </c>
      <c r="G3971">
        <v>29</v>
      </c>
    </row>
    <row r="3972" spans="1:8">
      <c r="A3972" t="str">
        <f t="shared" si="62"/>
        <v>Stationsstraat 30</v>
      </c>
      <c r="B3972" t="s">
        <v>669</v>
      </c>
      <c r="C3972" t="s">
        <v>296</v>
      </c>
      <c r="D3972">
        <v>1967</v>
      </c>
      <c r="E3972">
        <v>110</v>
      </c>
      <c r="F3972" t="s">
        <v>667</v>
      </c>
      <c r="G3972">
        <v>30</v>
      </c>
    </row>
    <row r="3973" spans="1:8">
      <c r="A3973" t="str">
        <f t="shared" si="62"/>
        <v>Stationsstraat 31</v>
      </c>
      <c r="B3973" t="s">
        <v>666</v>
      </c>
      <c r="C3973" t="s">
        <v>296</v>
      </c>
      <c r="D3973">
        <v>1966</v>
      </c>
      <c r="E3973">
        <v>147</v>
      </c>
      <c r="F3973" t="s">
        <v>667</v>
      </c>
      <c r="G3973">
        <v>31</v>
      </c>
    </row>
    <row r="3974" spans="1:8">
      <c r="A3974" t="str">
        <f t="shared" si="62"/>
        <v>Stationsstraat 32</v>
      </c>
      <c r="B3974" t="s">
        <v>669</v>
      </c>
      <c r="C3974" t="s">
        <v>296</v>
      </c>
      <c r="D3974">
        <v>1967</v>
      </c>
      <c r="E3974">
        <v>131</v>
      </c>
      <c r="F3974" t="s">
        <v>667</v>
      </c>
      <c r="G3974">
        <v>32</v>
      </c>
    </row>
    <row r="3975" spans="1:8">
      <c r="A3975" t="str">
        <f t="shared" si="62"/>
        <v>Stationsstraat 33</v>
      </c>
      <c r="B3975" t="s">
        <v>670</v>
      </c>
      <c r="C3975" t="s">
        <v>296</v>
      </c>
      <c r="D3975">
        <v>1928</v>
      </c>
      <c r="E3975">
        <v>230</v>
      </c>
      <c r="F3975" t="s">
        <v>667</v>
      </c>
      <c r="G3975">
        <v>33</v>
      </c>
    </row>
    <row r="3976" spans="1:8">
      <c r="A3976" t="str">
        <f t="shared" si="62"/>
        <v>Stationsstraat 34</v>
      </c>
      <c r="B3976" t="s">
        <v>669</v>
      </c>
      <c r="C3976" t="s">
        <v>296</v>
      </c>
      <c r="D3976">
        <v>1966</v>
      </c>
      <c r="E3976">
        <v>16</v>
      </c>
      <c r="F3976" t="s">
        <v>667</v>
      </c>
      <c r="G3976">
        <v>34</v>
      </c>
    </row>
    <row r="3977" spans="1:8">
      <c r="A3977" t="str">
        <f t="shared" si="62"/>
        <v>Stationsstraat 35</v>
      </c>
      <c r="B3977" t="s">
        <v>670</v>
      </c>
      <c r="C3977" t="s">
        <v>296</v>
      </c>
      <c r="D3977">
        <v>1980</v>
      </c>
      <c r="E3977">
        <v>197</v>
      </c>
      <c r="F3977" t="s">
        <v>667</v>
      </c>
      <c r="G3977">
        <v>35</v>
      </c>
    </row>
    <row r="3978" spans="1:8">
      <c r="A3978" t="str">
        <f t="shared" si="62"/>
        <v>Stationsstraat 36a</v>
      </c>
      <c r="B3978" t="s">
        <v>669</v>
      </c>
      <c r="C3978" t="s">
        <v>296</v>
      </c>
      <c r="D3978">
        <v>1920</v>
      </c>
      <c r="E3978">
        <v>381</v>
      </c>
      <c r="F3978" t="s">
        <v>667</v>
      </c>
      <c r="G3978">
        <v>36</v>
      </c>
      <c r="H3978" t="s">
        <v>304</v>
      </c>
    </row>
    <row r="3979" spans="1:8">
      <c r="A3979" t="str">
        <f t="shared" si="62"/>
        <v>Stationsstraat 36</v>
      </c>
      <c r="B3979" t="s">
        <v>669</v>
      </c>
      <c r="C3979" t="s">
        <v>296</v>
      </c>
      <c r="D3979">
        <v>1920</v>
      </c>
      <c r="E3979">
        <v>192</v>
      </c>
      <c r="F3979" t="s">
        <v>667</v>
      </c>
      <c r="G3979">
        <v>36</v>
      </c>
    </row>
    <row r="3980" spans="1:8">
      <c r="A3980" t="str">
        <f t="shared" si="62"/>
        <v>Stationsstraat 37</v>
      </c>
      <c r="B3980" t="s">
        <v>670</v>
      </c>
      <c r="C3980" t="s">
        <v>296</v>
      </c>
      <c r="D3980">
        <v>1980</v>
      </c>
      <c r="E3980">
        <v>252</v>
      </c>
      <c r="F3980" t="s">
        <v>667</v>
      </c>
      <c r="G3980">
        <v>37</v>
      </c>
    </row>
    <row r="3981" spans="1:8">
      <c r="A3981" t="str">
        <f t="shared" si="62"/>
        <v>Stationsstraat 40</v>
      </c>
      <c r="B3981" t="s">
        <v>669</v>
      </c>
      <c r="C3981" t="s">
        <v>296</v>
      </c>
      <c r="D3981">
        <v>1980</v>
      </c>
      <c r="E3981">
        <v>173</v>
      </c>
      <c r="F3981" t="s">
        <v>667</v>
      </c>
      <c r="G3981">
        <v>40</v>
      </c>
    </row>
    <row r="3982" spans="1:8">
      <c r="A3982" t="str">
        <f t="shared" si="62"/>
        <v>Stationsstraat 41</v>
      </c>
      <c r="B3982" t="s">
        <v>670</v>
      </c>
      <c r="C3982" t="s">
        <v>296</v>
      </c>
      <c r="D3982">
        <v>1930</v>
      </c>
      <c r="E3982">
        <v>180</v>
      </c>
      <c r="F3982" t="s">
        <v>667</v>
      </c>
      <c r="G3982">
        <v>41</v>
      </c>
    </row>
    <row r="3983" spans="1:8">
      <c r="A3983" t="str">
        <f t="shared" si="62"/>
        <v>Stationsstraat 42</v>
      </c>
      <c r="B3983" t="s">
        <v>669</v>
      </c>
      <c r="C3983" t="s">
        <v>296</v>
      </c>
      <c r="D3983">
        <v>1980</v>
      </c>
      <c r="E3983">
        <v>237</v>
      </c>
      <c r="F3983" t="s">
        <v>667</v>
      </c>
      <c r="G3983">
        <v>42</v>
      </c>
    </row>
    <row r="3984" spans="1:8">
      <c r="A3984" t="str">
        <f t="shared" si="62"/>
        <v>Stationsstraat 43</v>
      </c>
      <c r="B3984" t="s">
        <v>670</v>
      </c>
      <c r="C3984" t="s">
        <v>296</v>
      </c>
      <c r="D3984">
        <v>1933</v>
      </c>
      <c r="E3984">
        <v>194</v>
      </c>
      <c r="F3984" t="s">
        <v>667</v>
      </c>
      <c r="G3984">
        <v>43</v>
      </c>
    </row>
    <row r="3985" spans="1:8">
      <c r="A3985" t="str">
        <f t="shared" si="62"/>
        <v>Stationsstraat 44a</v>
      </c>
      <c r="B3985" t="s">
        <v>669</v>
      </c>
      <c r="C3985" t="s">
        <v>296</v>
      </c>
      <c r="D3985">
        <v>2020</v>
      </c>
      <c r="E3985">
        <v>124</v>
      </c>
      <c r="F3985" t="s">
        <v>667</v>
      </c>
      <c r="G3985">
        <v>44</v>
      </c>
      <c r="H3985" t="s">
        <v>304</v>
      </c>
    </row>
    <row r="3986" spans="1:8">
      <c r="A3986" t="str">
        <f t="shared" si="62"/>
        <v>Stationsstraat 44b</v>
      </c>
      <c r="B3986" t="s">
        <v>669</v>
      </c>
      <c r="C3986" t="s">
        <v>296</v>
      </c>
      <c r="D3986">
        <v>2020</v>
      </c>
      <c r="E3986">
        <v>124</v>
      </c>
      <c r="F3986" t="s">
        <v>667</v>
      </c>
      <c r="G3986">
        <v>44</v>
      </c>
      <c r="H3986" t="s">
        <v>298</v>
      </c>
    </row>
    <row r="3987" spans="1:8">
      <c r="A3987" t="str">
        <f t="shared" si="62"/>
        <v>Stationsstraat 44</v>
      </c>
      <c r="B3987" t="s">
        <v>669</v>
      </c>
      <c r="C3987" t="s">
        <v>296</v>
      </c>
      <c r="D3987">
        <v>1980</v>
      </c>
      <c r="E3987">
        <v>222</v>
      </c>
      <c r="F3987" t="s">
        <v>667</v>
      </c>
      <c r="G3987">
        <v>44</v>
      </c>
    </row>
    <row r="3988" spans="1:8">
      <c r="A3988" t="str">
        <f t="shared" si="62"/>
        <v>Stationsstraat 45</v>
      </c>
      <c r="B3988" t="s">
        <v>670</v>
      </c>
      <c r="C3988" t="s">
        <v>296</v>
      </c>
      <c r="D3988">
        <v>1933</v>
      </c>
      <c r="E3988">
        <v>166</v>
      </c>
      <c r="F3988" t="s">
        <v>667</v>
      </c>
      <c r="G3988">
        <v>45</v>
      </c>
    </row>
    <row r="3989" spans="1:8">
      <c r="A3989" t="str">
        <f t="shared" si="62"/>
        <v>Stationsstraat 46</v>
      </c>
      <c r="B3989" t="s">
        <v>669</v>
      </c>
      <c r="C3989" t="s">
        <v>296</v>
      </c>
      <c r="D3989">
        <v>1978</v>
      </c>
      <c r="E3989">
        <v>148</v>
      </c>
      <c r="F3989" t="s">
        <v>667</v>
      </c>
      <c r="G3989">
        <v>46</v>
      </c>
    </row>
    <row r="3990" spans="1:8">
      <c r="A3990" t="str">
        <f t="shared" si="62"/>
        <v>Stationsstraat 47</v>
      </c>
      <c r="B3990" t="s">
        <v>670</v>
      </c>
      <c r="C3990" t="s">
        <v>296</v>
      </c>
      <c r="D3990">
        <v>1905</v>
      </c>
      <c r="E3990">
        <v>179</v>
      </c>
      <c r="F3990" t="s">
        <v>667</v>
      </c>
      <c r="G3990">
        <v>47</v>
      </c>
    </row>
    <row r="3991" spans="1:8">
      <c r="A3991" t="str">
        <f t="shared" si="62"/>
        <v>Stationsstraat 48</v>
      </c>
      <c r="B3991" t="s">
        <v>669</v>
      </c>
      <c r="C3991" t="s">
        <v>296</v>
      </c>
      <c r="D3991">
        <v>1913</v>
      </c>
      <c r="E3991">
        <v>1057</v>
      </c>
      <c r="F3991" t="s">
        <v>667</v>
      </c>
      <c r="G3991">
        <v>48</v>
      </c>
    </row>
    <row r="3992" spans="1:8">
      <c r="A3992" t="str">
        <f t="shared" si="62"/>
        <v>Stationsstraat 49</v>
      </c>
      <c r="B3992" t="s">
        <v>670</v>
      </c>
      <c r="C3992" t="s">
        <v>296</v>
      </c>
      <c r="D3992">
        <v>1994</v>
      </c>
      <c r="E3992">
        <v>177</v>
      </c>
      <c r="F3992" t="s">
        <v>667</v>
      </c>
      <c r="G3992">
        <v>49</v>
      </c>
    </row>
    <row r="3993" spans="1:8">
      <c r="A3993" t="str">
        <f t="shared" si="62"/>
        <v>Stationsstraat 50</v>
      </c>
      <c r="B3993" t="s">
        <v>669</v>
      </c>
      <c r="C3993" t="s">
        <v>296</v>
      </c>
      <c r="D3993">
        <v>2000</v>
      </c>
      <c r="E3993">
        <v>105</v>
      </c>
      <c r="F3993" t="s">
        <v>667</v>
      </c>
      <c r="G3993">
        <v>50</v>
      </c>
    </row>
    <row r="3994" spans="1:8">
      <c r="A3994" t="str">
        <f t="shared" si="62"/>
        <v>Stationsstraat 51</v>
      </c>
      <c r="B3994" t="s">
        <v>671</v>
      </c>
      <c r="C3994" t="s">
        <v>296</v>
      </c>
      <c r="D3994">
        <v>1948</v>
      </c>
      <c r="E3994">
        <v>193</v>
      </c>
      <c r="F3994" t="s">
        <v>667</v>
      </c>
      <c r="G3994">
        <v>51</v>
      </c>
    </row>
    <row r="3995" spans="1:8">
      <c r="A3995" t="str">
        <f t="shared" si="62"/>
        <v>Stationsstraat 52</v>
      </c>
      <c r="B3995" t="s">
        <v>669</v>
      </c>
      <c r="C3995" t="s">
        <v>296</v>
      </c>
      <c r="D3995">
        <v>2000</v>
      </c>
      <c r="E3995">
        <v>119</v>
      </c>
      <c r="F3995" t="s">
        <v>667</v>
      </c>
      <c r="G3995">
        <v>52</v>
      </c>
    </row>
    <row r="3996" spans="1:8">
      <c r="A3996" t="str">
        <f t="shared" si="62"/>
        <v>Stationsstraat 53</v>
      </c>
      <c r="B3996" t="s">
        <v>671</v>
      </c>
      <c r="C3996" t="s">
        <v>296</v>
      </c>
      <c r="D3996">
        <v>1920</v>
      </c>
      <c r="E3996">
        <v>126</v>
      </c>
      <c r="F3996" t="s">
        <v>667</v>
      </c>
      <c r="G3996">
        <v>53</v>
      </c>
    </row>
    <row r="3997" spans="1:8">
      <c r="A3997" t="str">
        <f t="shared" si="62"/>
        <v>Stationsstraat 55</v>
      </c>
      <c r="B3997" t="s">
        <v>671</v>
      </c>
      <c r="C3997" t="s">
        <v>296</v>
      </c>
      <c r="D3997">
        <v>1972</v>
      </c>
      <c r="E3997">
        <v>251</v>
      </c>
      <c r="F3997" t="s">
        <v>667</v>
      </c>
      <c r="G3997">
        <v>55</v>
      </c>
    </row>
    <row r="3998" spans="1:8">
      <c r="A3998" t="str">
        <f t="shared" si="62"/>
        <v>Stationsstraat 57</v>
      </c>
      <c r="B3998" t="s">
        <v>671</v>
      </c>
      <c r="C3998" t="s">
        <v>296</v>
      </c>
      <c r="D3998">
        <v>1967</v>
      </c>
      <c r="E3998">
        <v>187</v>
      </c>
      <c r="F3998" t="s">
        <v>667</v>
      </c>
      <c r="G3998">
        <v>57</v>
      </c>
    </row>
    <row r="3999" spans="1:8">
      <c r="A3999" t="str">
        <f t="shared" si="62"/>
        <v>Stationsstraat 59</v>
      </c>
      <c r="B3999" t="s">
        <v>671</v>
      </c>
      <c r="C3999" t="s">
        <v>296</v>
      </c>
      <c r="D3999">
        <v>1969</v>
      </c>
      <c r="E3999">
        <v>158</v>
      </c>
      <c r="F3999" t="s">
        <v>667</v>
      </c>
      <c r="G3999">
        <v>59</v>
      </c>
    </row>
    <row r="4000" spans="1:8">
      <c r="A4000" t="str">
        <f t="shared" si="62"/>
        <v>Stationsstraat 61</v>
      </c>
      <c r="B4000" t="s">
        <v>671</v>
      </c>
      <c r="C4000" t="s">
        <v>296</v>
      </c>
      <c r="D4000">
        <v>1973</v>
      </c>
      <c r="E4000">
        <v>372</v>
      </c>
      <c r="F4000" t="s">
        <v>667</v>
      </c>
      <c r="G4000">
        <v>61</v>
      </c>
    </row>
    <row r="4001" spans="1:7">
      <c r="A4001" t="str">
        <f t="shared" si="62"/>
        <v>Stationsstraat 62</v>
      </c>
      <c r="B4001" t="s">
        <v>669</v>
      </c>
      <c r="C4001" t="s">
        <v>296</v>
      </c>
      <c r="D4001">
        <v>1934</v>
      </c>
      <c r="E4001">
        <v>940</v>
      </c>
      <c r="F4001" t="s">
        <v>667</v>
      </c>
      <c r="G4001">
        <v>62</v>
      </c>
    </row>
    <row r="4002" spans="1:7">
      <c r="A4002" t="str">
        <f t="shared" si="62"/>
        <v>Stationsstraat 63</v>
      </c>
      <c r="B4002" t="s">
        <v>671</v>
      </c>
      <c r="C4002" t="s">
        <v>296</v>
      </c>
      <c r="D4002">
        <v>1973</v>
      </c>
      <c r="E4002">
        <v>201</v>
      </c>
      <c r="F4002" t="s">
        <v>667</v>
      </c>
      <c r="G4002">
        <v>63</v>
      </c>
    </row>
    <row r="4003" spans="1:7">
      <c r="A4003" t="str">
        <f t="shared" si="62"/>
        <v>Stationsstraat 65</v>
      </c>
      <c r="B4003" t="s">
        <v>671</v>
      </c>
      <c r="C4003" t="s">
        <v>296</v>
      </c>
      <c r="D4003">
        <v>1970</v>
      </c>
      <c r="E4003">
        <v>188</v>
      </c>
      <c r="F4003" t="s">
        <v>667</v>
      </c>
      <c r="G4003">
        <v>65</v>
      </c>
    </row>
    <row r="4004" spans="1:7">
      <c r="A4004" t="str">
        <f t="shared" si="62"/>
        <v>Stationsstraat 67</v>
      </c>
      <c r="B4004" t="s">
        <v>671</v>
      </c>
      <c r="C4004" t="s">
        <v>296</v>
      </c>
      <c r="D4004">
        <v>1963</v>
      </c>
      <c r="E4004">
        <v>216</v>
      </c>
      <c r="F4004" t="s">
        <v>667</v>
      </c>
      <c r="G4004">
        <v>67</v>
      </c>
    </row>
    <row r="4005" spans="1:7">
      <c r="A4005" t="str">
        <f t="shared" si="62"/>
        <v>Stationsstraat 69</v>
      </c>
      <c r="B4005" t="s">
        <v>671</v>
      </c>
      <c r="C4005" t="s">
        <v>296</v>
      </c>
      <c r="D4005">
        <v>1963</v>
      </c>
      <c r="E4005">
        <v>198</v>
      </c>
      <c r="F4005" t="s">
        <v>667</v>
      </c>
      <c r="G4005">
        <v>69</v>
      </c>
    </row>
    <row r="4006" spans="1:7">
      <c r="A4006" t="str">
        <f t="shared" si="62"/>
        <v>Stationsstraat 71</v>
      </c>
      <c r="B4006" t="s">
        <v>671</v>
      </c>
      <c r="C4006" t="s">
        <v>296</v>
      </c>
      <c r="D4006">
        <v>1955</v>
      </c>
      <c r="E4006">
        <v>108</v>
      </c>
      <c r="F4006" t="s">
        <v>667</v>
      </c>
      <c r="G4006">
        <v>71</v>
      </c>
    </row>
    <row r="4007" spans="1:7">
      <c r="A4007" t="str">
        <f t="shared" si="62"/>
        <v>Stationsstraat 73</v>
      </c>
      <c r="B4007" t="s">
        <v>671</v>
      </c>
      <c r="C4007" t="s">
        <v>296</v>
      </c>
      <c r="D4007">
        <v>1930</v>
      </c>
      <c r="E4007">
        <v>146</v>
      </c>
      <c r="F4007" t="s">
        <v>667</v>
      </c>
      <c r="G4007">
        <v>73</v>
      </c>
    </row>
    <row r="4008" spans="1:7">
      <c r="A4008" t="str">
        <f t="shared" si="62"/>
        <v>Stationsstraat 75</v>
      </c>
      <c r="B4008" t="s">
        <v>671</v>
      </c>
      <c r="C4008" t="s">
        <v>296</v>
      </c>
      <c r="D4008">
        <v>1990</v>
      </c>
      <c r="E4008">
        <v>188</v>
      </c>
      <c r="F4008" t="s">
        <v>667</v>
      </c>
      <c r="G4008">
        <v>75</v>
      </c>
    </row>
    <row r="4009" spans="1:7">
      <c r="A4009" t="str">
        <f t="shared" si="62"/>
        <v>Stationsstraat 77</v>
      </c>
      <c r="B4009" t="s">
        <v>671</v>
      </c>
      <c r="C4009" t="s">
        <v>296</v>
      </c>
      <c r="D4009">
        <v>1925</v>
      </c>
      <c r="E4009">
        <v>293</v>
      </c>
      <c r="F4009" t="s">
        <v>667</v>
      </c>
      <c r="G4009">
        <v>77</v>
      </c>
    </row>
    <row r="4010" spans="1:7">
      <c r="A4010" t="str">
        <f t="shared" si="62"/>
        <v>Stationsstraat 79</v>
      </c>
      <c r="B4010" t="s">
        <v>671</v>
      </c>
      <c r="C4010" t="s">
        <v>296</v>
      </c>
      <c r="D4010">
        <v>1928</v>
      </c>
      <c r="E4010">
        <v>216</v>
      </c>
      <c r="F4010" t="s">
        <v>667</v>
      </c>
      <c r="G4010">
        <v>79</v>
      </c>
    </row>
    <row r="4011" spans="1:7">
      <c r="A4011" t="str">
        <f t="shared" si="62"/>
        <v>Stationsstraat 82</v>
      </c>
      <c r="B4011" t="s">
        <v>669</v>
      </c>
      <c r="C4011" t="s">
        <v>296</v>
      </c>
      <c r="D4011">
        <v>1985</v>
      </c>
      <c r="E4011">
        <v>80</v>
      </c>
      <c r="F4011" t="s">
        <v>667</v>
      </c>
      <c r="G4011">
        <v>82</v>
      </c>
    </row>
    <row r="4012" spans="1:7">
      <c r="A4012" t="str">
        <f t="shared" si="62"/>
        <v>Stationsstraat 84</v>
      </c>
      <c r="B4012" t="s">
        <v>669</v>
      </c>
      <c r="C4012" t="s">
        <v>296</v>
      </c>
      <c r="D4012">
        <v>1985</v>
      </c>
      <c r="E4012">
        <v>80</v>
      </c>
      <c r="F4012" t="s">
        <v>667</v>
      </c>
      <c r="G4012">
        <v>84</v>
      </c>
    </row>
    <row r="4013" spans="1:7">
      <c r="A4013" t="str">
        <f t="shared" si="62"/>
        <v>Stationsstraat 86</v>
      </c>
      <c r="B4013" t="s">
        <v>669</v>
      </c>
      <c r="C4013" t="s">
        <v>296</v>
      </c>
      <c r="D4013">
        <v>1985</v>
      </c>
      <c r="E4013">
        <v>80</v>
      </c>
      <c r="F4013" t="s">
        <v>667</v>
      </c>
      <c r="G4013">
        <v>86</v>
      </c>
    </row>
    <row r="4014" spans="1:7">
      <c r="A4014" t="str">
        <f t="shared" si="62"/>
        <v>Stationsstraat 88</v>
      </c>
      <c r="B4014" t="s">
        <v>669</v>
      </c>
      <c r="C4014" t="s">
        <v>296</v>
      </c>
      <c r="D4014">
        <v>1985</v>
      </c>
      <c r="E4014">
        <v>80</v>
      </c>
      <c r="F4014" t="s">
        <v>667</v>
      </c>
      <c r="G4014">
        <v>88</v>
      </c>
    </row>
    <row r="4015" spans="1:7">
      <c r="A4015" t="str">
        <f t="shared" si="62"/>
        <v>Stationsstraat 90</v>
      </c>
      <c r="B4015" t="s">
        <v>669</v>
      </c>
      <c r="C4015" t="s">
        <v>296</v>
      </c>
      <c r="D4015">
        <v>1985</v>
      </c>
      <c r="E4015">
        <v>80</v>
      </c>
      <c r="F4015" t="s">
        <v>667</v>
      </c>
      <c r="G4015">
        <v>90</v>
      </c>
    </row>
    <row r="4016" spans="1:7">
      <c r="A4016" t="str">
        <f t="shared" si="62"/>
        <v>Stationsstraat 92</v>
      </c>
      <c r="B4016" t="s">
        <v>669</v>
      </c>
      <c r="C4016" t="s">
        <v>296</v>
      </c>
      <c r="D4016">
        <v>1985</v>
      </c>
      <c r="E4016">
        <v>80</v>
      </c>
      <c r="F4016" t="s">
        <v>667</v>
      </c>
      <c r="G4016">
        <v>92</v>
      </c>
    </row>
    <row r="4017" spans="1:7">
      <c r="A4017" t="str">
        <f t="shared" si="62"/>
        <v>Stationsstraat 94</v>
      </c>
      <c r="B4017" t="s">
        <v>669</v>
      </c>
      <c r="C4017" t="s">
        <v>296</v>
      </c>
      <c r="D4017">
        <v>1985</v>
      </c>
      <c r="E4017">
        <v>80</v>
      </c>
      <c r="F4017" t="s">
        <v>667</v>
      </c>
      <c r="G4017">
        <v>94</v>
      </c>
    </row>
    <row r="4018" spans="1:7">
      <c r="A4018" t="str">
        <f t="shared" si="62"/>
        <v>Stationsstraat 96</v>
      </c>
      <c r="B4018" t="s">
        <v>669</v>
      </c>
      <c r="C4018" t="s">
        <v>296</v>
      </c>
      <c r="D4018">
        <v>1985</v>
      </c>
      <c r="E4018">
        <v>80</v>
      </c>
      <c r="F4018" t="s">
        <v>667</v>
      </c>
      <c r="G4018">
        <v>96</v>
      </c>
    </row>
    <row r="4019" spans="1:7">
      <c r="A4019" t="str">
        <f t="shared" si="62"/>
        <v>Stationsstraat 98</v>
      </c>
      <c r="B4019" t="s">
        <v>669</v>
      </c>
      <c r="C4019" t="s">
        <v>296</v>
      </c>
      <c r="D4019">
        <v>1985</v>
      </c>
      <c r="E4019">
        <v>80</v>
      </c>
      <c r="F4019" t="s">
        <v>667</v>
      </c>
      <c r="G4019">
        <v>98</v>
      </c>
    </row>
    <row r="4020" spans="1:7">
      <c r="A4020" t="str">
        <f t="shared" si="62"/>
        <v>Stationsstraat 100</v>
      </c>
      <c r="B4020" t="s">
        <v>669</v>
      </c>
      <c r="C4020" t="s">
        <v>296</v>
      </c>
      <c r="D4020">
        <v>1985</v>
      </c>
      <c r="E4020">
        <v>80</v>
      </c>
      <c r="F4020" t="s">
        <v>667</v>
      </c>
      <c r="G4020">
        <v>100</v>
      </c>
    </row>
    <row r="4021" spans="1:7">
      <c r="A4021" t="str">
        <f t="shared" si="62"/>
        <v>Stationsstraat 102</v>
      </c>
      <c r="B4021" t="s">
        <v>669</v>
      </c>
      <c r="C4021" t="s">
        <v>296</v>
      </c>
      <c r="D4021">
        <v>1985</v>
      </c>
      <c r="E4021">
        <v>80</v>
      </c>
      <c r="F4021" t="s">
        <v>667</v>
      </c>
      <c r="G4021">
        <v>102</v>
      </c>
    </row>
    <row r="4022" spans="1:7">
      <c r="A4022" t="str">
        <f t="shared" si="62"/>
        <v>Stationsstraat 104</v>
      </c>
      <c r="B4022" t="s">
        <v>669</v>
      </c>
      <c r="C4022" t="s">
        <v>296</v>
      </c>
      <c r="D4022">
        <v>1985</v>
      </c>
      <c r="E4022">
        <v>80</v>
      </c>
      <c r="F4022" t="s">
        <v>667</v>
      </c>
      <c r="G4022">
        <v>104</v>
      </c>
    </row>
    <row r="4023" spans="1:7">
      <c r="A4023" t="str">
        <f t="shared" si="62"/>
        <v>Stationsstraat 106</v>
      </c>
      <c r="B4023" t="s">
        <v>669</v>
      </c>
      <c r="C4023" t="s">
        <v>296</v>
      </c>
      <c r="D4023">
        <v>1985</v>
      </c>
      <c r="E4023">
        <v>80</v>
      </c>
      <c r="F4023" t="s">
        <v>667</v>
      </c>
      <c r="G4023">
        <v>106</v>
      </c>
    </row>
    <row r="4024" spans="1:7">
      <c r="A4024" t="str">
        <f t="shared" si="62"/>
        <v>Stationsstraat 108</v>
      </c>
      <c r="B4024" t="s">
        <v>669</v>
      </c>
      <c r="C4024" t="s">
        <v>296</v>
      </c>
      <c r="D4024">
        <v>1985</v>
      </c>
      <c r="E4024">
        <v>80</v>
      </c>
      <c r="F4024" t="s">
        <v>667</v>
      </c>
      <c r="G4024">
        <v>108</v>
      </c>
    </row>
    <row r="4025" spans="1:7">
      <c r="A4025" t="str">
        <f t="shared" si="62"/>
        <v>Stationsstraat 110</v>
      </c>
      <c r="B4025" t="s">
        <v>669</v>
      </c>
      <c r="C4025" t="s">
        <v>296</v>
      </c>
      <c r="D4025">
        <v>1985</v>
      </c>
      <c r="E4025">
        <v>80</v>
      </c>
      <c r="F4025" t="s">
        <v>667</v>
      </c>
      <c r="G4025">
        <v>110</v>
      </c>
    </row>
    <row r="4026" spans="1:7">
      <c r="A4026" t="str">
        <f t="shared" si="62"/>
        <v>Stationsstraat 112</v>
      </c>
      <c r="B4026" t="s">
        <v>669</v>
      </c>
      <c r="C4026" t="s">
        <v>296</v>
      </c>
      <c r="D4026">
        <v>1985</v>
      </c>
      <c r="E4026">
        <v>80</v>
      </c>
      <c r="F4026" t="s">
        <v>667</v>
      </c>
      <c r="G4026">
        <v>112</v>
      </c>
    </row>
    <row r="4027" spans="1:7">
      <c r="A4027" t="str">
        <f t="shared" si="62"/>
        <v>Stationsstraat 114</v>
      </c>
      <c r="B4027" t="s">
        <v>669</v>
      </c>
      <c r="C4027" t="s">
        <v>296</v>
      </c>
      <c r="D4027">
        <v>1985</v>
      </c>
      <c r="E4027">
        <v>80</v>
      </c>
      <c r="F4027" t="s">
        <v>667</v>
      </c>
      <c r="G4027">
        <v>114</v>
      </c>
    </row>
    <row r="4028" spans="1:7">
      <c r="A4028" t="str">
        <f t="shared" si="62"/>
        <v>Stationsstraat 116</v>
      </c>
      <c r="B4028" t="s">
        <v>669</v>
      </c>
      <c r="C4028" t="s">
        <v>296</v>
      </c>
      <c r="D4028">
        <v>1985</v>
      </c>
      <c r="E4028">
        <v>80</v>
      </c>
      <c r="F4028" t="s">
        <v>667</v>
      </c>
      <c r="G4028">
        <v>116</v>
      </c>
    </row>
    <row r="4029" spans="1:7">
      <c r="A4029" t="str">
        <f t="shared" si="62"/>
        <v>Stationsstraat 118</v>
      </c>
      <c r="B4029" t="s">
        <v>669</v>
      </c>
      <c r="C4029" t="s">
        <v>296</v>
      </c>
      <c r="D4029">
        <v>1967</v>
      </c>
      <c r="E4029">
        <v>428</v>
      </c>
      <c r="F4029" t="s">
        <v>667</v>
      </c>
      <c r="G4029">
        <v>118</v>
      </c>
    </row>
    <row r="4030" spans="1:7">
      <c r="A4030" t="str">
        <f t="shared" si="62"/>
        <v>Stationsstraat 120</v>
      </c>
      <c r="B4030" t="s">
        <v>669</v>
      </c>
      <c r="C4030" t="s">
        <v>296</v>
      </c>
      <c r="D4030">
        <v>1989</v>
      </c>
      <c r="E4030">
        <v>278</v>
      </c>
      <c r="F4030" t="s">
        <v>667</v>
      </c>
      <c r="G4030">
        <v>120</v>
      </c>
    </row>
    <row r="4031" spans="1:7">
      <c r="A4031" t="str">
        <f t="shared" si="62"/>
        <v>Stationsstraat 122</v>
      </c>
      <c r="B4031" t="s">
        <v>669</v>
      </c>
      <c r="C4031" t="s">
        <v>296</v>
      </c>
      <c r="D4031">
        <v>1890</v>
      </c>
      <c r="E4031">
        <v>111</v>
      </c>
      <c r="F4031" t="s">
        <v>667</v>
      </c>
      <c r="G4031">
        <v>122</v>
      </c>
    </row>
    <row r="4032" spans="1:7">
      <c r="A4032" t="str">
        <f t="shared" si="62"/>
        <v>Stationsstraat 124</v>
      </c>
      <c r="B4032" t="s">
        <v>669</v>
      </c>
      <c r="C4032" t="s">
        <v>296</v>
      </c>
      <c r="D4032">
        <v>1890</v>
      </c>
      <c r="E4032">
        <v>103</v>
      </c>
      <c r="F4032" t="s">
        <v>667</v>
      </c>
      <c r="G4032">
        <v>124</v>
      </c>
    </row>
    <row r="4033" spans="1:7">
      <c r="A4033" t="str">
        <f t="shared" si="62"/>
        <v>Stiftstraat 1</v>
      </c>
      <c r="B4033" t="s">
        <v>672</v>
      </c>
      <c r="C4033" t="s">
        <v>296</v>
      </c>
      <c r="D4033">
        <v>1961</v>
      </c>
      <c r="E4033">
        <v>154</v>
      </c>
      <c r="F4033" t="s">
        <v>673</v>
      </c>
      <c r="G4033">
        <v>1</v>
      </c>
    </row>
    <row r="4034" spans="1:7">
      <c r="A4034" t="str">
        <f t="shared" ref="A4034:A4097" si="63">CONCATENATE(F4034," ",G4034,H4034)</f>
        <v>Stiftstraat 2</v>
      </c>
      <c r="B4034" t="s">
        <v>674</v>
      </c>
      <c r="C4034" t="s">
        <v>296</v>
      </c>
      <c r="D4034">
        <v>1961</v>
      </c>
      <c r="E4034">
        <v>119</v>
      </c>
      <c r="F4034" t="s">
        <v>673</v>
      </c>
      <c r="G4034">
        <v>2</v>
      </c>
    </row>
    <row r="4035" spans="1:7">
      <c r="A4035" t="str">
        <f t="shared" si="63"/>
        <v>Stiftstraat 3</v>
      </c>
      <c r="B4035" t="s">
        <v>672</v>
      </c>
      <c r="C4035" t="s">
        <v>296</v>
      </c>
      <c r="D4035">
        <v>1961</v>
      </c>
      <c r="E4035">
        <v>137</v>
      </c>
      <c r="F4035" t="s">
        <v>673</v>
      </c>
      <c r="G4035">
        <v>3</v>
      </c>
    </row>
    <row r="4036" spans="1:7">
      <c r="A4036" t="str">
        <f t="shared" si="63"/>
        <v>Stiftstraat 4</v>
      </c>
      <c r="B4036" t="s">
        <v>674</v>
      </c>
      <c r="C4036" t="s">
        <v>296</v>
      </c>
      <c r="D4036">
        <v>1961</v>
      </c>
      <c r="E4036">
        <v>276</v>
      </c>
      <c r="F4036" t="s">
        <v>673</v>
      </c>
      <c r="G4036">
        <v>4</v>
      </c>
    </row>
    <row r="4037" spans="1:7">
      <c r="A4037" t="str">
        <f t="shared" si="63"/>
        <v>Stiftstraat 5</v>
      </c>
      <c r="B4037" t="s">
        <v>672</v>
      </c>
      <c r="C4037" t="s">
        <v>296</v>
      </c>
      <c r="D4037">
        <v>1961</v>
      </c>
      <c r="E4037">
        <v>87</v>
      </c>
      <c r="F4037" t="s">
        <v>673</v>
      </c>
      <c r="G4037">
        <v>5</v>
      </c>
    </row>
    <row r="4038" spans="1:7">
      <c r="A4038" t="str">
        <f t="shared" si="63"/>
        <v>Stiftstraat 6</v>
      </c>
      <c r="B4038" t="s">
        <v>674</v>
      </c>
      <c r="C4038" t="s">
        <v>296</v>
      </c>
      <c r="D4038">
        <v>1961</v>
      </c>
      <c r="E4038">
        <v>218</v>
      </c>
      <c r="F4038" t="s">
        <v>673</v>
      </c>
      <c r="G4038">
        <v>6</v>
      </c>
    </row>
    <row r="4039" spans="1:7">
      <c r="A4039" t="str">
        <f t="shared" si="63"/>
        <v>Stiftstraat 7</v>
      </c>
      <c r="B4039" t="s">
        <v>672</v>
      </c>
      <c r="C4039" t="s">
        <v>296</v>
      </c>
      <c r="D4039">
        <v>1961</v>
      </c>
      <c r="E4039">
        <v>114</v>
      </c>
      <c r="F4039" t="s">
        <v>673</v>
      </c>
      <c r="G4039">
        <v>7</v>
      </c>
    </row>
    <row r="4040" spans="1:7">
      <c r="A4040" t="str">
        <f t="shared" si="63"/>
        <v>Stiftstraat 8</v>
      </c>
      <c r="B4040" t="s">
        <v>674</v>
      </c>
      <c r="C4040" t="s">
        <v>296</v>
      </c>
      <c r="D4040">
        <v>1961</v>
      </c>
      <c r="E4040">
        <v>100</v>
      </c>
      <c r="F4040" t="s">
        <v>673</v>
      </c>
      <c r="G4040">
        <v>8</v>
      </c>
    </row>
    <row r="4041" spans="1:7">
      <c r="A4041" t="str">
        <f t="shared" si="63"/>
        <v>Stiftstraat 9</v>
      </c>
      <c r="B4041" t="s">
        <v>672</v>
      </c>
      <c r="C4041" t="s">
        <v>296</v>
      </c>
      <c r="D4041">
        <v>1961</v>
      </c>
      <c r="E4041">
        <v>95</v>
      </c>
      <c r="F4041" t="s">
        <v>673</v>
      </c>
      <c r="G4041">
        <v>9</v>
      </c>
    </row>
    <row r="4042" spans="1:7">
      <c r="A4042" t="str">
        <f t="shared" si="63"/>
        <v>Stiftstraat 10</v>
      </c>
      <c r="B4042" t="s">
        <v>674</v>
      </c>
      <c r="C4042" t="s">
        <v>296</v>
      </c>
      <c r="D4042">
        <v>1961</v>
      </c>
      <c r="E4042">
        <v>143</v>
      </c>
      <c r="F4042" t="s">
        <v>673</v>
      </c>
      <c r="G4042">
        <v>10</v>
      </c>
    </row>
    <row r="4043" spans="1:7">
      <c r="A4043" t="str">
        <f t="shared" si="63"/>
        <v>Stiftstraat 11</v>
      </c>
      <c r="B4043" t="s">
        <v>672</v>
      </c>
      <c r="C4043" t="s">
        <v>296</v>
      </c>
      <c r="D4043">
        <v>1961</v>
      </c>
      <c r="E4043">
        <v>96</v>
      </c>
      <c r="F4043" t="s">
        <v>673</v>
      </c>
      <c r="G4043">
        <v>11</v>
      </c>
    </row>
    <row r="4044" spans="1:7">
      <c r="A4044" t="str">
        <f t="shared" si="63"/>
        <v>Stiftstraat 12</v>
      </c>
      <c r="B4044" t="s">
        <v>674</v>
      </c>
      <c r="C4044" t="s">
        <v>296</v>
      </c>
      <c r="D4044">
        <v>1961</v>
      </c>
      <c r="E4044">
        <v>110</v>
      </c>
      <c r="F4044" t="s">
        <v>673</v>
      </c>
      <c r="G4044">
        <v>12</v>
      </c>
    </row>
    <row r="4045" spans="1:7">
      <c r="A4045" t="str">
        <f t="shared" si="63"/>
        <v>Stiftstraat 13</v>
      </c>
      <c r="B4045" t="s">
        <v>672</v>
      </c>
      <c r="C4045" t="s">
        <v>296</v>
      </c>
      <c r="D4045">
        <v>1961</v>
      </c>
      <c r="E4045">
        <v>103</v>
      </c>
      <c r="F4045" t="s">
        <v>673</v>
      </c>
      <c r="G4045">
        <v>13</v>
      </c>
    </row>
    <row r="4046" spans="1:7">
      <c r="A4046" t="str">
        <f t="shared" si="63"/>
        <v>Stiftstraat 14</v>
      </c>
      <c r="B4046" t="s">
        <v>674</v>
      </c>
      <c r="C4046" t="s">
        <v>296</v>
      </c>
      <c r="D4046">
        <v>1961</v>
      </c>
      <c r="E4046">
        <v>144</v>
      </c>
      <c r="F4046" t="s">
        <v>673</v>
      </c>
      <c r="G4046">
        <v>14</v>
      </c>
    </row>
    <row r="4047" spans="1:7">
      <c r="A4047" t="str">
        <f t="shared" si="63"/>
        <v>Stiftstraat 15</v>
      </c>
      <c r="B4047" t="s">
        <v>672</v>
      </c>
      <c r="C4047" t="s">
        <v>296</v>
      </c>
      <c r="D4047">
        <v>1961</v>
      </c>
      <c r="E4047">
        <v>184</v>
      </c>
      <c r="F4047" t="s">
        <v>673</v>
      </c>
      <c r="G4047">
        <v>15</v>
      </c>
    </row>
    <row r="4048" spans="1:7">
      <c r="A4048" t="str">
        <f t="shared" si="63"/>
        <v>Stiftstraat 16</v>
      </c>
      <c r="B4048" t="s">
        <v>674</v>
      </c>
      <c r="C4048" t="s">
        <v>296</v>
      </c>
      <c r="D4048">
        <v>1967</v>
      </c>
      <c r="E4048">
        <v>158</v>
      </c>
      <c r="F4048" t="s">
        <v>673</v>
      </c>
      <c r="G4048">
        <v>16</v>
      </c>
    </row>
    <row r="4049" spans="1:7">
      <c r="A4049" t="str">
        <f t="shared" si="63"/>
        <v>Stiftstraat 17</v>
      </c>
      <c r="B4049" t="s">
        <v>672</v>
      </c>
      <c r="C4049" t="s">
        <v>296</v>
      </c>
      <c r="D4049">
        <v>1961</v>
      </c>
      <c r="E4049">
        <v>144</v>
      </c>
      <c r="F4049" t="s">
        <v>673</v>
      </c>
      <c r="G4049">
        <v>17</v>
      </c>
    </row>
    <row r="4050" spans="1:7">
      <c r="A4050" t="str">
        <f t="shared" si="63"/>
        <v>Stiftstraat 18</v>
      </c>
      <c r="B4050" t="s">
        <v>674</v>
      </c>
      <c r="C4050" t="s">
        <v>296</v>
      </c>
      <c r="D4050">
        <v>1967</v>
      </c>
      <c r="E4050">
        <v>158</v>
      </c>
      <c r="F4050" t="s">
        <v>673</v>
      </c>
      <c r="G4050">
        <v>18</v>
      </c>
    </row>
    <row r="4051" spans="1:7">
      <c r="A4051" t="str">
        <f t="shared" si="63"/>
        <v>Stiftstraat 19</v>
      </c>
      <c r="B4051" t="s">
        <v>672</v>
      </c>
      <c r="C4051" t="s">
        <v>296</v>
      </c>
      <c r="D4051">
        <v>1961</v>
      </c>
      <c r="E4051">
        <v>153</v>
      </c>
      <c r="F4051" t="s">
        <v>673</v>
      </c>
      <c r="G4051">
        <v>19</v>
      </c>
    </row>
    <row r="4052" spans="1:7">
      <c r="A4052" t="str">
        <f t="shared" si="63"/>
        <v>Stiftstraat 20</v>
      </c>
      <c r="B4052" t="s">
        <v>674</v>
      </c>
      <c r="C4052" t="s">
        <v>296</v>
      </c>
      <c r="D4052">
        <v>1967</v>
      </c>
      <c r="E4052">
        <v>178</v>
      </c>
      <c r="F4052" t="s">
        <v>673</v>
      </c>
      <c r="G4052">
        <v>20</v>
      </c>
    </row>
    <row r="4053" spans="1:7">
      <c r="A4053" t="str">
        <f t="shared" si="63"/>
        <v>Stiftstraat 21</v>
      </c>
      <c r="B4053" t="s">
        <v>672</v>
      </c>
      <c r="C4053" t="s">
        <v>296</v>
      </c>
      <c r="D4053">
        <v>1965</v>
      </c>
      <c r="E4053">
        <v>104</v>
      </c>
      <c r="F4053" t="s">
        <v>673</v>
      </c>
      <c r="G4053">
        <v>21</v>
      </c>
    </row>
    <row r="4054" spans="1:7">
      <c r="A4054" t="str">
        <f t="shared" si="63"/>
        <v>Stiftstraat 22</v>
      </c>
      <c r="B4054" t="s">
        <v>674</v>
      </c>
      <c r="C4054" t="s">
        <v>296</v>
      </c>
      <c r="D4054">
        <v>1969</v>
      </c>
      <c r="E4054">
        <v>361</v>
      </c>
      <c r="F4054" t="s">
        <v>673</v>
      </c>
      <c r="G4054">
        <v>22</v>
      </c>
    </row>
    <row r="4055" spans="1:7">
      <c r="A4055" t="str">
        <f t="shared" si="63"/>
        <v>Stiftstraat 23</v>
      </c>
      <c r="B4055" t="s">
        <v>672</v>
      </c>
      <c r="C4055" t="s">
        <v>296</v>
      </c>
      <c r="D4055">
        <v>1968</v>
      </c>
      <c r="E4055">
        <v>198</v>
      </c>
      <c r="F4055" t="s">
        <v>673</v>
      </c>
      <c r="G4055">
        <v>23</v>
      </c>
    </row>
    <row r="4056" spans="1:7">
      <c r="A4056" t="str">
        <f t="shared" si="63"/>
        <v>Stiftstraat 24</v>
      </c>
      <c r="B4056" t="s">
        <v>674</v>
      </c>
      <c r="C4056" t="s">
        <v>296</v>
      </c>
      <c r="D4056">
        <v>2012</v>
      </c>
      <c r="E4056">
        <v>113</v>
      </c>
      <c r="F4056" t="s">
        <v>673</v>
      </c>
      <c r="G4056">
        <v>24</v>
      </c>
    </row>
    <row r="4057" spans="1:7">
      <c r="A4057" t="str">
        <f t="shared" si="63"/>
        <v>Stiftstraat 25</v>
      </c>
      <c r="B4057" t="s">
        <v>672</v>
      </c>
      <c r="C4057" t="s">
        <v>296</v>
      </c>
      <c r="D4057">
        <v>1967</v>
      </c>
      <c r="E4057">
        <v>179</v>
      </c>
      <c r="F4057" t="s">
        <v>673</v>
      </c>
      <c r="G4057">
        <v>25</v>
      </c>
    </row>
    <row r="4058" spans="1:7">
      <c r="A4058" t="str">
        <f t="shared" si="63"/>
        <v>Stiftstraat 26</v>
      </c>
      <c r="B4058" t="s">
        <v>674</v>
      </c>
      <c r="C4058" t="s">
        <v>296</v>
      </c>
      <c r="D4058">
        <v>2012</v>
      </c>
      <c r="E4058">
        <v>118</v>
      </c>
      <c r="F4058" t="s">
        <v>673</v>
      </c>
      <c r="G4058">
        <v>26</v>
      </c>
    </row>
    <row r="4059" spans="1:7">
      <c r="A4059" t="str">
        <f t="shared" si="63"/>
        <v>Stiftstraat 27</v>
      </c>
      <c r="B4059" t="s">
        <v>672</v>
      </c>
      <c r="C4059" t="s">
        <v>296</v>
      </c>
      <c r="D4059">
        <v>1967</v>
      </c>
      <c r="E4059">
        <v>199</v>
      </c>
      <c r="F4059" t="s">
        <v>673</v>
      </c>
      <c r="G4059">
        <v>27</v>
      </c>
    </row>
    <row r="4060" spans="1:7">
      <c r="A4060" t="str">
        <f t="shared" si="63"/>
        <v>Stiftstraat 28</v>
      </c>
      <c r="B4060" t="s">
        <v>674</v>
      </c>
      <c r="C4060" t="s">
        <v>296</v>
      </c>
      <c r="D4060">
        <v>2017</v>
      </c>
      <c r="E4060">
        <v>164</v>
      </c>
      <c r="F4060" t="s">
        <v>673</v>
      </c>
      <c r="G4060">
        <v>28</v>
      </c>
    </row>
    <row r="4061" spans="1:7">
      <c r="A4061" t="str">
        <f t="shared" si="63"/>
        <v>Stiftstraat 29</v>
      </c>
      <c r="B4061" t="s">
        <v>672</v>
      </c>
      <c r="C4061" t="s">
        <v>296</v>
      </c>
      <c r="D4061">
        <v>1966</v>
      </c>
      <c r="E4061">
        <v>202</v>
      </c>
      <c r="F4061" t="s">
        <v>673</v>
      </c>
      <c r="G4061">
        <v>29</v>
      </c>
    </row>
    <row r="4062" spans="1:7">
      <c r="A4062" t="str">
        <f t="shared" si="63"/>
        <v>Stiftstraat 30</v>
      </c>
      <c r="B4062" t="s">
        <v>674</v>
      </c>
      <c r="C4062" t="s">
        <v>296</v>
      </c>
      <c r="D4062">
        <v>2017</v>
      </c>
      <c r="E4062">
        <v>164</v>
      </c>
      <c r="F4062" t="s">
        <v>673</v>
      </c>
      <c r="G4062">
        <v>30</v>
      </c>
    </row>
    <row r="4063" spans="1:7">
      <c r="A4063" t="str">
        <f t="shared" si="63"/>
        <v>Stiftstraat 31</v>
      </c>
      <c r="B4063" t="s">
        <v>672</v>
      </c>
      <c r="C4063" t="s">
        <v>296</v>
      </c>
      <c r="D4063">
        <v>1965</v>
      </c>
      <c r="E4063">
        <v>143</v>
      </c>
      <c r="F4063" t="s">
        <v>673</v>
      </c>
      <c r="G4063">
        <v>31</v>
      </c>
    </row>
    <row r="4064" spans="1:7">
      <c r="A4064" t="str">
        <f t="shared" si="63"/>
        <v>Stiftstraat 32</v>
      </c>
      <c r="B4064" t="s">
        <v>674</v>
      </c>
      <c r="C4064" t="s">
        <v>296</v>
      </c>
      <c r="D4064">
        <v>2015</v>
      </c>
      <c r="E4064">
        <v>372</v>
      </c>
      <c r="F4064" t="s">
        <v>673</v>
      </c>
      <c r="G4064">
        <v>32</v>
      </c>
    </row>
    <row r="4065" spans="1:8">
      <c r="A4065" t="str">
        <f t="shared" si="63"/>
        <v>Stiftstraat 33</v>
      </c>
      <c r="B4065" t="s">
        <v>672</v>
      </c>
      <c r="C4065" t="s">
        <v>296</v>
      </c>
      <c r="D4065">
        <v>1965</v>
      </c>
      <c r="E4065">
        <v>175</v>
      </c>
      <c r="F4065" t="s">
        <v>673</v>
      </c>
      <c r="G4065">
        <v>33</v>
      </c>
    </row>
    <row r="4066" spans="1:8">
      <c r="A4066" t="str">
        <f t="shared" si="63"/>
        <v>Stiftstraat 35</v>
      </c>
      <c r="B4066" t="s">
        <v>672</v>
      </c>
      <c r="C4066" t="s">
        <v>296</v>
      </c>
      <c r="D4066">
        <v>1967</v>
      </c>
      <c r="E4066">
        <v>146</v>
      </c>
      <c r="F4066" t="s">
        <v>673</v>
      </c>
      <c r="G4066">
        <v>35</v>
      </c>
    </row>
    <row r="4067" spans="1:8">
      <c r="A4067" t="str">
        <f t="shared" si="63"/>
        <v>Stiftstraat 37</v>
      </c>
      <c r="B4067" t="s">
        <v>672</v>
      </c>
      <c r="C4067" t="s">
        <v>296</v>
      </c>
      <c r="D4067">
        <v>1967</v>
      </c>
      <c r="E4067">
        <v>127</v>
      </c>
      <c r="F4067" t="s">
        <v>673</v>
      </c>
      <c r="G4067">
        <v>37</v>
      </c>
    </row>
    <row r="4068" spans="1:8">
      <c r="A4068" t="str">
        <f t="shared" si="63"/>
        <v>Stiftstraat 39</v>
      </c>
      <c r="B4068" t="s">
        <v>672</v>
      </c>
      <c r="C4068" t="s">
        <v>296</v>
      </c>
      <c r="D4068">
        <v>1965</v>
      </c>
      <c r="E4068">
        <v>154</v>
      </c>
      <c r="F4068" t="s">
        <v>673</v>
      </c>
      <c r="G4068">
        <v>39</v>
      </c>
    </row>
    <row r="4069" spans="1:8">
      <c r="A4069" t="str">
        <f t="shared" si="63"/>
        <v>Stiftstraat 41</v>
      </c>
      <c r="B4069" t="s">
        <v>672</v>
      </c>
      <c r="C4069" t="s">
        <v>296</v>
      </c>
      <c r="D4069">
        <v>1965</v>
      </c>
      <c r="E4069">
        <v>156</v>
      </c>
      <c r="F4069" t="s">
        <v>673</v>
      </c>
      <c r="G4069">
        <v>41</v>
      </c>
    </row>
    <row r="4070" spans="1:8">
      <c r="A4070" t="str">
        <f t="shared" si="63"/>
        <v>'t Kempke 2</v>
      </c>
      <c r="B4070" t="s">
        <v>675</v>
      </c>
      <c r="C4070" t="s">
        <v>306</v>
      </c>
      <c r="D4070">
        <v>1976</v>
      </c>
      <c r="E4070">
        <v>292</v>
      </c>
      <c r="F4070" t="s">
        <v>676</v>
      </c>
      <c r="G4070">
        <v>2</v>
      </c>
    </row>
    <row r="4071" spans="1:8">
      <c r="A4071" t="str">
        <f t="shared" si="63"/>
        <v>'t Kempke 3</v>
      </c>
      <c r="B4071" t="s">
        <v>675</v>
      </c>
      <c r="C4071" t="s">
        <v>306</v>
      </c>
      <c r="D4071">
        <v>1977</v>
      </c>
      <c r="E4071">
        <v>213</v>
      </c>
      <c r="F4071" t="s">
        <v>676</v>
      </c>
      <c r="G4071">
        <v>3</v>
      </c>
    </row>
    <row r="4072" spans="1:8">
      <c r="A4072" t="str">
        <f t="shared" si="63"/>
        <v>'t Kempke 4a</v>
      </c>
      <c r="B4072" t="s">
        <v>675</v>
      </c>
      <c r="C4072" t="s">
        <v>306</v>
      </c>
      <c r="D4072">
        <v>1975</v>
      </c>
      <c r="E4072">
        <v>290</v>
      </c>
      <c r="F4072" t="s">
        <v>676</v>
      </c>
      <c r="G4072">
        <v>4</v>
      </c>
      <c r="H4072" t="s">
        <v>304</v>
      </c>
    </row>
    <row r="4073" spans="1:8">
      <c r="A4073" t="str">
        <f t="shared" si="63"/>
        <v>'t Kempke 4</v>
      </c>
      <c r="B4073" t="s">
        <v>675</v>
      </c>
      <c r="C4073" t="s">
        <v>306</v>
      </c>
      <c r="D4073">
        <v>1975</v>
      </c>
      <c r="E4073">
        <v>532</v>
      </c>
      <c r="F4073" t="s">
        <v>676</v>
      </c>
      <c r="G4073">
        <v>4</v>
      </c>
    </row>
    <row r="4074" spans="1:8">
      <c r="A4074" t="str">
        <f t="shared" si="63"/>
        <v>'t Kempke 5</v>
      </c>
      <c r="B4074" t="s">
        <v>675</v>
      </c>
      <c r="C4074" t="s">
        <v>306</v>
      </c>
      <c r="D4074">
        <v>1977</v>
      </c>
      <c r="E4074">
        <v>193</v>
      </c>
      <c r="F4074" t="s">
        <v>676</v>
      </c>
      <c r="G4074">
        <v>5</v>
      </c>
    </row>
    <row r="4075" spans="1:8">
      <c r="A4075" t="str">
        <f t="shared" si="63"/>
        <v>'t Kempke 6</v>
      </c>
      <c r="B4075" t="s">
        <v>675</v>
      </c>
      <c r="C4075" t="s">
        <v>306</v>
      </c>
      <c r="D4075">
        <v>1975</v>
      </c>
      <c r="E4075">
        <v>237</v>
      </c>
      <c r="F4075" t="s">
        <v>676</v>
      </c>
      <c r="G4075">
        <v>6</v>
      </c>
    </row>
    <row r="4076" spans="1:8">
      <c r="A4076" t="str">
        <f t="shared" si="63"/>
        <v>'t Kempke 7</v>
      </c>
      <c r="B4076" t="s">
        <v>675</v>
      </c>
      <c r="C4076" t="s">
        <v>306</v>
      </c>
      <c r="D4076">
        <v>1977</v>
      </c>
      <c r="E4076">
        <v>160</v>
      </c>
      <c r="F4076" t="s">
        <v>676</v>
      </c>
      <c r="G4076">
        <v>7</v>
      </c>
    </row>
    <row r="4077" spans="1:8">
      <c r="A4077" t="str">
        <f t="shared" si="63"/>
        <v>'t Kempke 8</v>
      </c>
      <c r="B4077" t="s">
        <v>675</v>
      </c>
      <c r="C4077" t="s">
        <v>306</v>
      </c>
      <c r="D4077">
        <v>1975</v>
      </c>
      <c r="E4077">
        <v>224</v>
      </c>
      <c r="F4077" t="s">
        <v>676</v>
      </c>
      <c r="G4077">
        <v>8</v>
      </c>
    </row>
    <row r="4078" spans="1:8">
      <c r="A4078" t="str">
        <f t="shared" si="63"/>
        <v>'t Kempke 9</v>
      </c>
      <c r="B4078" t="s">
        <v>675</v>
      </c>
      <c r="C4078" t="s">
        <v>306</v>
      </c>
      <c r="D4078">
        <v>1977</v>
      </c>
      <c r="E4078">
        <v>164</v>
      </c>
      <c r="F4078" t="s">
        <v>676</v>
      </c>
      <c r="G4078">
        <v>9</v>
      </c>
    </row>
    <row r="4079" spans="1:8">
      <c r="A4079" t="str">
        <f t="shared" si="63"/>
        <v>'t Kempke 10</v>
      </c>
      <c r="B4079" t="s">
        <v>675</v>
      </c>
      <c r="C4079" t="s">
        <v>306</v>
      </c>
      <c r="D4079">
        <v>2017</v>
      </c>
      <c r="E4079">
        <v>140</v>
      </c>
      <c r="F4079" t="s">
        <v>676</v>
      </c>
      <c r="G4079">
        <v>10</v>
      </c>
    </row>
    <row r="4080" spans="1:8">
      <c r="A4080" t="str">
        <f t="shared" si="63"/>
        <v>'t Kempke 11</v>
      </c>
      <c r="B4080" t="s">
        <v>675</v>
      </c>
      <c r="C4080" t="s">
        <v>306</v>
      </c>
      <c r="D4080">
        <v>1977</v>
      </c>
      <c r="E4080">
        <v>186</v>
      </c>
      <c r="F4080" t="s">
        <v>676</v>
      </c>
      <c r="G4080">
        <v>11</v>
      </c>
    </row>
    <row r="4081" spans="1:7">
      <c r="A4081" t="str">
        <f t="shared" si="63"/>
        <v>'t Kempke 12</v>
      </c>
      <c r="B4081" t="s">
        <v>675</v>
      </c>
      <c r="C4081" t="s">
        <v>306</v>
      </c>
      <c r="D4081">
        <v>2017</v>
      </c>
      <c r="E4081">
        <v>140</v>
      </c>
      <c r="F4081" t="s">
        <v>676</v>
      </c>
      <c r="G4081">
        <v>12</v>
      </c>
    </row>
    <row r="4082" spans="1:7">
      <c r="A4082" t="str">
        <f t="shared" si="63"/>
        <v>'t Kempke 13</v>
      </c>
      <c r="B4082" t="s">
        <v>675</v>
      </c>
      <c r="C4082" t="s">
        <v>306</v>
      </c>
      <c r="D4082">
        <v>1977</v>
      </c>
      <c r="E4082">
        <v>261</v>
      </c>
      <c r="F4082" t="s">
        <v>676</v>
      </c>
      <c r="G4082">
        <v>13</v>
      </c>
    </row>
    <row r="4083" spans="1:7">
      <c r="A4083" t="str">
        <f t="shared" si="63"/>
        <v>'t Kempke 15</v>
      </c>
      <c r="B4083" t="s">
        <v>675</v>
      </c>
      <c r="C4083" t="s">
        <v>306</v>
      </c>
      <c r="D4083">
        <v>2019</v>
      </c>
      <c r="E4083">
        <v>88</v>
      </c>
      <c r="F4083" t="s">
        <v>676</v>
      </c>
      <c r="G4083">
        <v>15</v>
      </c>
    </row>
    <row r="4084" spans="1:7">
      <c r="A4084" t="str">
        <f t="shared" si="63"/>
        <v>'t Kempke 17</v>
      </c>
      <c r="B4084" t="s">
        <v>675</v>
      </c>
      <c r="C4084" t="s">
        <v>306</v>
      </c>
      <c r="D4084">
        <v>2019</v>
      </c>
      <c r="E4084">
        <v>83</v>
      </c>
      <c r="F4084" t="s">
        <v>676</v>
      </c>
      <c r="G4084">
        <v>17</v>
      </c>
    </row>
    <row r="4085" spans="1:7">
      <c r="A4085" t="str">
        <f t="shared" si="63"/>
        <v>'t Kempke 19</v>
      </c>
      <c r="B4085" t="s">
        <v>675</v>
      </c>
      <c r="C4085" t="s">
        <v>306</v>
      </c>
      <c r="D4085">
        <v>2019</v>
      </c>
      <c r="E4085">
        <v>110</v>
      </c>
      <c r="F4085" t="s">
        <v>676</v>
      </c>
      <c r="G4085">
        <v>19</v>
      </c>
    </row>
    <row r="4086" spans="1:7">
      <c r="A4086" t="str">
        <f t="shared" si="63"/>
        <v>'t Kempke 21</v>
      </c>
      <c r="B4086" t="s">
        <v>675</v>
      </c>
      <c r="C4086" t="s">
        <v>306</v>
      </c>
      <c r="D4086">
        <v>2018</v>
      </c>
      <c r="E4086">
        <v>50</v>
      </c>
      <c r="F4086" t="s">
        <v>676</v>
      </c>
      <c r="G4086">
        <v>21</v>
      </c>
    </row>
    <row r="4087" spans="1:7">
      <c r="A4087" t="str">
        <f t="shared" si="63"/>
        <v>van Dedemstraat 1</v>
      </c>
      <c r="B4087" t="s">
        <v>677</v>
      </c>
      <c r="C4087" t="s">
        <v>306</v>
      </c>
      <c r="D4087">
        <v>1955</v>
      </c>
      <c r="E4087">
        <v>106</v>
      </c>
      <c r="F4087" t="s">
        <v>678</v>
      </c>
      <c r="G4087">
        <v>1</v>
      </c>
    </row>
    <row r="4088" spans="1:7">
      <c r="A4088" t="str">
        <f t="shared" si="63"/>
        <v>van Dedemstraat 3</v>
      </c>
      <c r="B4088" t="s">
        <v>677</v>
      </c>
      <c r="C4088" t="s">
        <v>306</v>
      </c>
      <c r="D4088">
        <v>1955</v>
      </c>
      <c r="E4088">
        <v>168</v>
      </c>
      <c r="F4088" t="s">
        <v>678</v>
      </c>
      <c r="G4088">
        <v>3</v>
      </c>
    </row>
    <row r="4089" spans="1:7">
      <c r="A4089" t="str">
        <f t="shared" si="63"/>
        <v>van Dedemstraat 4</v>
      </c>
      <c r="B4089" t="s">
        <v>677</v>
      </c>
      <c r="C4089" t="s">
        <v>306</v>
      </c>
      <c r="D4089">
        <v>1989</v>
      </c>
      <c r="E4089">
        <v>139</v>
      </c>
      <c r="F4089" t="s">
        <v>678</v>
      </c>
      <c r="G4089">
        <v>4</v>
      </c>
    </row>
    <row r="4090" spans="1:7">
      <c r="A4090" t="str">
        <f t="shared" si="63"/>
        <v>van Dedemstraat 6</v>
      </c>
      <c r="B4090" t="s">
        <v>677</v>
      </c>
      <c r="C4090" t="s">
        <v>306</v>
      </c>
      <c r="D4090">
        <v>1957</v>
      </c>
      <c r="E4090">
        <v>106</v>
      </c>
      <c r="F4090" t="s">
        <v>678</v>
      </c>
      <c r="G4090">
        <v>6</v>
      </c>
    </row>
    <row r="4091" spans="1:7">
      <c r="A4091" t="str">
        <f t="shared" si="63"/>
        <v>van Dedemstraat 8</v>
      </c>
      <c r="B4091" t="s">
        <v>677</v>
      </c>
      <c r="C4091" t="s">
        <v>306</v>
      </c>
      <c r="D4091">
        <v>1957</v>
      </c>
      <c r="E4091">
        <v>80</v>
      </c>
      <c r="F4091" t="s">
        <v>678</v>
      </c>
      <c r="G4091">
        <v>8</v>
      </c>
    </row>
    <row r="4092" spans="1:7">
      <c r="A4092" t="str">
        <f t="shared" si="63"/>
        <v>van Neukirchenstraat 3</v>
      </c>
      <c r="B4092" t="s">
        <v>679</v>
      </c>
      <c r="C4092" t="s">
        <v>306</v>
      </c>
      <c r="D4092">
        <v>1988</v>
      </c>
      <c r="E4092">
        <v>61</v>
      </c>
      <c r="F4092" t="s">
        <v>680</v>
      </c>
      <c r="G4092">
        <v>3</v>
      </c>
    </row>
    <row r="4093" spans="1:7">
      <c r="A4093" t="str">
        <f t="shared" si="63"/>
        <v>van Neukirchenstraat 5</v>
      </c>
      <c r="B4093" t="s">
        <v>679</v>
      </c>
      <c r="C4093" t="s">
        <v>306</v>
      </c>
      <c r="D4093">
        <v>1988</v>
      </c>
      <c r="E4093">
        <v>71</v>
      </c>
      <c r="F4093" t="s">
        <v>680</v>
      </c>
      <c r="G4093">
        <v>5</v>
      </c>
    </row>
    <row r="4094" spans="1:7">
      <c r="A4094" t="str">
        <f t="shared" si="63"/>
        <v>van Neukirchenstraat 7</v>
      </c>
      <c r="B4094" t="s">
        <v>679</v>
      </c>
      <c r="C4094" t="s">
        <v>306</v>
      </c>
      <c r="D4094">
        <v>1988</v>
      </c>
      <c r="E4094">
        <v>71</v>
      </c>
      <c r="F4094" t="s">
        <v>680</v>
      </c>
      <c r="G4094">
        <v>7</v>
      </c>
    </row>
    <row r="4095" spans="1:7">
      <c r="A4095" t="str">
        <f t="shared" si="63"/>
        <v>van Neukirchenstraat 9</v>
      </c>
      <c r="B4095" t="s">
        <v>679</v>
      </c>
      <c r="C4095" t="s">
        <v>306</v>
      </c>
      <c r="D4095">
        <v>1988</v>
      </c>
      <c r="E4095">
        <v>61</v>
      </c>
      <c r="F4095" t="s">
        <v>680</v>
      </c>
      <c r="G4095">
        <v>9</v>
      </c>
    </row>
    <row r="4096" spans="1:7">
      <c r="A4096" t="str">
        <f t="shared" si="63"/>
        <v>van Nijvenheimstraat 1</v>
      </c>
      <c r="B4096" t="s">
        <v>681</v>
      </c>
      <c r="C4096" t="s">
        <v>306</v>
      </c>
      <c r="D4096">
        <v>1960</v>
      </c>
      <c r="E4096">
        <v>120</v>
      </c>
      <c r="F4096" t="s">
        <v>682</v>
      </c>
      <c r="G4096">
        <v>1</v>
      </c>
    </row>
    <row r="4097" spans="1:8">
      <c r="A4097" t="str">
        <f t="shared" si="63"/>
        <v>van Nijvenheimstraat 2</v>
      </c>
      <c r="B4097" t="s">
        <v>681</v>
      </c>
      <c r="C4097" t="s">
        <v>306</v>
      </c>
      <c r="D4097">
        <v>1947</v>
      </c>
      <c r="E4097">
        <v>111</v>
      </c>
      <c r="F4097" t="s">
        <v>682</v>
      </c>
      <c r="G4097">
        <v>2</v>
      </c>
    </row>
    <row r="4098" spans="1:8">
      <c r="A4098" t="str">
        <f t="shared" ref="A4098:A4162" si="64">CONCATENATE(F4098," ",G4098,H4098)</f>
        <v>van Nijvenheimstraat 3</v>
      </c>
      <c r="B4098" t="s">
        <v>681</v>
      </c>
      <c r="C4098" t="s">
        <v>306</v>
      </c>
      <c r="D4098">
        <v>1982</v>
      </c>
      <c r="E4098">
        <v>162</v>
      </c>
      <c r="F4098" t="s">
        <v>682</v>
      </c>
      <c r="G4098">
        <v>3</v>
      </c>
    </row>
    <row r="4099" spans="1:8">
      <c r="A4099" t="str">
        <f t="shared" si="64"/>
        <v>van Nijvenheimstraat 4</v>
      </c>
      <c r="B4099" t="s">
        <v>681</v>
      </c>
      <c r="C4099" t="s">
        <v>306</v>
      </c>
      <c r="D4099">
        <v>1947</v>
      </c>
      <c r="E4099">
        <v>130</v>
      </c>
      <c r="F4099" t="s">
        <v>682</v>
      </c>
      <c r="G4099">
        <v>4</v>
      </c>
    </row>
    <row r="4100" spans="1:8">
      <c r="A4100" t="str">
        <f t="shared" si="64"/>
        <v>Veerstraat 2</v>
      </c>
      <c r="B4100" t="s">
        <v>683</v>
      </c>
      <c r="C4100" t="s">
        <v>302</v>
      </c>
      <c r="D4100">
        <v>1952</v>
      </c>
      <c r="E4100">
        <v>161</v>
      </c>
      <c r="F4100" t="s">
        <v>684</v>
      </c>
      <c r="G4100">
        <v>2</v>
      </c>
    </row>
    <row r="4101" spans="1:8">
      <c r="A4101" t="str">
        <f t="shared" si="64"/>
        <v>Veerstraat 4</v>
      </c>
      <c r="B4101" t="s">
        <v>683</v>
      </c>
      <c r="C4101" t="s">
        <v>302</v>
      </c>
      <c r="D4101">
        <v>2019</v>
      </c>
      <c r="E4101">
        <v>464</v>
      </c>
      <c r="F4101" t="s">
        <v>684</v>
      </c>
      <c r="G4101">
        <v>4</v>
      </c>
    </row>
    <row r="4102" spans="1:8">
      <c r="A4102" t="str">
        <f t="shared" si="64"/>
        <v>Veerstraat 6</v>
      </c>
      <c r="B4102" t="s">
        <v>683</v>
      </c>
      <c r="C4102" t="s">
        <v>302</v>
      </c>
      <c r="D4102">
        <v>1950</v>
      </c>
      <c r="E4102">
        <v>155</v>
      </c>
      <c r="F4102" t="s">
        <v>684</v>
      </c>
      <c r="G4102">
        <v>6</v>
      </c>
    </row>
    <row r="4103" spans="1:8">
      <c r="A4103" t="s">
        <v>685</v>
      </c>
      <c r="B4103" t="s">
        <v>686</v>
      </c>
      <c r="C4103" t="s">
        <v>687</v>
      </c>
      <c r="D4103">
        <v>1983</v>
      </c>
      <c r="E4103">
        <v>123</v>
      </c>
      <c r="F4103" t="s">
        <v>688</v>
      </c>
      <c r="G4103">
        <v>83</v>
      </c>
    </row>
    <row r="4104" spans="1:8">
      <c r="A4104" t="str">
        <f t="shared" si="64"/>
        <v>Veldweg 1</v>
      </c>
      <c r="B4104" t="s">
        <v>689</v>
      </c>
      <c r="C4104" t="s">
        <v>306</v>
      </c>
      <c r="D4104">
        <v>2020</v>
      </c>
      <c r="E4104">
        <v>227</v>
      </c>
      <c r="F4104" t="s">
        <v>690</v>
      </c>
      <c r="G4104">
        <v>1</v>
      </c>
    </row>
    <row r="4105" spans="1:8">
      <c r="A4105" t="str">
        <f t="shared" si="64"/>
        <v>Veldweg 3a</v>
      </c>
      <c r="B4105" t="s">
        <v>689</v>
      </c>
      <c r="C4105" t="s">
        <v>306</v>
      </c>
      <c r="D4105">
        <v>1991</v>
      </c>
      <c r="E4105">
        <v>19</v>
      </c>
      <c r="F4105" t="s">
        <v>690</v>
      </c>
      <c r="G4105">
        <v>3</v>
      </c>
      <c r="H4105" t="s">
        <v>304</v>
      </c>
    </row>
    <row r="4106" spans="1:8">
      <c r="A4106" t="str">
        <f t="shared" si="64"/>
        <v>Veldweg 3b</v>
      </c>
      <c r="B4106" t="s">
        <v>689</v>
      </c>
      <c r="C4106" t="s">
        <v>306</v>
      </c>
      <c r="D4106">
        <v>1998</v>
      </c>
      <c r="E4106">
        <v>30</v>
      </c>
      <c r="F4106" t="s">
        <v>690</v>
      </c>
      <c r="G4106">
        <v>3</v>
      </c>
      <c r="H4106" t="s">
        <v>298</v>
      </c>
    </row>
    <row r="4107" spans="1:8">
      <c r="A4107" t="str">
        <f t="shared" si="64"/>
        <v>Veldweg 3c</v>
      </c>
      <c r="B4107" t="s">
        <v>689</v>
      </c>
      <c r="C4107" t="s">
        <v>306</v>
      </c>
      <c r="D4107">
        <v>2009</v>
      </c>
      <c r="E4107">
        <v>545</v>
      </c>
      <c r="F4107" t="s">
        <v>690</v>
      </c>
      <c r="G4107">
        <v>3</v>
      </c>
      <c r="H4107" t="s">
        <v>299</v>
      </c>
    </row>
    <row r="4108" spans="1:8">
      <c r="A4108" t="str">
        <f t="shared" si="64"/>
        <v>Veldweg 3</v>
      </c>
      <c r="B4108" t="s">
        <v>689</v>
      </c>
      <c r="C4108" t="s">
        <v>306</v>
      </c>
      <c r="D4108">
        <v>2009</v>
      </c>
      <c r="E4108">
        <v>496</v>
      </c>
      <c r="F4108" t="s">
        <v>690</v>
      </c>
      <c r="G4108">
        <v>3</v>
      </c>
    </row>
    <row r="4109" spans="1:8">
      <c r="A4109" t="str">
        <f t="shared" si="64"/>
        <v>Verbindingsweg 2</v>
      </c>
      <c r="B4109" t="s">
        <v>691</v>
      </c>
      <c r="C4109" t="s">
        <v>306</v>
      </c>
      <c r="D4109">
        <v>1955</v>
      </c>
      <c r="E4109">
        <v>211</v>
      </c>
      <c r="F4109" t="s">
        <v>692</v>
      </c>
      <c r="G4109">
        <v>2</v>
      </c>
    </row>
    <row r="4110" spans="1:8">
      <c r="A4110" t="str">
        <f t="shared" si="64"/>
        <v>Verbindingsweg 3</v>
      </c>
      <c r="B4110" t="s">
        <v>691</v>
      </c>
      <c r="C4110" t="s">
        <v>306</v>
      </c>
      <c r="D4110">
        <v>1896</v>
      </c>
      <c r="E4110">
        <v>240</v>
      </c>
      <c r="F4110" t="s">
        <v>692</v>
      </c>
      <c r="G4110">
        <v>3</v>
      </c>
    </row>
    <row r="4111" spans="1:8">
      <c r="A4111" t="str">
        <f t="shared" si="64"/>
        <v>Verbindingsweg 4</v>
      </c>
      <c r="B4111" t="s">
        <v>691</v>
      </c>
      <c r="C4111" t="s">
        <v>306</v>
      </c>
      <c r="D4111">
        <v>1968</v>
      </c>
      <c r="E4111">
        <v>221</v>
      </c>
      <c r="F4111" t="s">
        <v>692</v>
      </c>
      <c r="G4111">
        <v>4</v>
      </c>
    </row>
    <row r="4112" spans="1:8">
      <c r="A4112" t="str">
        <f t="shared" si="64"/>
        <v>Verbindingsweg 5</v>
      </c>
      <c r="B4112" t="s">
        <v>691</v>
      </c>
      <c r="C4112" t="s">
        <v>306</v>
      </c>
      <c r="D4112">
        <v>2019</v>
      </c>
      <c r="E4112">
        <v>104</v>
      </c>
      <c r="F4112" t="s">
        <v>692</v>
      </c>
      <c r="G4112">
        <v>5</v>
      </c>
    </row>
    <row r="4113" spans="1:8">
      <c r="A4113" t="str">
        <f t="shared" si="64"/>
        <v>Verbindingsweg 6a</v>
      </c>
      <c r="B4113" t="s">
        <v>691</v>
      </c>
      <c r="C4113" t="s">
        <v>306</v>
      </c>
      <c r="D4113">
        <v>1968</v>
      </c>
      <c r="E4113">
        <v>147</v>
      </c>
      <c r="F4113" t="s">
        <v>692</v>
      </c>
      <c r="G4113">
        <v>6</v>
      </c>
      <c r="H4113" t="s">
        <v>304</v>
      </c>
    </row>
    <row r="4114" spans="1:8">
      <c r="A4114" t="str">
        <f t="shared" si="64"/>
        <v>Verbindingsweg 6</v>
      </c>
      <c r="B4114" t="s">
        <v>691</v>
      </c>
      <c r="C4114" t="s">
        <v>306</v>
      </c>
      <c r="D4114">
        <v>1968</v>
      </c>
      <c r="E4114">
        <v>141</v>
      </c>
      <c r="F4114" t="s">
        <v>692</v>
      </c>
      <c r="G4114">
        <v>6</v>
      </c>
    </row>
    <row r="4115" spans="1:8">
      <c r="A4115" t="str">
        <f t="shared" si="64"/>
        <v>Verbindingsweg 7</v>
      </c>
      <c r="B4115" t="s">
        <v>691</v>
      </c>
      <c r="C4115" t="s">
        <v>306</v>
      </c>
      <c r="D4115">
        <v>2019</v>
      </c>
      <c r="E4115">
        <v>104</v>
      </c>
      <c r="F4115" t="s">
        <v>692</v>
      </c>
      <c r="G4115">
        <v>7</v>
      </c>
    </row>
    <row r="4116" spans="1:8">
      <c r="A4116" t="str">
        <f t="shared" si="64"/>
        <v>Verbindingsweg 8</v>
      </c>
      <c r="B4116" t="s">
        <v>691</v>
      </c>
      <c r="C4116" t="s">
        <v>306</v>
      </c>
      <c r="D4116">
        <v>1952</v>
      </c>
      <c r="E4116">
        <v>111</v>
      </c>
      <c r="F4116" t="s">
        <v>692</v>
      </c>
      <c r="G4116">
        <v>8</v>
      </c>
    </row>
    <row r="4117" spans="1:8">
      <c r="A4117" t="str">
        <f t="shared" si="64"/>
        <v>Verbindingsweg 9</v>
      </c>
      <c r="B4117" t="s">
        <v>691</v>
      </c>
      <c r="C4117" t="s">
        <v>306</v>
      </c>
      <c r="D4117">
        <v>2019</v>
      </c>
      <c r="E4117">
        <v>104</v>
      </c>
      <c r="F4117" t="s">
        <v>692</v>
      </c>
      <c r="G4117">
        <v>9</v>
      </c>
    </row>
    <row r="4118" spans="1:8">
      <c r="A4118" t="str">
        <f t="shared" si="64"/>
        <v>Verbindingsweg 10</v>
      </c>
      <c r="B4118" t="s">
        <v>691</v>
      </c>
      <c r="C4118" t="s">
        <v>306</v>
      </c>
      <c r="D4118">
        <v>1952</v>
      </c>
      <c r="E4118">
        <v>100</v>
      </c>
      <c r="F4118" t="s">
        <v>692</v>
      </c>
      <c r="G4118">
        <v>10</v>
      </c>
    </row>
    <row r="4119" spans="1:8">
      <c r="A4119" t="str">
        <f t="shared" si="64"/>
        <v>Verbindingsweg 11</v>
      </c>
      <c r="B4119" t="s">
        <v>691</v>
      </c>
      <c r="C4119" t="s">
        <v>306</v>
      </c>
      <c r="D4119">
        <v>2019</v>
      </c>
      <c r="E4119">
        <v>104</v>
      </c>
      <c r="F4119" t="s">
        <v>692</v>
      </c>
      <c r="G4119">
        <v>11</v>
      </c>
    </row>
    <row r="4120" spans="1:8">
      <c r="A4120" t="str">
        <f t="shared" si="64"/>
        <v>Verbindingsweg 12</v>
      </c>
      <c r="B4120" t="s">
        <v>691</v>
      </c>
      <c r="C4120" t="s">
        <v>306</v>
      </c>
      <c r="D4120">
        <v>1952</v>
      </c>
      <c r="E4120">
        <v>100</v>
      </c>
      <c r="F4120" t="s">
        <v>692</v>
      </c>
      <c r="G4120">
        <v>12</v>
      </c>
    </row>
    <row r="4121" spans="1:8">
      <c r="A4121" t="str">
        <f t="shared" si="64"/>
        <v>Verbindingsweg 14</v>
      </c>
      <c r="B4121" t="s">
        <v>691</v>
      </c>
      <c r="C4121" t="s">
        <v>306</v>
      </c>
      <c r="D4121">
        <v>1952</v>
      </c>
      <c r="E4121">
        <v>110</v>
      </c>
      <c r="F4121" t="s">
        <v>692</v>
      </c>
      <c r="G4121">
        <v>14</v>
      </c>
    </row>
    <row r="4122" spans="1:8">
      <c r="A4122" t="str">
        <f t="shared" si="64"/>
        <v>Violenstraatje 2</v>
      </c>
      <c r="B4122" t="s">
        <v>693</v>
      </c>
      <c r="C4122" t="s">
        <v>306</v>
      </c>
      <c r="D4122">
        <v>1976</v>
      </c>
      <c r="E4122">
        <v>189</v>
      </c>
      <c r="F4122" t="s">
        <v>694</v>
      </c>
      <c r="G4122">
        <v>2</v>
      </c>
    </row>
    <row r="4123" spans="1:8">
      <c r="A4123" t="str">
        <f t="shared" si="64"/>
        <v>Violenstraatje 3</v>
      </c>
      <c r="B4123" t="s">
        <v>693</v>
      </c>
      <c r="C4123" t="s">
        <v>306</v>
      </c>
      <c r="D4123">
        <v>1977</v>
      </c>
      <c r="E4123">
        <v>167</v>
      </c>
      <c r="F4123" t="s">
        <v>694</v>
      </c>
      <c r="G4123">
        <v>3</v>
      </c>
    </row>
    <row r="4124" spans="1:8">
      <c r="A4124" t="str">
        <f t="shared" si="64"/>
        <v>Violenstraatje 4</v>
      </c>
      <c r="B4124" t="s">
        <v>693</v>
      </c>
      <c r="C4124" t="s">
        <v>306</v>
      </c>
      <c r="D4124">
        <v>1976</v>
      </c>
      <c r="E4124">
        <v>164</v>
      </c>
      <c r="F4124" t="s">
        <v>694</v>
      </c>
      <c r="G4124">
        <v>4</v>
      </c>
    </row>
    <row r="4125" spans="1:8">
      <c r="A4125" t="str">
        <f t="shared" si="64"/>
        <v>Violenstraatje 5</v>
      </c>
      <c r="B4125" t="s">
        <v>693</v>
      </c>
      <c r="C4125" t="s">
        <v>306</v>
      </c>
      <c r="D4125">
        <v>1979</v>
      </c>
      <c r="E4125">
        <v>166</v>
      </c>
      <c r="F4125" t="s">
        <v>694</v>
      </c>
      <c r="G4125">
        <v>5</v>
      </c>
    </row>
    <row r="4126" spans="1:8">
      <c r="A4126" t="str">
        <f t="shared" si="64"/>
        <v>Violenstraatje 6</v>
      </c>
      <c r="B4126" t="s">
        <v>693</v>
      </c>
      <c r="C4126" t="s">
        <v>306</v>
      </c>
      <c r="D4126">
        <v>1976</v>
      </c>
      <c r="E4126">
        <v>214</v>
      </c>
      <c r="F4126" t="s">
        <v>694</v>
      </c>
      <c r="G4126">
        <v>6</v>
      </c>
    </row>
    <row r="4127" spans="1:8">
      <c r="A4127" t="str">
        <f t="shared" si="64"/>
        <v>Violenstraatje 8</v>
      </c>
      <c r="B4127" t="s">
        <v>693</v>
      </c>
      <c r="C4127" t="s">
        <v>306</v>
      </c>
      <c r="D4127">
        <v>1920</v>
      </c>
      <c r="E4127">
        <v>95</v>
      </c>
      <c r="F4127" t="s">
        <v>694</v>
      </c>
      <c r="G4127">
        <v>8</v>
      </c>
    </row>
    <row r="4128" spans="1:8">
      <c r="A4128" t="str">
        <f t="shared" si="64"/>
        <v>Violenstraatje 10</v>
      </c>
      <c r="B4128" t="s">
        <v>693</v>
      </c>
      <c r="C4128" t="s">
        <v>306</v>
      </c>
      <c r="D4128">
        <v>1950</v>
      </c>
      <c r="E4128">
        <v>163</v>
      </c>
      <c r="F4128" t="s">
        <v>694</v>
      </c>
      <c r="G4128">
        <v>10</v>
      </c>
    </row>
    <row r="4129" spans="1:8">
      <c r="A4129" t="str">
        <f t="shared" si="64"/>
        <v>Voordijk 1a</v>
      </c>
      <c r="B4129" t="s">
        <v>695</v>
      </c>
      <c r="C4129" t="s">
        <v>302</v>
      </c>
      <c r="D4129">
        <v>1999</v>
      </c>
      <c r="E4129">
        <v>60</v>
      </c>
      <c r="F4129" t="s">
        <v>696</v>
      </c>
      <c r="G4129">
        <v>1</v>
      </c>
      <c r="H4129" t="s">
        <v>304</v>
      </c>
    </row>
    <row r="4130" spans="1:8">
      <c r="A4130" t="str">
        <f t="shared" si="64"/>
        <v>Voordijk 1</v>
      </c>
      <c r="B4130" t="s">
        <v>695</v>
      </c>
      <c r="C4130" t="s">
        <v>302</v>
      </c>
      <c r="D4130">
        <v>1995</v>
      </c>
      <c r="E4130">
        <v>128</v>
      </c>
      <c r="F4130" t="s">
        <v>696</v>
      </c>
      <c r="G4130">
        <v>1</v>
      </c>
    </row>
    <row r="4131" spans="1:8">
      <c r="A4131" t="str">
        <f t="shared" si="64"/>
        <v>Voordijk 2</v>
      </c>
      <c r="B4131" t="s">
        <v>695</v>
      </c>
      <c r="C4131" t="s">
        <v>302</v>
      </c>
      <c r="D4131">
        <v>1989</v>
      </c>
      <c r="E4131">
        <v>255</v>
      </c>
      <c r="F4131" t="s">
        <v>696</v>
      </c>
      <c r="G4131">
        <v>2</v>
      </c>
    </row>
    <row r="4132" spans="1:8">
      <c r="A4132" t="str">
        <f t="shared" si="64"/>
        <v>Voordijk 4</v>
      </c>
      <c r="B4132" t="s">
        <v>695</v>
      </c>
      <c r="C4132" t="s">
        <v>302</v>
      </c>
      <c r="D4132">
        <v>2005</v>
      </c>
      <c r="E4132">
        <v>212</v>
      </c>
      <c r="F4132" t="s">
        <v>696</v>
      </c>
      <c r="G4132">
        <v>4</v>
      </c>
    </row>
    <row r="4133" spans="1:8">
      <c r="A4133" t="str">
        <f t="shared" si="64"/>
        <v>Wellensstraatje 1</v>
      </c>
      <c r="B4133" t="s">
        <v>697</v>
      </c>
      <c r="C4133" t="s">
        <v>302</v>
      </c>
      <c r="D4133">
        <v>2011</v>
      </c>
      <c r="E4133">
        <v>115</v>
      </c>
      <c r="F4133" t="s">
        <v>698</v>
      </c>
      <c r="G4133">
        <v>1</v>
      </c>
    </row>
    <row r="4134" spans="1:8">
      <c r="A4134" t="str">
        <f t="shared" si="64"/>
        <v>Wellensstraatje 3</v>
      </c>
      <c r="B4134" t="s">
        <v>697</v>
      </c>
      <c r="C4134" t="s">
        <v>302</v>
      </c>
      <c r="D4134">
        <v>2011</v>
      </c>
      <c r="E4134">
        <v>115</v>
      </c>
      <c r="F4134" t="s">
        <v>698</v>
      </c>
      <c r="G4134">
        <v>3</v>
      </c>
    </row>
    <row r="4135" spans="1:8">
      <c r="A4135" t="str">
        <f t="shared" si="64"/>
        <v>Wellensstraatje 5</v>
      </c>
      <c r="B4135" t="s">
        <v>697</v>
      </c>
      <c r="C4135" t="s">
        <v>302</v>
      </c>
      <c r="D4135">
        <v>2011</v>
      </c>
      <c r="E4135">
        <v>115</v>
      </c>
      <c r="F4135" t="s">
        <v>698</v>
      </c>
      <c r="G4135">
        <v>5</v>
      </c>
    </row>
    <row r="4136" spans="1:8">
      <c r="A4136" t="str">
        <f t="shared" si="64"/>
        <v>Wellensstraatje 7</v>
      </c>
      <c r="B4136" t="s">
        <v>697</v>
      </c>
      <c r="C4136" t="s">
        <v>302</v>
      </c>
      <c r="D4136">
        <v>2011</v>
      </c>
      <c r="E4136">
        <v>115</v>
      </c>
      <c r="F4136" t="s">
        <v>698</v>
      </c>
      <c r="G4136">
        <v>7</v>
      </c>
    </row>
    <row r="4137" spans="1:8">
      <c r="A4137" t="str">
        <f t="shared" si="64"/>
        <v>Wellensstraatje 9</v>
      </c>
      <c r="B4137" t="s">
        <v>697</v>
      </c>
      <c r="C4137" t="s">
        <v>302</v>
      </c>
      <c r="D4137">
        <v>2011</v>
      </c>
      <c r="E4137">
        <v>115</v>
      </c>
      <c r="F4137" t="s">
        <v>698</v>
      </c>
      <c r="G4137">
        <v>9</v>
      </c>
    </row>
    <row r="4138" spans="1:8">
      <c r="A4138" t="str">
        <f t="shared" si="64"/>
        <v>Witteweg 1a</v>
      </c>
      <c r="B4138" t="s">
        <v>699</v>
      </c>
      <c r="C4138" t="s">
        <v>343</v>
      </c>
      <c r="D4138">
        <v>1963</v>
      </c>
      <c r="E4138">
        <v>12</v>
      </c>
      <c r="F4138" t="s">
        <v>700</v>
      </c>
      <c r="G4138">
        <v>1</v>
      </c>
      <c r="H4138" t="s">
        <v>304</v>
      </c>
    </row>
    <row r="4139" spans="1:8">
      <c r="A4139" t="str">
        <f t="shared" si="64"/>
        <v>Witteweg 1</v>
      </c>
      <c r="B4139" t="s">
        <v>699</v>
      </c>
      <c r="C4139" t="s">
        <v>343</v>
      </c>
      <c r="D4139">
        <v>1978</v>
      </c>
      <c r="E4139">
        <v>381</v>
      </c>
      <c r="F4139" t="s">
        <v>700</v>
      </c>
      <c r="G4139">
        <v>1</v>
      </c>
    </row>
    <row r="4140" spans="1:8">
      <c r="A4140" t="str">
        <f t="shared" si="64"/>
        <v>Witteweg 2a</v>
      </c>
      <c r="B4140" t="s">
        <v>701</v>
      </c>
      <c r="C4140" t="s">
        <v>343</v>
      </c>
      <c r="D4140">
        <v>2002</v>
      </c>
      <c r="E4140">
        <v>125</v>
      </c>
      <c r="F4140" t="s">
        <v>700</v>
      </c>
      <c r="G4140">
        <v>2</v>
      </c>
      <c r="H4140" t="s">
        <v>304</v>
      </c>
    </row>
    <row r="4141" spans="1:8">
      <c r="A4141" t="str">
        <f t="shared" si="64"/>
        <v>Witteweg 2</v>
      </c>
      <c r="B4141" t="s">
        <v>701</v>
      </c>
      <c r="C4141" t="s">
        <v>343</v>
      </c>
      <c r="D4141">
        <v>2002</v>
      </c>
      <c r="E4141">
        <v>887</v>
      </c>
      <c r="F4141" t="s">
        <v>700</v>
      </c>
      <c r="G4141">
        <v>2</v>
      </c>
    </row>
    <row r="4142" spans="1:8">
      <c r="A4142" t="str">
        <f t="shared" si="64"/>
        <v>Witteweg 3a</v>
      </c>
      <c r="B4142" t="s">
        <v>699</v>
      </c>
      <c r="C4142" t="s">
        <v>343</v>
      </c>
      <c r="D4142">
        <v>1977</v>
      </c>
      <c r="E4142">
        <v>102</v>
      </c>
      <c r="F4142" t="s">
        <v>700</v>
      </c>
      <c r="G4142">
        <v>3</v>
      </c>
      <c r="H4142" t="s">
        <v>304</v>
      </c>
    </row>
    <row r="4143" spans="1:8">
      <c r="A4143" t="str">
        <f t="shared" si="64"/>
        <v>Witteweg 3</v>
      </c>
      <c r="B4143" t="s">
        <v>699</v>
      </c>
      <c r="C4143" t="s">
        <v>343</v>
      </c>
      <c r="D4143">
        <v>1977</v>
      </c>
      <c r="E4143">
        <v>299</v>
      </c>
      <c r="F4143" t="s">
        <v>700</v>
      </c>
      <c r="G4143">
        <v>3</v>
      </c>
    </row>
    <row r="4144" spans="1:8">
      <c r="A4144" t="str">
        <f t="shared" si="64"/>
        <v>Witteweg 4a</v>
      </c>
      <c r="B4144" t="s">
        <v>701</v>
      </c>
      <c r="C4144" t="s">
        <v>343</v>
      </c>
      <c r="D4144">
        <v>2002</v>
      </c>
      <c r="E4144">
        <v>153</v>
      </c>
      <c r="F4144" t="s">
        <v>700</v>
      </c>
      <c r="G4144">
        <v>4</v>
      </c>
      <c r="H4144" t="s">
        <v>304</v>
      </c>
    </row>
    <row r="4145" spans="1:8">
      <c r="A4145" t="str">
        <f t="shared" si="64"/>
        <v>Witteweg 4c</v>
      </c>
      <c r="B4145" t="s">
        <v>701</v>
      </c>
      <c r="C4145" t="s">
        <v>343</v>
      </c>
      <c r="D4145">
        <v>2002</v>
      </c>
      <c r="E4145">
        <v>119</v>
      </c>
      <c r="F4145" t="s">
        <v>700</v>
      </c>
      <c r="G4145">
        <v>4</v>
      </c>
      <c r="H4145" t="s">
        <v>299</v>
      </c>
    </row>
    <row r="4146" spans="1:8">
      <c r="A4146" t="str">
        <f t="shared" si="64"/>
        <v>Witteweg 4d</v>
      </c>
      <c r="B4146" t="s">
        <v>701</v>
      </c>
      <c r="C4146" t="s">
        <v>343</v>
      </c>
      <c r="D4146">
        <v>2002</v>
      </c>
      <c r="E4146">
        <v>119</v>
      </c>
      <c r="F4146" t="s">
        <v>700</v>
      </c>
      <c r="G4146">
        <v>4</v>
      </c>
      <c r="H4146" t="s">
        <v>300</v>
      </c>
    </row>
    <row r="4147" spans="1:8">
      <c r="A4147" t="str">
        <f t="shared" si="64"/>
        <v>Witteweg 4e</v>
      </c>
      <c r="B4147" t="s">
        <v>701</v>
      </c>
      <c r="C4147" t="s">
        <v>343</v>
      </c>
      <c r="D4147">
        <v>2002</v>
      </c>
      <c r="E4147">
        <v>119</v>
      </c>
      <c r="F4147" t="s">
        <v>700</v>
      </c>
      <c r="G4147">
        <v>4</v>
      </c>
      <c r="H4147" t="s">
        <v>319</v>
      </c>
    </row>
    <row r="4148" spans="1:8">
      <c r="A4148" t="str">
        <f t="shared" si="64"/>
        <v>Witteweg 4f</v>
      </c>
      <c r="B4148" t="s">
        <v>701</v>
      </c>
      <c r="C4148" t="s">
        <v>343</v>
      </c>
      <c r="D4148">
        <v>2002</v>
      </c>
      <c r="E4148">
        <v>119</v>
      </c>
      <c r="F4148" t="s">
        <v>700</v>
      </c>
      <c r="G4148">
        <v>4</v>
      </c>
      <c r="H4148" t="s">
        <v>329</v>
      </c>
    </row>
    <row r="4149" spans="1:8">
      <c r="A4149" t="str">
        <f t="shared" si="64"/>
        <v>Witteweg 4g</v>
      </c>
      <c r="B4149" t="s">
        <v>701</v>
      </c>
      <c r="C4149" t="s">
        <v>343</v>
      </c>
      <c r="D4149">
        <v>2002</v>
      </c>
      <c r="E4149">
        <v>119</v>
      </c>
      <c r="F4149" t="s">
        <v>700</v>
      </c>
      <c r="G4149">
        <v>4</v>
      </c>
      <c r="H4149" t="s">
        <v>330</v>
      </c>
    </row>
    <row r="4150" spans="1:8">
      <c r="A4150" t="str">
        <f t="shared" si="64"/>
        <v>Witteweg 4h</v>
      </c>
      <c r="B4150" t="s">
        <v>701</v>
      </c>
      <c r="C4150" t="s">
        <v>343</v>
      </c>
      <c r="D4150">
        <v>2002</v>
      </c>
      <c r="E4150">
        <v>119</v>
      </c>
      <c r="F4150" t="s">
        <v>700</v>
      </c>
      <c r="G4150">
        <v>4</v>
      </c>
      <c r="H4150" t="s">
        <v>397</v>
      </c>
    </row>
    <row r="4151" spans="1:8">
      <c r="A4151" t="str">
        <f t="shared" si="64"/>
        <v>Witteweg 4k</v>
      </c>
      <c r="B4151" t="s">
        <v>701</v>
      </c>
      <c r="C4151" t="s">
        <v>343</v>
      </c>
      <c r="D4151">
        <v>2002</v>
      </c>
      <c r="E4151">
        <v>119</v>
      </c>
      <c r="F4151" t="s">
        <v>700</v>
      </c>
      <c r="G4151">
        <v>4</v>
      </c>
      <c r="H4151" t="s">
        <v>308</v>
      </c>
    </row>
    <row r="4152" spans="1:8">
      <c r="A4152" t="str">
        <f t="shared" si="64"/>
        <v>Witteweg 4l</v>
      </c>
      <c r="B4152" t="s">
        <v>701</v>
      </c>
      <c r="C4152" t="s">
        <v>343</v>
      </c>
      <c r="D4152">
        <v>2002</v>
      </c>
      <c r="E4152">
        <v>119</v>
      </c>
      <c r="F4152" t="s">
        <v>700</v>
      </c>
      <c r="G4152">
        <v>4</v>
      </c>
      <c r="H4152" t="s">
        <v>422</v>
      </c>
    </row>
    <row r="4153" spans="1:8">
      <c r="A4153" t="str">
        <f t="shared" si="64"/>
        <v>Witteweg 4m</v>
      </c>
      <c r="B4153" t="s">
        <v>701</v>
      </c>
      <c r="C4153" t="s">
        <v>343</v>
      </c>
      <c r="D4153">
        <v>2002</v>
      </c>
      <c r="E4153">
        <v>138</v>
      </c>
      <c r="F4153" t="s">
        <v>700</v>
      </c>
      <c r="G4153">
        <v>4</v>
      </c>
      <c r="H4153" t="s">
        <v>286</v>
      </c>
    </row>
    <row r="4154" spans="1:8">
      <c r="A4154" t="str">
        <f t="shared" si="64"/>
        <v>Witteweg 4n</v>
      </c>
      <c r="B4154" t="s">
        <v>701</v>
      </c>
      <c r="C4154" t="s">
        <v>343</v>
      </c>
      <c r="D4154">
        <v>2002</v>
      </c>
      <c r="E4154">
        <v>125</v>
      </c>
      <c r="F4154" t="s">
        <v>700</v>
      </c>
      <c r="G4154">
        <v>4</v>
      </c>
      <c r="H4154" t="s">
        <v>423</v>
      </c>
    </row>
    <row r="4155" spans="1:8">
      <c r="A4155" t="str">
        <f t="shared" si="64"/>
        <v>Witteweg 4p</v>
      </c>
      <c r="B4155" t="s">
        <v>701</v>
      </c>
      <c r="C4155" t="s">
        <v>343</v>
      </c>
      <c r="D4155">
        <v>2002</v>
      </c>
      <c r="E4155">
        <v>155</v>
      </c>
      <c r="F4155" t="s">
        <v>700</v>
      </c>
      <c r="G4155">
        <v>4</v>
      </c>
      <c r="H4155" t="s">
        <v>424</v>
      </c>
    </row>
    <row r="4156" spans="1:8">
      <c r="A4156" t="str">
        <f t="shared" si="64"/>
        <v>Witteweg 4r</v>
      </c>
      <c r="B4156" t="s">
        <v>701</v>
      </c>
      <c r="C4156" t="s">
        <v>343</v>
      </c>
      <c r="D4156">
        <v>2002</v>
      </c>
      <c r="E4156">
        <v>131</v>
      </c>
      <c r="F4156" t="s">
        <v>700</v>
      </c>
      <c r="G4156">
        <v>4</v>
      </c>
      <c r="H4156" t="s">
        <v>425</v>
      </c>
    </row>
    <row r="4157" spans="1:8">
      <c r="A4157" t="str">
        <f t="shared" si="64"/>
        <v>Witteweg 4s</v>
      </c>
      <c r="B4157" t="s">
        <v>701</v>
      </c>
      <c r="C4157" t="s">
        <v>343</v>
      </c>
      <c r="D4157">
        <v>2002</v>
      </c>
      <c r="E4157">
        <v>131</v>
      </c>
      <c r="F4157" t="s">
        <v>700</v>
      </c>
      <c r="G4157">
        <v>4</v>
      </c>
      <c r="H4157" t="s">
        <v>426</v>
      </c>
    </row>
    <row r="4158" spans="1:8">
      <c r="A4158" t="str">
        <f t="shared" si="64"/>
        <v>Witteweg 4t</v>
      </c>
      <c r="B4158" t="s">
        <v>701</v>
      </c>
      <c r="C4158" t="s">
        <v>343</v>
      </c>
      <c r="D4158">
        <v>2002</v>
      </c>
      <c r="E4158">
        <v>131</v>
      </c>
      <c r="F4158" t="s">
        <v>700</v>
      </c>
      <c r="G4158">
        <v>4</v>
      </c>
      <c r="H4158" t="s">
        <v>427</v>
      </c>
    </row>
    <row r="4159" spans="1:8">
      <c r="A4159" t="str">
        <f t="shared" si="64"/>
        <v>Witteweg 4v</v>
      </c>
      <c r="B4159" t="s">
        <v>701</v>
      </c>
      <c r="C4159" t="s">
        <v>343</v>
      </c>
      <c r="D4159">
        <v>2002</v>
      </c>
      <c r="E4159">
        <v>131</v>
      </c>
      <c r="F4159" t="s">
        <v>700</v>
      </c>
      <c r="G4159">
        <v>4</v>
      </c>
      <c r="H4159" t="s">
        <v>429</v>
      </c>
    </row>
    <row r="4160" spans="1:8">
      <c r="A4160" t="str">
        <f t="shared" si="64"/>
        <v>Witteweg 4w</v>
      </c>
      <c r="B4160" t="s">
        <v>701</v>
      </c>
      <c r="C4160" t="s">
        <v>343</v>
      </c>
      <c r="D4160">
        <v>2002</v>
      </c>
      <c r="E4160">
        <v>131</v>
      </c>
      <c r="F4160" t="s">
        <v>700</v>
      </c>
      <c r="G4160">
        <v>4</v>
      </c>
      <c r="H4160" t="s">
        <v>702</v>
      </c>
    </row>
    <row r="4161" spans="1:8">
      <c r="A4161" t="str">
        <f t="shared" si="64"/>
        <v>Witteweg 4x</v>
      </c>
      <c r="B4161" t="s">
        <v>701</v>
      </c>
      <c r="C4161" t="s">
        <v>343</v>
      </c>
      <c r="D4161">
        <v>2002</v>
      </c>
      <c r="E4161">
        <v>131</v>
      </c>
      <c r="F4161" t="s">
        <v>700</v>
      </c>
      <c r="G4161">
        <v>4</v>
      </c>
      <c r="H4161" t="s">
        <v>446</v>
      </c>
    </row>
    <row r="4162" spans="1:8">
      <c r="A4162" t="str">
        <f t="shared" si="64"/>
        <v>Witteweg 4y</v>
      </c>
      <c r="B4162" t="s">
        <v>701</v>
      </c>
      <c r="C4162" t="s">
        <v>343</v>
      </c>
      <c r="D4162">
        <v>2002</v>
      </c>
      <c r="E4162">
        <v>131</v>
      </c>
      <c r="F4162" t="s">
        <v>700</v>
      </c>
      <c r="G4162">
        <v>4</v>
      </c>
      <c r="H4162" t="s">
        <v>703</v>
      </c>
    </row>
    <row r="4163" spans="1:8">
      <c r="A4163" t="str">
        <f t="shared" ref="A4163:A4226" si="65">CONCATENATE(F4163," ",G4163,H4163)</f>
        <v>Witteweg 4z</v>
      </c>
      <c r="B4163" t="s">
        <v>701</v>
      </c>
      <c r="C4163" t="s">
        <v>343</v>
      </c>
      <c r="D4163">
        <v>2002</v>
      </c>
      <c r="E4163">
        <v>131</v>
      </c>
      <c r="F4163" t="s">
        <v>700</v>
      </c>
      <c r="G4163">
        <v>4</v>
      </c>
      <c r="H4163" t="s">
        <v>601</v>
      </c>
    </row>
    <row r="4164" spans="1:8">
      <c r="A4164" t="str">
        <f t="shared" si="65"/>
        <v>Witteweg 5a</v>
      </c>
      <c r="B4164" t="s">
        <v>699</v>
      </c>
      <c r="C4164" t="s">
        <v>343</v>
      </c>
      <c r="D4164">
        <v>1952</v>
      </c>
      <c r="E4164">
        <v>88</v>
      </c>
      <c r="F4164" t="s">
        <v>700</v>
      </c>
      <c r="G4164">
        <v>5</v>
      </c>
      <c r="H4164" t="s">
        <v>304</v>
      </c>
    </row>
    <row r="4165" spans="1:8">
      <c r="A4165" t="str">
        <f t="shared" si="65"/>
        <v>Witteweg 5</v>
      </c>
      <c r="B4165" t="s">
        <v>699</v>
      </c>
      <c r="C4165" t="s">
        <v>343</v>
      </c>
      <c r="D4165">
        <v>1952</v>
      </c>
      <c r="E4165">
        <v>72</v>
      </c>
      <c r="F4165" t="s">
        <v>700</v>
      </c>
      <c r="G4165">
        <v>5</v>
      </c>
    </row>
    <row r="4166" spans="1:8">
      <c r="A4166" t="str">
        <f t="shared" si="65"/>
        <v>Witteweg 7</v>
      </c>
      <c r="B4166" t="s">
        <v>699</v>
      </c>
      <c r="C4166" t="s">
        <v>343</v>
      </c>
      <c r="D4166">
        <v>1952</v>
      </c>
      <c r="E4166">
        <v>114</v>
      </c>
      <c r="F4166" t="s">
        <v>700</v>
      </c>
      <c r="G4166">
        <v>7</v>
      </c>
    </row>
    <row r="4167" spans="1:8">
      <c r="A4167" t="str">
        <f t="shared" si="65"/>
        <v>Witteweg 8</v>
      </c>
      <c r="B4167" t="s">
        <v>701</v>
      </c>
      <c r="C4167" t="s">
        <v>343</v>
      </c>
      <c r="D4167">
        <v>1950</v>
      </c>
      <c r="E4167">
        <v>1014</v>
      </c>
      <c r="F4167" t="s">
        <v>700</v>
      </c>
      <c r="G4167">
        <v>8</v>
      </c>
    </row>
    <row r="4168" spans="1:8">
      <c r="A4168" t="str">
        <f t="shared" si="65"/>
        <v>Witteweg 9a</v>
      </c>
      <c r="B4168" t="s">
        <v>699</v>
      </c>
      <c r="C4168" t="s">
        <v>343</v>
      </c>
      <c r="D4168">
        <v>1970</v>
      </c>
      <c r="E4168">
        <v>1546</v>
      </c>
      <c r="F4168" t="s">
        <v>700</v>
      </c>
      <c r="G4168">
        <v>9</v>
      </c>
      <c r="H4168" t="s">
        <v>304</v>
      </c>
    </row>
    <row r="4169" spans="1:8">
      <c r="A4169" t="str">
        <f t="shared" si="65"/>
        <v>Witteweg 9</v>
      </c>
      <c r="B4169" t="s">
        <v>699</v>
      </c>
      <c r="C4169" t="s">
        <v>343</v>
      </c>
      <c r="D4169">
        <v>1970</v>
      </c>
      <c r="E4169">
        <v>1546</v>
      </c>
      <c r="F4169" t="s">
        <v>700</v>
      </c>
      <c r="G4169">
        <v>9</v>
      </c>
    </row>
    <row r="4170" spans="1:8">
      <c r="A4170" t="str">
        <f t="shared" si="65"/>
        <v>Witteweg 10a</v>
      </c>
      <c r="B4170" t="s">
        <v>701</v>
      </c>
      <c r="C4170" t="s">
        <v>343</v>
      </c>
      <c r="D4170">
        <v>1970</v>
      </c>
      <c r="E4170">
        <v>816</v>
      </c>
      <c r="F4170" t="s">
        <v>700</v>
      </c>
      <c r="G4170">
        <v>10</v>
      </c>
      <c r="H4170" t="s">
        <v>304</v>
      </c>
    </row>
    <row r="4171" spans="1:8">
      <c r="A4171" t="str">
        <f t="shared" si="65"/>
        <v>Witteweg 10</v>
      </c>
      <c r="B4171" t="s">
        <v>701</v>
      </c>
      <c r="C4171" t="s">
        <v>343</v>
      </c>
      <c r="D4171">
        <v>1950</v>
      </c>
      <c r="E4171">
        <v>56</v>
      </c>
      <c r="F4171" t="s">
        <v>700</v>
      </c>
      <c r="G4171">
        <v>10</v>
      </c>
    </row>
    <row r="4172" spans="1:8">
      <c r="A4172" t="str">
        <f t="shared" si="65"/>
        <v>Witteweg 11</v>
      </c>
      <c r="B4172" t="s">
        <v>699</v>
      </c>
      <c r="C4172" t="s">
        <v>343</v>
      </c>
      <c r="D4172">
        <v>1990</v>
      </c>
      <c r="E4172">
        <v>72</v>
      </c>
      <c r="F4172" t="s">
        <v>700</v>
      </c>
      <c r="G4172">
        <v>11</v>
      </c>
    </row>
    <row r="4173" spans="1:8">
      <c r="A4173" t="str">
        <f t="shared" si="65"/>
        <v>Witteweg 12</v>
      </c>
      <c r="B4173" t="s">
        <v>701</v>
      </c>
      <c r="C4173" t="s">
        <v>343</v>
      </c>
      <c r="D4173">
        <v>1950</v>
      </c>
      <c r="E4173">
        <v>250</v>
      </c>
      <c r="F4173" t="s">
        <v>700</v>
      </c>
      <c r="G4173">
        <v>12</v>
      </c>
    </row>
    <row r="4174" spans="1:8">
      <c r="A4174" t="str">
        <f t="shared" si="65"/>
        <v>Witteweg 13b</v>
      </c>
      <c r="B4174" t="s">
        <v>699</v>
      </c>
      <c r="C4174" t="s">
        <v>343</v>
      </c>
      <c r="D4174">
        <v>2000</v>
      </c>
      <c r="E4174">
        <v>1546</v>
      </c>
      <c r="F4174" t="s">
        <v>700</v>
      </c>
      <c r="G4174">
        <v>13</v>
      </c>
      <c r="H4174" t="s">
        <v>298</v>
      </c>
    </row>
    <row r="4175" spans="1:8">
      <c r="A4175" t="str">
        <f t="shared" si="65"/>
        <v>Witteweg 13</v>
      </c>
      <c r="B4175" t="s">
        <v>699</v>
      </c>
      <c r="C4175" t="s">
        <v>343</v>
      </c>
      <c r="D4175">
        <v>1990</v>
      </c>
      <c r="E4175">
        <v>180</v>
      </c>
      <c r="F4175" t="s">
        <v>700</v>
      </c>
      <c r="G4175">
        <v>13</v>
      </c>
    </row>
    <row r="4176" spans="1:8">
      <c r="A4176" t="str">
        <f t="shared" si="65"/>
        <v>Witteweg 14</v>
      </c>
      <c r="B4176" t="s">
        <v>701</v>
      </c>
      <c r="C4176" t="s">
        <v>343</v>
      </c>
      <c r="D4176">
        <v>1987</v>
      </c>
      <c r="E4176">
        <v>222</v>
      </c>
      <c r="F4176" t="s">
        <v>700</v>
      </c>
      <c r="G4176">
        <v>14</v>
      </c>
    </row>
    <row r="4177" spans="1:8">
      <c r="A4177" t="str">
        <f t="shared" si="65"/>
        <v>Witteweg 15</v>
      </c>
      <c r="B4177" t="s">
        <v>699</v>
      </c>
      <c r="C4177" t="s">
        <v>343</v>
      </c>
      <c r="D4177">
        <v>1973</v>
      </c>
      <c r="E4177">
        <v>442</v>
      </c>
      <c r="F4177" t="s">
        <v>700</v>
      </c>
      <c r="G4177">
        <v>15</v>
      </c>
    </row>
    <row r="4178" spans="1:8">
      <c r="A4178" t="str">
        <f t="shared" si="65"/>
        <v>Witteweg 16</v>
      </c>
      <c r="B4178" t="s">
        <v>701</v>
      </c>
      <c r="C4178" t="s">
        <v>343</v>
      </c>
      <c r="D4178">
        <v>1965</v>
      </c>
      <c r="E4178">
        <v>72</v>
      </c>
      <c r="F4178" t="s">
        <v>700</v>
      </c>
      <c r="G4178">
        <v>16</v>
      </c>
    </row>
    <row r="4179" spans="1:8">
      <c r="A4179" t="str">
        <f t="shared" si="65"/>
        <v>Witteweg 18a</v>
      </c>
      <c r="B4179" t="s">
        <v>701</v>
      </c>
      <c r="C4179" t="s">
        <v>343</v>
      </c>
      <c r="D4179">
        <v>1965</v>
      </c>
      <c r="E4179">
        <v>371</v>
      </c>
      <c r="F4179" t="s">
        <v>700</v>
      </c>
      <c r="G4179">
        <v>18</v>
      </c>
      <c r="H4179" t="s">
        <v>304</v>
      </c>
    </row>
    <row r="4180" spans="1:8">
      <c r="A4180" t="str">
        <f t="shared" si="65"/>
        <v>Witteweg 18b</v>
      </c>
      <c r="B4180" t="s">
        <v>701</v>
      </c>
      <c r="C4180" t="s">
        <v>343</v>
      </c>
      <c r="D4180">
        <v>1965</v>
      </c>
      <c r="E4180">
        <v>146</v>
      </c>
      <c r="F4180" t="s">
        <v>700</v>
      </c>
      <c r="G4180">
        <v>18</v>
      </c>
      <c r="H4180" t="s">
        <v>298</v>
      </c>
    </row>
    <row r="4181" spans="1:8">
      <c r="A4181" t="str">
        <f t="shared" si="65"/>
        <v>Witteweg 18c</v>
      </c>
      <c r="B4181" t="s">
        <v>701</v>
      </c>
      <c r="C4181" t="s">
        <v>343</v>
      </c>
      <c r="D4181">
        <v>1965</v>
      </c>
      <c r="E4181">
        <v>4</v>
      </c>
      <c r="F4181" t="s">
        <v>700</v>
      </c>
      <c r="G4181">
        <v>18</v>
      </c>
      <c r="H4181" t="s">
        <v>299</v>
      </c>
    </row>
    <row r="4182" spans="1:8">
      <c r="A4182" t="str">
        <f t="shared" si="65"/>
        <v>Witteweg 18</v>
      </c>
      <c r="B4182" t="s">
        <v>701</v>
      </c>
      <c r="C4182" t="s">
        <v>343</v>
      </c>
      <c r="D4182">
        <v>1965</v>
      </c>
      <c r="E4182">
        <v>72</v>
      </c>
      <c r="F4182" t="s">
        <v>700</v>
      </c>
      <c r="G4182">
        <v>18</v>
      </c>
    </row>
    <row r="4183" spans="1:8">
      <c r="A4183" t="str">
        <f t="shared" si="65"/>
        <v>Witteweg 19</v>
      </c>
      <c r="B4183" t="s">
        <v>699</v>
      </c>
      <c r="C4183" t="s">
        <v>343</v>
      </c>
      <c r="D4183">
        <v>1950</v>
      </c>
      <c r="E4183">
        <v>336</v>
      </c>
      <c r="F4183" t="s">
        <v>700</v>
      </c>
      <c r="G4183">
        <v>19</v>
      </c>
    </row>
    <row r="4184" spans="1:8">
      <c r="A4184" t="str">
        <f t="shared" si="65"/>
        <v>Witteweg 22</v>
      </c>
      <c r="B4184" t="s">
        <v>704</v>
      </c>
      <c r="C4184" t="s">
        <v>302</v>
      </c>
      <c r="D4184">
        <v>1959</v>
      </c>
      <c r="E4184">
        <v>11</v>
      </c>
      <c r="F4184" t="s">
        <v>700</v>
      </c>
      <c r="G4184">
        <v>22</v>
      </c>
    </row>
    <row r="4185" spans="1:8">
      <c r="A4185" t="str">
        <f t="shared" si="65"/>
        <v>Witteweg 23a</v>
      </c>
      <c r="B4185" t="s">
        <v>705</v>
      </c>
      <c r="C4185" t="s">
        <v>302</v>
      </c>
      <c r="D4185">
        <v>1988</v>
      </c>
      <c r="E4185">
        <v>103</v>
      </c>
      <c r="F4185" t="s">
        <v>700</v>
      </c>
      <c r="G4185">
        <v>23</v>
      </c>
      <c r="H4185" t="s">
        <v>304</v>
      </c>
    </row>
    <row r="4186" spans="1:8">
      <c r="A4186" t="str">
        <f t="shared" si="65"/>
        <v>Witteweg 23b</v>
      </c>
      <c r="B4186" t="s">
        <v>705</v>
      </c>
      <c r="C4186" t="s">
        <v>302</v>
      </c>
      <c r="D4186">
        <v>1984</v>
      </c>
      <c r="E4186">
        <v>340</v>
      </c>
      <c r="F4186" t="s">
        <v>700</v>
      </c>
      <c r="G4186">
        <v>23</v>
      </c>
      <c r="H4186" t="s">
        <v>298</v>
      </c>
    </row>
    <row r="4187" spans="1:8">
      <c r="A4187" t="str">
        <f t="shared" si="65"/>
        <v>Witteweg 23k</v>
      </c>
      <c r="B4187" t="s">
        <v>705</v>
      </c>
      <c r="C4187" t="s">
        <v>302</v>
      </c>
      <c r="D4187">
        <v>1970</v>
      </c>
      <c r="E4187">
        <v>246</v>
      </c>
      <c r="F4187" t="s">
        <v>700</v>
      </c>
      <c r="G4187">
        <v>23</v>
      </c>
      <c r="H4187" t="s">
        <v>308</v>
      </c>
    </row>
    <row r="4188" spans="1:8">
      <c r="A4188" t="str">
        <f t="shared" si="65"/>
        <v>Witteweg 23l</v>
      </c>
      <c r="B4188" t="s">
        <v>705</v>
      </c>
      <c r="C4188" t="s">
        <v>302</v>
      </c>
      <c r="D4188">
        <v>1970</v>
      </c>
      <c r="E4188">
        <v>246</v>
      </c>
      <c r="F4188" t="s">
        <v>700</v>
      </c>
      <c r="G4188">
        <v>23</v>
      </c>
      <c r="H4188" t="s">
        <v>422</v>
      </c>
    </row>
    <row r="4189" spans="1:8">
      <c r="A4189" t="str">
        <f t="shared" si="65"/>
        <v>Witteweg 23m</v>
      </c>
      <c r="B4189" t="s">
        <v>705</v>
      </c>
      <c r="C4189" t="s">
        <v>302</v>
      </c>
      <c r="D4189">
        <v>1970</v>
      </c>
      <c r="E4189">
        <v>246</v>
      </c>
      <c r="F4189" t="s">
        <v>700</v>
      </c>
      <c r="G4189">
        <v>23</v>
      </c>
      <c r="H4189" t="s">
        <v>286</v>
      </c>
    </row>
    <row r="4190" spans="1:8">
      <c r="A4190" t="str">
        <f t="shared" si="65"/>
        <v>Witteweg 23</v>
      </c>
      <c r="B4190" t="s">
        <v>705</v>
      </c>
      <c r="C4190" t="s">
        <v>302</v>
      </c>
      <c r="D4190">
        <v>1988</v>
      </c>
      <c r="E4190">
        <v>473</v>
      </c>
      <c r="F4190" t="s">
        <v>700</v>
      </c>
      <c r="G4190">
        <v>23</v>
      </c>
    </row>
    <row r="4191" spans="1:8">
      <c r="A4191" t="str">
        <f t="shared" si="65"/>
        <v>Witteweg 24</v>
      </c>
      <c r="B4191" t="s">
        <v>704</v>
      </c>
      <c r="C4191" t="s">
        <v>302</v>
      </c>
      <c r="D4191">
        <v>1961</v>
      </c>
      <c r="E4191">
        <v>239</v>
      </c>
      <c r="F4191" t="s">
        <v>700</v>
      </c>
      <c r="G4191">
        <v>24</v>
      </c>
    </row>
    <row r="4192" spans="1:8">
      <c r="A4192" t="str">
        <f t="shared" si="65"/>
        <v>Witteweg 25</v>
      </c>
      <c r="B4192" t="s">
        <v>705</v>
      </c>
      <c r="C4192" t="s">
        <v>302</v>
      </c>
      <c r="D4192">
        <v>1948</v>
      </c>
      <c r="E4192">
        <v>156</v>
      </c>
      <c r="F4192" t="s">
        <v>700</v>
      </c>
      <c r="G4192">
        <v>25</v>
      </c>
    </row>
    <row r="4193" spans="1:8">
      <c r="A4193" t="str">
        <f t="shared" si="65"/>
        <v>Witteweg 26</v>
      </c>
      <c r="B4193" t="s">
        <v>704</v>
      </c>
      <c r="C4193" t="s">
        <v>302</v>
      </c>
      <c r="D4193">
        <v>1961</v>
      </c>
      <c r="E4193">
        <v>137</v>
      </c>
      <c r="F4193" t="s">
        <v>700</v>
      </c>
      <c r="G4193">
        <v>26</v>
      </c>
    </row>
    <row r="4194" spans="1:8">
      <c r="A4194" t="str">
        <f t="shared" si="65"/>
        <v>Witteweg 27</v>
      </c>
      <c r="B4194" t="s">
        <v>705</v>
      </c>
      <c r="C4194" t="s">
        <v>302</v>
      </c>
      <c r="D4194">
        <v>1957</v>
      </c>
      <c r="E4194">
        <v>428</v>
      </c>
      <c r="F4194" t="s">
        <v>700</v>
      </c>
      <c r="G4194">
        <v>27</v>
      </c>
    </row>
    <row r="4195" spans="1:8">
      <c r="A4195" t="str">
        <f t="shared" si="65"/>
        <v>Witteweg 28a</v>
      </c>
      <c r="B4195" t="s">
        <v>704</v>
      </c>
      <c r="C4195" t="s">
        <v>302</v>
      </c>
      <c r="D4195">
        <v>1951</v>
      </c>
      <c r="E4195">
        <v>169</v>
      </c>
      <c r="F4195" t="s">
        <v>700</v>
      </c>
      <c r="G4195">
        <v>28</v>
      </c>
      <c r="H4195" t="s">
        <v>304</v>
      </c>
    </row>
    <row r="4196" spans="1:8">
      <c r="A4196" t="str">
        <f t="shared" si="65"/>
        <v>Witteweg 28</v>
      </c>
      <c r="B4196" t="s">
        <v>704</v>
      </c>
      <c r="C4196" t="s">
        <v>302</v>
      </c>
      <c r="D4196">
        <v>1951</v>
      </c>
      <c r="E4196">
        <v>155</v>
      </c>
      <c r="F4196" t="s">
        <v>700</v>
      </c>
      <c r="G4196">
        <v>28</v>
      </c>
    </row>
    <row r="4197" spans="1:8">
      <c r="A4197" t="str">
        <f t="shared" si="65"/>
        <v>Witteweg 29</v>
      </c>
      <c r="B4197" t="s">
        <v>705</v>
      </c>
      <c r="C4197" t="s">
        <v>302</v>
      </c>
      <c r="D4197">
        <v>1965</v>
      </c>
      <c r="E4197">
        <v>183</v>
      </c>
      <c r="F4197" t="s">
        <v>700</v>
      </c>
      <c r="G4197">
        <v>29</v>
      </c>
    </row>
    <row r="4198" spans="1:8">
      <c r="A4198" t="str">
        <f t="shared" si="65"/>
        <v>Witteweg 30</v>
      </c>
      <c r="B4198" t="s">
        <v>704</v>
      </c>
      <c r="C4198" t="s">
        <v>302</v>
      </c>
      <c r="D4198">
        <v>1955</v>
      </c>
      <c r="E4198">
        <v>231</v>
      </c>
      <c r="F4198" t="s">
        <v>700</v>
      </c>
      <c r="G4198">
        <v>30</v>
      </c>
    </row>
    <row r="4199" spans="1:8">
      <c r="A4199" t="str">
        <f t="shared" si="65"/>
        <v>Witteweg 31a</v>
      </c>
      <c r="B4199" t="s">
        <v>705</v>
      </c>
      <c r="C4199" t="s">
        <v>302</v>
      </c>
      <c r="D4199">
        <v>1948</v>
      </c>
      <c r="E4199">
        <v>122</v>
      </c>
      <c r="F4199" t="s">
        <v>700</v>
      </c>
      <c r="G4199">
        <v>31</v>
      </c>
      <c r="H4199" t="s">
        <v>304</v>
      </c>
    </row>
    <row r="4200" spans="1:8">
      <c r="A4200" t="str">
        <f t="shared" si="65"/>
        <v>Witteweg 31</v>
      </c>
      <c r="B4200" t="s">
        <v>705</v>
      </c>
      <c r="C4200" t="s">
        <v>302</v>
      </c>
      <c r="D4200">
        <v>1948</v>
      </c>
      <c r="E4200">
        <v>223</v>
      </c>
      <c r="F4200" t="s">
        <v>700</v>
      </c>
      <c r="G4200">
        <v>31</v>
      </c>
    </row>
    <row r="4201" spans="1:8">
      <c r="A4201" t="str">
        <f t="shared" si="65"/>
        <v>Witteweg 33</v>
      </c>
      <c r="B4201" t="s">
        <v>705</v>
      </c>
      <c r="C4201" t="s">
        <v>302</v>
      </c>
      <c r="D4201">
        <v>1948</v>
      </c>
      <c r="E4201">
        <v>270</v>
      </c>
      <c r="F4201" t="s">
        <v>700</v>
      </c>
      <c r="G4201">
        <v>33</v>
      </c>
    </row>
    <row r="4202" spans="1:8">
      <c r="A4202" t="str">
        <f t="shared" si="65"/>
        <v>Wolfkuilseweg 2a</v>
      </c>
      <c r="C4202" t="s">
        <v>306</v>
      </c>
      <c r="D4202">
        <v>2022</v>
      </c>
      <c r="E4202">
        <v>152</v>
      </c>
      <c r="F4202" t="s">
        <v>706</v>
      </c>
      <c r="G4202">
        <v>2</v>
      </c>
      <c r="H4202" t="s">
        <v>304</v>
      </c>
    </row>
    <row r="4203" spans="1:8">
      <c r="A4203" t="str">
        <f t="shared" si="65"/>
        <v>Wolfkuilseweg 2</v>
      </c>
      <c r="B4203" t="s">
        <v>707</v>
      </c>
      <c r="C4203" t="s">
        <v>306</v>
      </c>
      <c r="D4203">
        <v>2020</v>
      </c>
      <c r="E4203">
        <v>134</v>
      </c>
      <c r="F4203" t="s">
        <v>706</v>
      </c>
      <c r="G4203">
        <v>2</v>
      </c>
    </row>
    <row r="4204" spans="1:8">
      <c r="A4204" t="str">
        <f t="shared" si="65"/>
        <v>Wolfkuilseweg 6</v>
      </c>
      <c r="B4204" t="s">
        <v>707</v>
      </c>
      <c r="C4204" t="s">
        <v>306</v>
      </c>
      <c r="D4204">
        <v>2022</v>
      </c>
      <c r="E4204">
        <v>160</v>
      </c>
      <c r="F4204" t="s">
        <v>706</v>
      </c>
      <c r="G4204">
        <v>6</v>
      </c>
    </row>
    <row r="4205" spans="1:8">
      <c r="A4205" t="str">
        <f t="shared" si="65"/>
        <v>Zandsteeg 1</v>
      </c>
      <c r="B4205" t="s">
        <v>708</v>
      </c>
      <c r="C4205" t="s">
        <v>306</v>
      </c>
      <c r="D4205">
        <v>2009</v>
      </c>
      <c r="E4205">
        <v>155</v>
      </c>
      <c r="F4205" t="s">
        <v>709</v>
      </c>
      <c r="G4205">
        <v>1</v>
      </c>
    </row>
    <row r="4206" spans="1:8">
      <c r="A4206" t="str">
        <f t="shared" si="65"/>
        <v>Zandsteeg 2</v>
      </c>
      <c r="B4206" t="s">
        <v>708</v>
      </c>
      <c r="C4206" t="s">
        <v>306</v>
      </c>
      <c r="D4206">
        <v>2009</v>
      </c>
      <c r="E4206">
        <v>103</v>
      </c>
      <c r="F4206" t="s">
        <v>709</v>
      </c>
      <c r="G4206">
        <v>2</v>
      </c>
    </row>
    <row r="4207" spans="1:8">
      <c r="A4207" t="str">
        <f t="shared" si="65"/>
        <v>Zandsteeg 3</v>
      </c>
      <c r="B4207" t="s">
        <v>708</v>
      </c>
      <c r="C4207" t="s">
        <v>306</v>
      </c>
      <c r="D4207">
        <v>2009</v>
      </c>
      <c r="E4207">
        <v>103</v>
      </c>
      <c r="F4207" t="s">
        <v>709</v>
      </c>
      <c r="G4207">
        <v>3</v>
      </c>
    </row>
    <row r="4208" spans="1:8">
      <c r="A4208" t="str">
        <f t="shared" si="65"/>
        <v>Zandsteeg 4</v>
      </c>
      <c r="B4208" t="s">
        <v>708</v>
      </c>
      <c r="C4208" t="s">
        <v>306</v>
      </c>
      <c r="D4208">
        <v>2009</v>
      </c>
      <c r="E4208">
        <v>107</v>
      </c>
      <c r="F4208" t="s">
        <v>709</v>
      </c>
      <c r="G4208">
        <v>4</v>
      </c>
    </row>
    <row r="4209" spans="1:7">
      <c r="A4209" t="str">
        <f t="shared" si="65"/>
        <v>Zandsteeg 5</v>
      </c>
      <c r="B4209" t="s">
        <v>708</v>
      </c>
      <c r="C4209" t="s">
        <v>306</v>
      </c>
      <c r="D4209">
        <v>2009</v>
      </c>
      <c r="E4209">
        <v>91</v>
      </c>
      <c r="F4209" t="s">
        <v>709</v>
      </c>
      <c r="G4209">
        <v>5</v>
      </c>
    </row>
    <row r="4210" spans="1:7">
      <c r="A4210" t="str">
        <f t="shared" si="65"/>
        <v>Zandsteeg 6</v>
      </c>
      <c r="B4210" t="s">
        <v>708</v>
      </c>
      <c r="C4210" t="s">
        <v>306</v>
      </c>
      <c r="D4210">
        <v>2009</v>
      </c>
      <c r="E4210">
        <v>91</v>
      </c>
      <c r="F4210" t="s">
        <v>709</v>
      </c>
      <c r="G4210">
        <v>6</v>
      </c>
    </row>
    <row r="4211" spans="1:7">
      <c r="A4211" t="str">
        <f t="shared" si="65"/>
        <v>Zandsteeg 7</v>
      </c>
      <c r="B4211" t="s">
        <v>708</v>
      </c>
      <c r="C4211" t="s">
        <v>306</v>
      </c>
      <c r="D4211">
        <v>2009</v>
      </c>
      <c r="E4211">
        <v>102</v>
      </c>
      <c r="F4211" t="s">
        <v>709</v>
      </c>
      <c r="G4211">
        <v>7</v>
      </c>
    </row>
    <row r="4212" spans="1:7">
      <c r="A4212" t="str">
        <f t="shared" si="65"/>
        <v>Zandsteeg 10</v>
      </c>
      <c r="B4212" t="s">
        <v>708</v>
      </c>
      <c r="C4212" t="s">
        <v>306</v>
      </c>
      <c r="D4212">
        <v>2009</v>
      </c>
      <c r="E4212">
        <v>95</v>
      </c>
      <c r="F4212" t="s">
        <v>709</v>
      </c>
      <c r="G4212">
        <v>10</v>
      </c>
    </row>
    <row r="4213" spans="1:7">
      <c r="A4213" t="str">
        <f t="shared" si="65"/>
        <v>Zandsteeg 11</v>
      </c>
      <c r="B4213" t="s">
        <v>708</v>
      </c>
      <c r="C4213" t="s">
        <v>306</v>
      </c>
      <c r="D4213">
        <v>2009</v>
      </c>
      <c r="E4213">
        <v>95</v>
      </c>
      <c r="F4213" t="s">
        <v>709</v>
      </c>
      <c r="G4213">
        <v>11</v>
      </c>
    </row>
    <row r="4214" spans="1:7">
      <c r="A4214" t="str">
        <f t="shared" si="65"/>
        <v>Zandsteeg 12</v>
      </c>
      <c r="B4214" t="s">
        <v>708</v>
      </c>
      <c r="C4214" t="s">
        <v>306</v>
      </c>
      <c r="D4214">
        <v>2009</v>
      </c>
      <c r="E4214">
        <v>99</v>
      </c>
      <c r="F4214" t="s">
        <v>709</v>
      </c>
      <c r="G4214">
        <v>12</v>
      </c>
    </row>
    <row r="4215" spans="1:7">
      <c r="A4215" t="str">
        <f t="shared" si="65"/>
        <v>Zandsteeg 13</v>
      </c>
      <c r="B4215" t="s">
        <v>708</v>
      </c>
      <c r="C4215" t="s">
        <v>306</v>
      </c>
      <c r="D4215">
        <v>2009</v>
      </c>
      <c r="E4215">
        <v>130</v>
      </c>
      <c r="F4215" t="s">
        <v>709</v>
      </c>
      <c r="G4215">
        <v>13</v>
      </c>
    </row>
    <row r="4216" spans="1:7">
      <c r="A4216" t="str">
        <f t="shared" si="65"/>
        <v>Zandsteeg 14</v>
      </c>
      <c r="B4216" t="s">
        <v>708</v>
      </c>
      <c r="C4216" t="s">
        <v>306</v>
      </c>
      <c r="D4216">
        <v>2009</v>
      </c>
      <c r="E4216">
        <v>130</v>
      </c>
      <c r="F4216" t="s">
        <v>709</v>
      </c>
      <c r="G4216">
        <v>14</v>
      </c>
    </row>
    <row r="4217" spans="1:7">
      <c r="A4217" t="str">
        <f t="shared" si="65"/>
        <v>Zandsteeg 15</v>
      </c>
      <c r="B4217" t="s">
        <v>708</v>
      </c>
      <c r="C4217" t="s">
        <v>306</v>
      </c>
      <c r="D4217">
        <v>2009</v>
      </c>
      <c r="E4217">
        <v>96</v>
      </c>
      <c r="F4217" t="s">
        <v>709</v>
      </c>
      <c r="G4217">
        <v>15</v>
      </c>
    </row>
    <row r="4218" spans="1:7">
      <c r="A4218" t="str">
        <f t="shared" si="65"/>
        <v>Zandsteeg 16</v>
      </c>
      <c r="B4218" t="s">
        <v>708</v>
      </c>
      <c r="C4218" t="s">
        <v>306</v>
      </c>
      <c r="D4218">
        <v>2009</v>
      </c>
      <c r="E4218">
        <v>101</v>
      </c>
      <c r="F4218" t="s">
        <v>709</v>
      </c>
      <c r="G4218">
        <v>16</v>
      </c>
    </row>
    <row r="4219" spans="1:7">
      <c r="A4219" t="str">
        <f t="shared" si="65"/>
        <v>Zandsteeg 17</v>
      </c>
      <c r="B4219" t="s">
        <v>708</v>
      </c>
      <c r="C4219" t="s">
        <v>306</v>
      </c>
      <c r="D4219">
        <v>2009</v>
      </c>
      <c r="E4219">
        <v>101</v>
      </c>
      <c r="F4219" t="s">
        <v>709</v>
      </c>
      <c r="G4219">
        <v>17</v>
      </c>
    </row>
    <row r="4220" spans="1:7">
      <c r="A4220" t="str">
        <f t="shared" si="65"/>
        <v>Zandsteeg 20</v>
      </c>
      <c r="B4220" t="s">
        <v>708</v>
      </c>
      <c r="C4220" t="s">
        <v>306</v>
      </c>
      <c r="D4220">
        <v>2009</v>
      </c>
      <c r="E4220">
        <v>93</v>
      </c>
      <c r="F4220" t="s">
        <v>709</v>
      </c>
      <c r="G4220">
        <v>20</v>
      </c>
    </row>
    <row r="4221" spans="1:7">
      <c r="A4221" t="str">
        <f t="shared" si="65"/>
        <v>Zandsteeg 21</v>
      </c>
      <c r="B4221" t="s">
        <v>708</v>
      </c>
      <c r="C4221" t="s">
        <v>306</v>
      </c>
      <c r="D4221">
        <v>2009</v>
      </c>
      <c r="E4221">
        <v>93</v>
      </c>
      <c r="F4221" t="s">
        <v>709</v>
      </c>
      <c r="G4221">
        <v>21</v>
      </c>
    </row>
    <row r="4222" spans="1:7">
      <c r="A4222" t="str">
        <f t="shared" si="65"/>
        <v>Zandsteeg 22</v>
      </c>
      <c r="B4222" t="s">
        <v>708</v>
      </c>
      <c r="C4222" t="s">
        <v>306</v>
      </c>
      <c r="D4222">
        <v>2009</v>
      </c>
      <c r="E4222">
        <v>101</v>
      </c>
      <c r="F4222" t="s">
        <v>709</v>
      </c>
      <c r="G4222">
        <v>22</v>
      </c>
    </row>
    <row r="4223" spans="1:7">
      <c r="A4223" t="str">
        <f t="shared" si="65"/>
        <v>Zandsteeg 23</v>
      </c>
      <c r="B4223" t="s">
        <v>708</v>
      </c>
      <c r="C4223" t="s">
        <v>306</v>
      </c>
      <c r="D4223">
        <v>2009</v>
      </c>
      <c r="E4223">
        <v>120</v>
      </c>
      <c r="F4223" t="s">
        <v>709</v>
      </c>
      <c r="G4223">
        <v>23</v>
      </c>
    </row>
    <row r="4224" spans="1:7">
      <c r="A4224" t="str">
        <f t="shared" si="65"/>
        <v>Zandsteeg 24</v>
      </c>
      <c r="B4224" t="s">
        <v>708</v>
      </c>
      <c r="C4224" t="s">
        <v>306</v>
      </c>
      <c r="D4224">
        <v>2009</v>
      </c>
      <c r="E4224">
        <v>120</v>
      </c>
      <c r="F4224" t="s">
        <v>709</v>
      </c>
      <c r="G4224">
        <v>24</v>
      </c>
    </row>
    <row r="4225" spans="1:8">
      <c r="A4225" t="str">
        <f t="shared" si="65"/>
        <v>Zandsteeg 25</v>
      </c>
      <c r="B4225" t="s">
        <v>708</v>
      </c>
      <c r="C4225" t="s">
        <v>306</v>
      </c>
      <c r="D4225">
        <v>2009</v>
      </c>
      <c r="E4225">
        <v>95</v>
      </c>
      <c r="F4225" t="s">
        <v>709</v>
      </c>
      <c r="G4225">
        <v>25</v>
      </c>
    </row>
    <row r="4226" spans="1:8">
      <c r="A4226" t="str">
        <f t="shared" si="65"/>
        <v>Zandsteeg 26</v>
      </c>
      <c r="B4226" t="s">
        <v>708</v>
      </c>
      <c r="C4226" t="s">
        <v>306</v>
      </c>
      <c r="D4226">
        <v>2009</v>
      </c>
      <c r="E4226">
        <v>93</v>
      </c>
      <c r="F4226" t="s">
        <v>709</v>
      </c>
      <c r="G4226">
        <v>26</v>
      </c>
    </row>
    <row r="4227" spans="1:8">
      <c r="A4227" t="str">
        <f t="shared" ref="A4227:A4258" si="66">CONCATENATE(F4227," ",G4227,H4227)</f>
        <v>Zandsteeg 27</v>
      </c>
      <c r="B4227" t="s">
        <v>708</v>
      </c>
      <c r="C4227" t="s">
        <v>306</v>
      </c>
      <c r="D4227">
        <v>2009</v>
      </c>
      <c r="E4227">
        <v>93</v>
      </c>
      <c r="F4227" t="s">
        <v>709</v>
      </c>
      <c r="G4227">
        <v>27</v>
      </c>
    </row>
    <row r="4228" spans="1:8">
      <c r="A4228" t="str">
        <f t="shared" si="66"/>
        <v>Zandsteeg 30</v>
      </c>
      <c r="B4228" t="s">
        <v>708</v>
      </c>
      <c r="C4228" t="s">
        <v>306</v>
      </c>
      <c r="D4228">
        <v>2009</v>
      </c>
      <c r="E4228">
        <v>93</v>
      </c>
      <c r="F4228" t="s">
        <v>709</v>
      </c>
      <c r="G4228">
        <v>30</v>
      </c>
    </row>
    <row r="4229" spans="1:8">
      <c r="A4229" t="str">
        <f t="shared" si="66"/>
        <v>Zandsteeg 31</v>
      </c>
      <c r="B4229" t="s">
        <v>708</v>
      </c>
      <c r="C4229" t="s">
        <v>306</v>
      </c>
      <c r="D4229">
        <v>2009</v>
      </c>
      <c r="E4229">
        <v>93</v>
      </c>
      <c r="F4229" t="s">
        <v>709</v>
      </c>
      <c r="G4229">
        <v>31</v>
      </c>
    </row>
    <row r="4230" spans="1:8">
      <c r="A4230" t="str">
        <f t="shared" si="66"/>
        <v>Zevenbergseweg 1</v>
      </c>
      <c r="B4230" t="s">
        <v>710</v>
      </c>
      <c r="C4230" t="s">
        <v>343</v>
      </c>
      <c r="D4230">
        <v>1963</v>
      </c>
      <c r="E4230">
        <v>12</v>
      </c>
      <c r="F4230" t="s">
        <v>711</v>
      </c>
      <c r="G4230">
        <v>1</v>
      </c>
    </row>
    <row r="4231" spans="1:8">
      <c r="A4231" t="str">
        <f t="shared" si="66"/>
        <v>Zevenbergseweg 2</v>
      </c>
      <c r="B4231" t="s">
        <v>710</v>
      </c>
      <c r="C4231" t="s">
        <v>343</v>
      </c>
      <c r="D4231">
        <v>1993</v>
      </c>
      <c r="E4231">
        <v>66</v>
      </c>
      <c r="F4231" t="s">
        <v>711</v>
      </c>
      <c r="G4231">
        <v>2</v>
      </c>
    </row>
    <row r="4232" spans="1:8">
      <c r="A4232" t="str">
        <f t="shared" si="66"/>
        <v>Zevenbergseweg 3</v>
      </c>
      <c r="B4232" t="s">
        <v>710</v>
      </c>
      <c r="C4232" t="s">
        <v>343</v>
      </c>
      <c r="D4232">
        <v>1950</v>
      </c>
      <c r="E4232">
        <v>172</v>
      </c>
      <c r="F4232" t="s">
        <v>711</v>
      </c>
      <c r="G4232">
        <v>3</v>
      </c>
    </row>
    <row r="4233" spans="1:8">
      <c r="A4233" t="str">
        <f t="shared" si="66"/>
        <v>Zevenbergseweg 4</v>
      </c>
      <c r="B4233" t="s">
        <v>710</v>
      </c>
      <c r="C4233" t="s">
        <v>343</v>
      </c>
      <c r="D4233">
        <v>1950</v>
      </c>
      <c r="E4233">
        <v>301</v>
      </c>
      <c r="F4233" t="s">
        <v>711</v>
      </c>
      <c r="G4233">
        <v>4</v>
      </c>
    </row>
    <row r="4234" spans="1:8">
      <c r="A4234" t="str">
        <f t="shared" si="66"/>
        <v>Zevenbergseweg 6a</v>
      </c>
      <c r="B4234" t="s">
        <v>710</v>
      </c>
      <c r="C4234" t="s">
        <v>343</v>
      </c>
      <c r="D4234">
        <v>1936</v>
      </c>
      <c r="E4234">
        <v>137</v>
      </c>
      <c r="F4234" t="s">
        <v>711</v>
      </c>
      <c r="G4234">
        <v>6</v>
      </c>
      <c r="H4234" t="s">
        <v>304</v>
      </c>
    </row>
    <row r="4235" spans="1:8">
      <c r="A4235" t="str">
        <f t="shared" si="66"/>
        <v>Zevenbergseweg 6</v>
      </c>
      <c r="B4235" t="s">
        <v>710</v>
      </c>
      <c r="C4235" t="s">
        <v>343</v>
      </c>
      <c r="D4235">
        <v>1936</v>
      </c>
      <c r="E4235">
        <v>144</v>
      </c>
      <c r="F4235" t="s">
        <v>711</v>
      </c>
      <c r="G4235">
        <v>6</v>
      </c>
    </row>
    <row r="4236" spans="1:8">
      <c r="A4236" t="str">
        <f t="shared" si="66"/>
        <v>Zevenbergseweg 8</v>
      </c>
      <c r="B4236" t="s">
        <v>710</v>
      </c>
      <c r="C4236" t="s">
        <v>343</v>
      </c>
      <c r="D4236">
        <v>1962</v>
      </c>
      <c r="E4236">
        <v>159</v>
      </c>
      <c r="F4236" t="s">
        <v>711</v>
      </c>
      <c r="G4236">
        <v>8</v>
      </c>
    </row>
    <row r="4237" spans="1:8">
      <c r="A4237" t="str">
        <f t="shared" si="66"/>
        <v>Zevenbergseweg 10</v>
      </c>
      <c r="B4237" t="s">
        <v>710</v>
      </c>
      <c r="C4237" t="s">
        <v>343</v>
      </c>
      <c r="D4237">
        <v>1975</v>
      </c>
      <c r="E4237">
        <v>258</v>
      </c>
      <c r="F4237" t="s">
        <v>711</v>
      </c>
      <c r="G4237">
        <v>10</v>
      </c>
    </row>
    <row r="4238" spans="1:8">
      <c r="A4238" t="str">
        <f t="shared" si="66"/>
        <v>Zevenbergseweg 12a</v>
      </c>
      <c r="B4238" t="s">
        <v>710</v>
      </c>
      <c r="C4238" t="s">
        <v>343</v>
      </c>
      <c r="D4238">
        <v>1930</v>
      </c>
      <c r="E4238">
        <v>293</v>
      </c>
      <c r="F4238" t="s">
        <v>711</v>
      </c>
      <c r="G4238">
        <v>12</v>
      </c>
      <c r="H4238" t="s">
        <v>304</v>
      </c>
    </row>
    <row r="4239" spans="1:8">
      <c r="A4239" t="str">
        <f t="shared" si="66"/>
        <v>Zevenbergseweg 12</v>
      </c>
      <c r="B4239" t="s">
        <v>710</v>
      </c>
      <c r="C4239" t="s">
        <v>343</v>
      </c>
      <c r="D4239">
        <v>1930</v>
      </c>
      <c r="E4239">
        <v>162</v>
      </c>
      <c r="F4239" t="s">
        <v>711</v>
      </c>
      <c r="G4239">
        <v>12</v>
      </c>
    </row>
    <row r="4240" spans="1:8">
      <c r="A4240" t="str">
        <f t="shared" si="66"/>
        <v>Zevenbergseweg 14</v>
      </c>
      <c r="B4240" t="s">
        <v>710</v>
      </c>
      <c r="C4240" t="s">
        <v>343</v>
      </c>
      <c r="D4240">
        <v>1970</v>
      </c>
      <c r="E4240">
        <v>486</v>
      </c>
      <c r="F4240" t="s">
        <v>711</v>
      </c>
      <c r="G4240">
        <v>14</v>
      </c>
    </row>
    <row r="4241" spans="1:8">
      <c r="A4241" t="str">
        <f t="shared" si="66"/>
        <v>Zevendalseweg 2</v>
      </c>
      <c r="B4241" t="s">
        <v>712</v>
      </c>
      <c r="C4241" t="s">
        <v>343</v>
      </c>
      <c r="D4241">
        <v>1946</v>
      </c>
      <c r="E4241">
        <v>191</v>
      </c>
      <c r="F4241" t="s">
        <v>713</v>
      </c>
      <c r="G4241">
        <v>2</v>
      </c>
    </row>
    <row r="4242" spans="1:8">
      <c r="A4242" t="str">
        <f t="shared" si="66"/>
        <v>Zevendalseweg 3</v>
      </c>
      <c r="B4242" t="s">
        <v>714</v>
      </c>
      <c r="C4242" t="s">
        <v>343</v>
      </c>
      <c r="D4242">
        <v>1911</v>
      </c>
      <c r="E4242">
        <v>207</v>
      </c>
      <c r="F4242" t="s">
        <v>713</v>
      </c>
      <c r="G4242">
        <v>3</v>
      </c>
    </row>
    <row r="4243" spans="1:8">
      <c r="A4243" t="str">
        <f t="shared" si="66"/>
        <v>Zevendalseweg 4</v>
      </c>
      <c r="B4243" t="s">
        <v>712</v>
      </c>
      <c r="C4243" t="s">
        <v>343</v>
      </c>
      <c r="D4243">
        <v>1946</v>
      </c>
      <c r="E4243">
        <v>145</v>
      </c>
      <c r="F4243" t="s">
        <v>713</v>
      </c>
      <c r="G4243">
        <v>4</v>
      </c>
    </row>
    <row r="4244" spans="1:8">
      <c r="A4244" t="str">
        <f t="shared" si="66"/>
        <v>Zevendalseweg 7</v>
      </c>
      <c r="B4244" t="s">
        <v>715</v>
      </c>
      <c r="C4244" t="s">
        <v>306</v>
      </c>
      <c r="D4244">
        <v>1953</v>
      </c>
      <c r="E4244">
        <v>350</v>
      </c>
      <c r="F4244" t="s">
        <v>713</v>
      </c>
      <c r="G4244">
        <v>7</v>
      </c>
    </row>
    <row r="4245" spans="1:8">
      <c r="A4245" t="str">
        <f t="shared" si="66"/>
        <v>Zevendalseweg 8</v>
      </c>
      <c r="B4245" t="s">
        <v>712</v>
      </c>
      <c r="C4245" t="s">
        <v>343</v>
      </c>
      <c r="D4245">
        <v>1954</v>
      </c>
      <c r="E4245">
        <v>189</v>
      </c>
      <c r="F4245" t="s">
        <v>713</v>
      </c>
      <c r="G4245">
        <v>8</v>
      </c>
    </row>
    <row r="4246" spans="1:8">
      <c r="A4246" t="str">
        <f t="shared" si="66"/>
        <v>Zevendalseweg 10</v>
      </c>
      <c r="B4246" t="s">
        <v>712</v>
      </c>
      <c r="C4246" t="s">
        <v>343</v>
      </c>
      <c r="D4246">
        <v>1925</v>
      </c>
      <c r="E4246">
        <v>382</v>
      </c>
      <c r="F4246" t="s">
        <v>713</v>
      </c>
      <c r="G4246">
        <v>10</v>
      </c>
    </row>
    <row r="4247" spans="1:8">
      <c r="A4247" t="str">
        <f t="shared" si="66"/>
        <v>Zevendalseweg 12a</v>
      </c>
      <c r="B4247" t="s">
        <v>712</v>
      </c>
      <c r="C4247" t="s">
        <v>343</v>
      </c>
      <c r="D4247">
        <v>2000</v>
      </c>
      <c r="E4247">
        <v>264</v>
      </c>
      <c r="F4247" t="s">
        <v>713</v>
      </c>
      <c r="G4247">
        <v>12</v>
      </c>
      <c r="H4247" t="s">
        <v>304</v>
      </c>
    </row>
    <row r="4248" spans="1:8">
      <c r="A4248" t="str">
        <f t="shared" si="66"/>
        <v>Zevendalseweg 12</v>
      </c>
      <c r="B4248" t="s">
        <v>712</v>
      </c>
      <c r="C4248" t="s">
        <v>343</v>
      </c>
      <c r="D4248">
        <v>1955</v>
      </c>
      <c r="E4248">
        <v>261</v>
      </c>
      <c r="F4248" t="s">
        <v>713</v>
      </c>
      <c r="G4248">
        <v>12</v>
      </c>
    </row>
    <row r="4249" spans="1:8">
      <c r="A4249" t="str">
        <f t="shared" si="66"/>
        <v>Zevendalseweg 13</v>
      </c>
      <c r="B4249" t="s">
        <v>715</v>
      </c>
      <c r="C4249" t="s">
        <v>306</v>
      </c>
      <c r="D4249">
        <v>1997</v>
      </c>
      <c r="E4249">
        <v>248</v>
      </c>
      <c r="F4249" t="s">
        <v>713</v>
      </c>
      <c r="G4249">
        <v>13</v>
      </c>
    </row>
    <row r="4250" spans="1:8">
      <c r="A4250" t="str">
        <f t="shared" si="66"/>
        <v>Zevendalseweg 16a</v>
      </c>
      <c r="B4250" t="s">
        <v>716</v>
      </c>
      <c r="C4250" t="s">
        <v>306</v>
      </c>
      <c r="D4250">
        <v>2020</v>
      </c>
      <c r="E4250">
        <v>268</v>
      </c>
      <c r="F4250" t="s">
        <v>713</v>
      </c>
      <c r="G4250">
        <v>16</v>
      </c>
      <c r="H4250" t="s">
        <v>304</v>
      </c>
    </row>
    <row r="4251" spans="1:8">
      <c r="A4251" t="str">
        <f t="shared" si="66"/>
        <v>Zevendalseweg 16b</v>
      </c>
      <c r="B4251" t="s">
        <v>716</v>
      </c>
      <c r="C4251" t="s">
        <v>306</v>
      </c>
      <c r="D4251">
        <v>2020</v>
      </c>
      <c r="E4251">
        <v>74</v>
      </c>
      <c r="F4251" t="s">
        <v>713</v>
      </c>
      <c r="G4251">
        <v>16</v>
      </c>
      <c r="H4251" t="s">
        <v>298</v>
      </c>
    </row>
    <row r="4252" spans="1:8">
      <c r="A4252" t="str">
        <f t="shared" si="66"/>
        <v>Zevendalseweg 16</v>
      </c>
      <c r="B4252" t="s">
        <v>716</v>
      </c>
      <c r="C4252" t="s">
        <v>306</v>
      </c>
      <c r="D4252">
        <v>1955</v>
      </c>
      <c r="E4252">
        <v>278</v>
      </c>
      <c r="F4252" t="s">
        <v>713</v>
      </c>
      <c r="G4252">
        <v>16</v>
      </c>
    </row>
    <row r="4253" spans="1:8">
      <c r="A4253" t="str">
        <f t="shared" si="66"/>
        <v>Zevendalseweg 18a</v>
      </c>
      <c r="B4253" t="s">
        <v>716</v>
      </c>
      <c r="C4253" t="s">
        <v>306</v>
      </c>
      <c r="D4253">
        <v>2017</v>
      </c>
      <c r="E4253">
        <v>116</v>
      </c>
      <c r="F4253" t="s">
        <v>713</v>
      </c>
      <c r="G4253">
        <v>18</v>
      </c>
      <c r="H4253" t="s">
        <v>304</v>
      </c>
    </row>
    <row r="4254" spans="1:8">
      <c r="A4254" t="str">
        <f t="shared" si="66"/>
        <v>Zevendalseweg 18</v>
      </c>
      <c r="B4254" t="s">
        <v>716</v>
      </c>
      <c r="C4254" t="s">
        <v>306</v>
      </c>
      <c r="D4254">
        <v>1950</v>
      </c>
      <c r="E4254">
        <v>81</v>
      </c>
      <c r="F4254" t="s">
        <v>713</v>
      </c>
      <c r="G4254">
        <v>18</v>
      </c>
    </row>
    <row r="4255" spans="1:8">
      <c r="A4255" t="str">
        <f t="shared" si="66"/>
        <v>Zevendalseweg 18</v>
      </c>
      <c r="B4255" t="s">
        <v>716</v>
      </c>
      <c r="C4255" t="s">
        <v>306</v>
      </c>
      <c r="D4255">
        <v>1950</v>
      </c>
      <c r="E4255">
        <v>137</v>
      </c>
      <c r="F4255" t="s">
        <v>713</v>
      </c>
      <c r="G4255">
        <v>18</v>
      </c>
    </row>
    <row r="4256" spans="1:8">
      <c r="A4256" t="str">
        <f t="shared" si="66"/>
        <v>Zevendalseweg 19</v>
      </c>
      <c r="B4256" t="s">
        <v>715</v>
      </c>
      <c r="C4256" t="s">
        <v>306</v>
      </c>
      <c r="D4256">
        <v>1955</v>
      </c>
      <c r="E4256">
        <v>272</v>
      </c>
      <c r="F4256" t="s">
        <v>713</v>
      </c>
      <c r="G4256">
        <v>19</v>
      </c>
    </row>
    <row r="4257" spans="1:7">
      <c r="A4257" t="str">
        <f t="shared" si="66"/>
        <v>Zevendalseweg 20</v>
      </c>
      <c r="B4257" t="s">
        <v>716</v>
      </c>
      <c r="C4257" t="s">
        <v>306</v>
      </c>
      <c r="D4257">
        <v>1991</v>
      </c>
      <c r="E4257">
        <v>157</v>
      </c>
      <c r="F4257" t="s">
        <v>713</v>
      </c>
      <c r="G4257">
        <v>20</v>
      </c>
    </row>
    <row r="4258" spans="1:7">
      <c r="A4258" t="str">
        <f t="shared" si="66"/>
        <v>Zevendalseweg 21</v>
      </c>
      <c r="B4258" t="s">
        <v>715</v>
      </c>
      <c r="C4258" t="s">
        <v>306</v>
      </c>
      <c r="D4258">
        <v>1996</v>
      </c>
      <c r="E4258">
        <v>147</v>
      </c>
      <c r="F4258" t="s">
        <v>713</v>
      </c>
      <c r="G4258">
        <v>21</v>
      </c>
    </row>
  </sheetData>
  <autoFilter ref="A1:O4259" xr:uid="{00000000-0001-0000-0000-000000000000}">
    <sortState xmlns:xlrd2="http://schemas.microsoft.com/office/spreadsheetml/2017/richdata2" ref="A2:O4259">
      <sortCondition ref="F1:F4259"/>
    </sortState>
  </autoFilter>
  <dataConsolidate/>
  <dataValidations count="1">
    <dataValidation type="list" allowBlank="1" showInputMessage="1" showErrorMessage="1" sqref="K6" xr:uid="{904B4E9E-CFC1-46E2-947B-3BB59872EA22}">
      <formula1>AdresTabel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88819-2911-42A0-BA4D-2D135EF56353}">
  <sheetPr>
    <pageSetUpPr fitToPage="1"/>
  </sheetPr>
  <dimension ref="A1:K43"/>
  <sheetViews>
    <sheetView workbookViewId="0">
      <selection activeCell="M32" sqref="M32"/>
    </sheetView>
  </sheetViews>
  <sheetFormatPr defaultColWidth="9.140625" defaultRowHeight="12.75"/>
  <cols>
    <col min="1" max="1" width="9.140625" style="218"/>
    <col min="2" max="2" width="11.28515625" style="177" customWidth="1"/>
    <col min="3" max="4" width="9.140625" style="177"/>
    <col min="5" max="6" width="9.140625" style="46"/>
    <col min="7" max="7" width="10.28515625" style="46" customWidth="1"/>
    <col min="8" max="16384" width="9.140625" style="46"/>
  </cols>
  <sheetData>
    <row r="1" spans="1:11" ht="13.5" thickBot="1">
      <c r="A1" s="401" t="s">
        <v>853</v>
      </c>
      <c r="B1" s="399"/>
      <c r="C1" s="399"/>
      <c r="D1" s="400"/>
    </row>
    <row r="2" spans="1:11" s="218" customFormat="1" ht="90" thickBot="1">
      <c r="A2" s="259" t="s">
        <v>852</v>
      </c>
      <c r="B2" s="260" t="s">
        <v>858</v>
      </c>
      <c r="C2" s="261" t="s">
        <v>771</v>
      </c>
      <c r="D2" s="261" t="s">
        <v>850</v>
      </c>
    </row>
    <row r="3" spans="1:11" s="218" customFormat="1" ht="16.5" thickBot="1">
      <c r="A3" s="262">
        <v>1</v>
      </c>
      <c r="B3" s="263">
        <f>0.01*A3/0.035</f>
        <v>0.2857142857142857</v>
      </c>
      <c r="C3" s="263">
        <f>0.01*A3/0.022</f>
        <v>0.45454545454545459</v>
      </c>
      <c r="D3" s="263">
        <f>0.01*A3/0.0135</f>
        <v>0.74074074074074081</v>
      </c>
      <c r="F3" s="395" t="s">
        <v>192</v>
      </c>
      <c r="G3" s="396"/>
      <c r="H3" s="396"/>
      <c r="I3" s="397"/>
      <c r="J3" s="137"/>
      <c r="K3" s="137"/>
    </row>
    <row r="4" spans="1:11">
      <c r="A4" s="264">
        <v>2</v>
      </c>
      <c r="B4" s="263">
        <f>0.01*A4/0.035</f>
        <v>0.5714285714285714</v>
      </c>
      <c r="C4" s="263">
        <f>0.01*A4/0.022</f>
        <v>0.90909090909090917</v>
      </c>
      <c r="D4" s="263">
        <f>0.01*A4/0.0135</f>
        <v>1.4814814814814816</v>
      </c>
      <c r="F4" s="141" t="s">
        <v>197</v>
      </c>
      <c r="G4" s="141" t="s">
        <v>17</v>
      </c>
      <c r="H4" s="141" t="s">
        <v>76</v>
      </c>
      <c r="I4" s="141" t="s">
        <v>24</v>
      </c>
      <c r="J4" s="144" t="s">
        <v>23</v>
      </c>
      <c r="K4" s="144" t="s">
        <v>198</v>
      </c>
    </row>
    <row r="5" spans="1:11">
      <c r="A5" s="264">
        <v>3</v>
      </c>
      <c r="B5" s="263">
        <f t="shared" ref="B5:B17" si="0">0.01*A5/0.035</f>
        <v>0.85714285714285698</v>
      </c>
      <c r="C5" s="263">
        <f t="shared" ref="C5:C17" si="1">0.01*A5/0.022</f>
        <v>1.3636363636363638</v>
      </c>
      <c r="D5" s="263">
        <f t="shared" ref="D5:D6" si="2">0.01*A5/0.0135</f>
        <v>2.2222222222222223</v>
      </c>
      <c r="F5" s="142">
        <v>1800</v>
      </c>
      <c r="G5" s="144">
        <v>0.65</v>
      </c>
      <c r="H5" s="144">
        <v>0.65</v>
      </c>
      <c r="I5" s="196">
        <v>0.3</v>
      </c>
      <c r="J5" s="196">
        <f>1/5.8</f>
        <v>0.17241379310344829</v>
      </c>
      <c r="K5" s="196">
        <v>1.9</v>
      </c>
    </row>
    <row r="6" spans="1:11">
      <c r="A6" s="264">
        <v>4</v>
      </c>
      <c r="B6" s="263">
        <f t="shared" si="0"/>
        <v>1.1428571428571428</v>
      </c>
      <c r="C6" s="263">
        <f t="shared" si="1"/>
        <v>1.8181818181818183</v>
      </c>
      <c r="D6" s="263">
        <f t="shared" si="2"/>
        <v>2.9629629629629632</v>
      </c>
      <c r="F6" s="142">
        <v>1975</v>
      </c>
      <c r="G6" s="144">
        <v>0.65</v>
      </c>
      <c r="H6" s="142">
        <v>1.3</v>
      </c>
      <c r="I6" s="197">
        <v>1.3</v>
      </c>
      <c r="J6" s="197">
        <f t="shared" ref="J6:J7" si="3">1/5.8</f>
        <v>0.17241379310344829</v>
      </c>
      <c r="K6" s="197">
        <v>2.1</v>
      </c>
    </row>
    <row r="7" spans="1:11">
      <c r="A7" s="264">
        <v>5</v>
      </c>
      <c r="B7" s="263">
        <f t="shared" si="0"/>
        <v>1.4285714285714286</v>
      </c>
      <c r="C7" s="263">
        <f t="shared" si="1"/>
        <v>2.2727272727272729</v>
      </c>
      <c r="F7" s="142">
        <v>1983</v>
      </c>
      <c r="G7" s="144">
        <v>1.3</v>
      </c>
      <c r="H7" s="142">
        <v>1.3</v>
      </c>
      <c r="I7" s="197">
        <v>1.3</v>
      </c>
      <c r="J7" s="197">
        <f t="shared" si="3"/>
        <v>0.17241379310344829</v>
      </c>
      <c r="K7" s="197">
        <v>2.1</v>
      </c>
    </row>
    <row r="8" spans="1:11">
      <c r="A8" s="264">
        <v>6</v>
      </c>
      <c r="B8" s="263">
        <f t="shared" si="0"/>
        <v>1.714285714285714</v>
      </c>
      <c r="C8" s="263">
        <f t="shared" si="1"/>
        <v>2.7272727272727275</v>
      </c>
      <c r="F8" s="142">
        <v>1988</v>
      </c>
      <c r="G8" s="144">
        <v>1.3</v>
      </c>
      <c r="H8" s="142">
        <v>2</v>
      </c>
      <c r="I8" s="197">
        <v>2</v>
      </c>
      <c r="J8" s="197">
        <f>1/2.8</f>
        <v>0.35714285714285715</v>
      </c>
      <c r="K8" s="197">
        <v>2.4</v>
      </c>
    </row>
    <row r="9" spans="1:11">
      <c r="A9" s="264">
        <v>7</v>
      </c>
      <c r="B9" s="263">
        <f t="shared" si="0"/>
        <v>2</v>
      </c>
      <c r="C9" s="263">
        <f t="shared" si="1"/>
        <v>3.1818181818181821</v>
      </c>
      <c r="F9" s="142">
        <v>1992</v>
      </c>
      <c r="G9" s="144">
        <v>2.5</v>
      </c>
      <c r="H9" s="142">
        <v>2.5</v>
      </c>
      <c r="I9" s="197">
        <v>2.5</v>
      </c>
      <c r="J9" s="197">
        <f>1/2.8</f>
        <v>0.35714285714285715</v>
      </c>
      <c r="K9" s="197">
        <v>2.9</v>
      </c>
    </row>
    <row r="10" spans="1:11">
      <c r="A10" s="264">
        <v>8</v>
      </c>
      <c r="B10" s="263">
        <f t="shared" si="0"/>
        <v>2.2857142857142856</v>
      </c>
      <c r="C10" s="263">
        <f t="shared" si="1"/>
        <v>3.6363636363636367</v>
      </c>
      <c r="F10" s="142">
        <v>2014</v>
      </c>
      <c r="G10" s="144">
        <v>3.5</v>
      </c>
      <c r="H10" s="142">
        <v>3.5</v>
      </c>
      <c r="I10" s="197">
        <v>3.5</v>
      </c>
      <c r="J10" s="197">
        <f>1/1.2</f>
        <v>0.83333333333333337</v>
      </c>
      <c r="K10" s="197">
        <v>3.9</v>
      </c>
    </row>
    <row r="11" spans="1:11">
      <c r="A11" s="264">
        <v>9</v>
      </c>
      <c r="B11" s="263">
        <f t="shared" si="0"/>
        <v>2.5714285714285712</v>
      </c>
      <c r="C11" s="263">
        <f t="shared" si="1"/>
        <v>4.0909090909090908</v>
      </c>
      <c r="F11" s="142">
        <v>2015</v>
      </c>
      <c r="G11" s="144">
        <v>3.5</v>
      </c>
      <c r="H11" s="142">
        <v>4.5</v>
      </c>
      <c r="I11" s="197">
        <v>6</v>
      </c>
      <c r="J11" s="197">
        <f>1/1.2</f>
        <v>0.83333333333333337</v>
      </c>
      <c r="K11" s="197">
        <v>4.5</v>
      </c>
    </row>
    <row r="12" spans="1:11">
      <c r="A12" s="264">
        <v>10</v>
      </c>
      <c r="B12" s="263">
        <f t="shared" si="0"/>
        <v>2.8571428571428572</v>
      </c>
      <c r="C12" s="263">
        <f t="shared" si="1"/>
        <v>4.5454545454545459</v>
      </c>
      <c r="F12" s="142">
        <v>2021</v>
      </c>
      <c r="G12" s="144">
        <v>3.7</v>
      </c>
      <c r="H12" s="142">
        <v>4.7</v>
      </c>
      <c r="I12" s="197">
        <v>6.3</v>
      </c>
      <c r="J12" s="197">
        <v>1</v>
      </c>
      <c r="K12" s="197">
        <v>4.7</v>
      </c>
    </row>
    <row r="13" spans="1:11">
      <c r="A13" s="264">
        <v>12</v>
      </c>
      <c r="B13" s="263">
        <f t="shared" si="0"/>
        <v>3.4285714285714279</v>
      </c>
      <c r="C13" s="263">
        <f t="shared" si="1"/>
        <v>5.454545454545455</v>
      </c>
      <c r="F13" s="142">
        <v>2030</v>
      </c>
      <c r="G13" s="144">
        <v>3.7</v>
      </c>
      <c r="H13" s="142">
        <v>4.7</v>
      </c>
      <c r="I13" s="197">
        <v>6.3</v>
      </c>
      <c r="J13" s="197">
        <v>2</v>
      </c>
      <c r="K13" s="197">
        <v>4.7</v>
      </c>
    </row>
    <row r="14" spans="1:11">
      <c r="A14" s="264">
        <v>14</v>
      </c>
      <c r="B14" s="263">
        <f t="shared" si="0"/>
        <v>4</v>
      </c>
      <c r="C14" s="263">
        <f t="shared" si="1"/>
        <v>6.3636363636363642</v>
      </c>
    </row>
    <row r="15" spans="1:11">
      <c r="A15" s="264">
        <v>16</v>
      </c>
      <c r="B15" s="263">
        <f t="shared" si="0"/>
        <v>4.5714285714285712</v>
      </c>
      <c r="C15" s="263">
        <f t="shared" si="1"/>
        <v>7.2727272727272734</v>
      </c>
    </row>
    <row r="16" spans="1:11">
      <c r="A16" s="264">
        <v>18</v>
      </c>
      <c r="B16" s="263">
        <f t="shared" si="0"/>
        <v>5.1428571428571423</v>
      </c>
      <c r="C16" s="263">
        <f t="shared" si="1"/>
        <v>8.1818181818181817</v>
      </c>
    </row>
    <row r="17" spans="1:7">
      <c r="A17" s="264">
        <v>20</v>
      </c>
      <c r="B17" s="263">
        <f t="shared" si="0"/>
        <v>5.7142857142857144</v>
      </c>
      <c r="C17" s="263">
        <f t="shared" si="1"/>
        <v>9.0909090909090917</v>
      </c>
    </row>
    <row r="19" spans="1:7">
      <c r="A19" s="264" t="s">
        <v>851</v>
      </c>
      <c r="B19" s="265">
        <v>0.18</v>
      </c>
    </row>
    <row r="20" spans="1:7">
      <c r="A20" s="264" t="s">
        <v>198</v>
      </c>
      <c r="B20" s="265">
        <v>0.41</v>
      </c>
    </row>
    <row r="22" spans="1:7" ht="13.5" thickBot="1"/>
    <row r="23" spans="1:7" ht="32.25" customHeight="1" thickBot="1">
      <c r="A23" s="398" t="s">
        <v>913</v>
      </c>
      <c r="B23" s="399"/>
      <c r="C23" s="399"/>
      <c r="D23" s="399"/>
      <c r="E23" s="399"/>
      <c r="F23" s="399"/>
      <c r="G23" s="400"/>
    </row>
    <row r="24" spans="1:7">
      <c r="A24" s="266"/>
      <c r="B24" s="267" t="s">
        <v>895</v>
      </c>
      <c r="C24" s="268">
        <v>44927</v>
      </c>
      <c r="D24" s="259" t="s">
        <v>899</v>
      </c>
      <c r="E24" s="259" t="s">
        <v>896</v>
      </c>
      <c r="F24" s="259" t="s">
        <v>897</v>
      </c>
      <c r="G24" s="259" t="s">
        <v>898</v>
      </c>
    </row>
    <row r="25" spans="1:7">
      <c r="A25" s="269" t="s">
        <v>900</v>
      </c>
      <c r="B25" s="270" t="s">
        <v>863</v>
      </c>
      <c r="C25" s="270" t="s">
        <v>863</v>
      </c>
      <c r="D25" s="270">
        <v>10</v>
      </c>
      <c r="E25" s="270">
        <v>170</v>
      </c>
      <c r="F25" s="270" t="s">
        <v>864</v>
      </c>
      <c r="G25" s="270"/>
    </row>
    <row r="26" spans="1:7" ht="25.5">
      <c r="A26" s="269" t="s">
        <v>901</v>
      </c>
      <c r="B26" s="270" t="s">
        <v>865</v>
      </c>
      <c r="C26" s="270" t="s">
        <v>865</v>
      </c>
      <c r="D26" s="270">
        <v>10</v>
      </c>
      <c r="E26" s="270">
        <v>170</v>
      </c>
      <c r="F26" s="270" t="s">
        <v>866</v>
      </c>
      <c r="G26" s="270"/>
    </row>
    <row r="27" spans="1:7" ht="14.25">
      <c r="A27" s="269" t="s">
        <v>902</v>
      </c>
      <c r="B27" s="270" t="s">
        <v>867</v>
      </c>
      <c r="C27" s="270" t="s">
        <v>867</v>
      </c>
      <c r="D27" s="270">
        <v>20</v>
      </c>
      <c r="E27" s="270">
        <v>200</v>
      </c>
      <c r="F27" s="270" t="s">
        <v>864</v>
      </c>
      <c r="G27" s="270"/>
    </row>
    <row r="28" spans="1:7" ht="14.25">
      <c r="A28" s="269" t="s">
        <v>903</v>
      </c>
      <c r="B28" s="270" t="s">
        <v>868</v>
      </c>
      <c r="C28" s="270" t="s">
        <v>865</v>
      </c>
      <c r="D28" s="270">
        <v>20</v>
      </c>
      <c r="E28" s="270">
        <v>130</v>
      </c>
      <c r="F28" s="270" t="s">
        <v>864</v>
      </c>
      <c r="G28" s="270"/>
    </row>
    <row r="29" spans="1:7" ht="14.25">
      <c r="A29" s="269" t="s">
        <v>904</v>
      </c>
      <c r="B29" s="270" t="s">
        <v>869</v>
      </c>
      <c r="C29" s="270" t="s">
        <v>870</v>
      </c>
      <c r="D29" s="270">
        <v>20</v>
      </c>
      <c r="E29" s="270">
        <v>130</v>
      </c>
      <c r="F29" s="270" t="s">
        <v>864</v>
      </c>
      <c r="G29" s="270"/>
    </row>
    <row r="30" spans="1:7" ht="13.5" customHeight="1">
      <c r="A30" s="271" t="s">
        <v>905</v>
      </c>
      <c r="B30" s="270" t="s">
        <v>871</v>
      </c>
      <c r="C30" s="270" t="s">
        <v>871</v>
      </c>
      <c r="D30" s="270">
        <v>20</v>
      </c>
      <c r="E30" s="270">
        <v>130</v>
      </c>
      <c r="F30" s="270" t="s">
        <v>864</v>
      </c>
      <c r="G30" s="270"/>
    </row>
    <row r="31" spans="1:7" ht="14.25">
      <c r="A31" s="269" t="s">
        <v>230</v>
      </c>
      <c r="B31" s="270" t="s">
        <v>872</v>
      </c>
      <c r="C31" s="270" t="s">
        <v>873</v>
      </c>
      <c r="D31" s="270" t="s">
        <v>874</v>
      </c>
      <c r="E31" s="270" t="s">
        <v>875</v>
      </c>
      <c r="F31" s="270"/>
      <c r="G31" s="270" t="s">
        <v>876</v>
      </c>
    </row>
    <row r="32" spans="1:7" ht="14.25">
      <c r="A32" s="269" t="s">
        <v>231</v>
      </c>
      <c r="B32" s="270" t="s">
        <v>877</v>
      </c>
      <c r="C32" s="270" t="s">
        <v>878</v>
      </c>
      <c r="D32" s="270" t="s">
        <v>874</v>
      </c>
      <c r="E32" s="270" t="s">
        <v>875</v>
      </c>
      <c r="F32" s="270"/>
      <c r="G32" s="270" t="s">
        <v>879</v>
      </c>
    </row>
    <row r="33" spans="1:7" ht="27">
      <c r="A33" s="269" t="s">
        <v>910</v>
      </c>
      <c r="B33" s="270" t="s">
        <v>880</v>
      </c>
      <c r="C33" s="270" t="s">
        <v>881</v>
      </c>
      <c r="D33" s="270" t="s">
        <v>882</v>
      </c>
      <c r="E33" s="270" t="s">
        <v>883</v>
      </c>
      <c r="F33" s="270"/>
      <c r="G33" s="270" t="s">
        <v>907</v>
      </c>
    </row>
    <row r="34" spans="1:7" ht="27">
      <c r="A34" s="269" t="s">
        <v>910</v>
      </c>
      <c r="B34" s="270" t="s">
        <v>884</v>
      </c>
      <c r="C34" s="270" t="s">
        <v>885</v>
      </c>
      <c r="D34" s="270" t="s">
        <v>882</v>
      </c>
      <c r="E34" s="270" t="s">
        <v>883</v>
      </c>
      <c r="F34" s="270"/>
      <c r="G34" s="270" t="s">
        <v>879</v>
      </c>
    </row>
    <row r="35" spans="1:7" ht="27">
      <c r="A35" s="271" t="s">
        <v>912</v>
      </c>
      <c r="B35" s="270" t="s">
        <v>872</v>
      </c>
      <c r="C35" s="270" t="s">
        <v>873</v>
      </c>
      <c r="D35" s="270" t="s">
        <v>886</v>
      </c>
      <c r="E35" s="270" t="s">
        <v>887</v>
      </c>
      <c r="F35" s="270"/>
      <c r="G35" s="270" t="s">
        <v>906</v>
      </c>
    </row>
    <row r="36" spans="1:7" ht="27">
      <c r="A36" s="271" t="s">
        <v>911</v>
      </c>
      <c r="B36" s="270" t="s">
        <v>877</v>
      </c>
      <c r="C36" s="270" t="s">
        <v>878</v>
      </c>
      <c r="D36" s="270" t="s">
        <v>886</v>
      </c>
      <c r="E36" s="270" t="s">
        <v>887</v>
      </c>
      <c r="F36" s="270"/>
      <c r="G36" s="270" t="s">
        <v>888</v>
      </c>
    </row>
    <row r="37" spans="1:7" ht="14.25">
      <c r="A37" s="272" t="s">
        <v>889</v>
      </c>
      <c r="B37"/>
      <c r="C37"/>
      <c r="D37"/>
      <c r="E37"/>
      <c r="F37"/>
      <c r="G37"/>
    </row>
    <row r="38" spans="1:7" ht="14.25">
      <c r="A38" s="272" t="s">
        <v>890</v>
      </c>
      <c r="B38"/>
      <c r="C38"/>
      <c r="D38"/>
      <c r="E38"/>
      <c r="F38"/>
      <c r="G38"/>
    </row>
    <row r="39" spans="1:7" ht="14.25">
      <c r="A39" s="272" t="s">
        <v>891</v>
      </c>
      <c r="B39"/>
      <c r="C39"/>
      <c r="D39"/>
      <c r="E39"/>
      <c r="F39"/>
      <c r="G39"/>
    </row>
    <row r="40" spans="1:7" ht="14.25">
      <c r="A40" s="272" t="s">
        <v>892</v>
      </c>
      <c r="B40"/>
      <c r="C40"/>
      <c r="D40"/>
      <c r="E40"/>
      <c r="F40"/>
      <c r="G40"/>
    </row>
    <row r="41" spans="1:7" ht="14.25">
      <c r="A41" s="272" t="s">
        <v>893</v>
      </c>
      <c r="B41"/>
      <c r="C41"/>
      <c r="D41"/>
      <c r="E41"/>
      <c r="F41"/>
      <c r="G41"/>
    </row>
    <row r="42" spans="1:7" ht="14.25">
      <c r="A42" s="272" t="s">
        <v>894</v>
      </c>
      <c r="B42"/>
      <c r="C42"/>
      <c r="D42"/>
      <c r="E42"/>
      <c r="F42"/>
      <c r="G42"/>
    </row>
    <row r="43" spans="1:7">
      <c r="A43" s="218" t="s">
        <v>908</v>
      </c>
      <c r="B43" s="220" t="s">
        <v>909</v>
      </c>
    </row>
  </sheetData>
  <sheetProtection algorithmName="SHA-512" hashValue="oYc/ddjJgSJUlLi5dJgbTmXZc+wF1Z1r1lh6qq8Q/Am0plU/pCAJWZ+0TcfPCQy1P+ROaOCX/1qu3lXpy8E9Cw==" saltValue="L2LwlH7wH4lu461F8oXx8Q==" spinCount="100000" sheet="1" objects="1" scenarios="1"/>
  <mergeCells count="3">
    <mergeCell ref="F3:I3"/>
    <mergeCell ref="A23:G23"/>
    <mergeCell ref="A1:D1"/>
  </mergeCells>
  <hyperlinks>
    <hyperlink ref="B43" r:id="rId1" location="subsidiebedragen-per-m2" xr:uid="{AD786363-41B6-4D98-8DB3-F5CB8614F0FD}"/>
  </hyperlinks>
  <pageMargins left="0.25" right="0.25" top="0.75" bottom="0.75" header="0.3" footer="0.3"/>
  <pageSetup paperSize="9" scale="88" fitToHeight="0" orientation="portrait" horizontalDpi="0" verticalDpi="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F910-379C-495B-A3B7-4B55A779A73F}">
  <sheetPr codeName="Sheet3">
    <pageSetUpPr fitToPage="1"/>
  </sheetPr>
  <dimension ref="A1:Z151"/>
  <sheetViews>
    <sheetView topLeftCell="A16" zoomScaleNormal="100" workbookViewId="0">
      <selection activeCell="E30" sqref="E30"/>
    </sheetView>
  </sheetViews>
  <sheetFormatPr defaultColWidth="9.140625" defaultRowHeight="14.25"/>
  <cols>
    <col min="1" max="1" width="29" style="50" customWidth="1"/>
    <col min="2" max="2" width="7.7109375" style="50" customWidth="1"/>
    <col min="3" max="3" width="9.140625" style="50"/>
    <col min="4" max="4" width="9.140625" style="79"/>
    <col min="5" max="5" width="11.5703125" style="50" customWidth="1"/>
    <col min="6" max="6" width="10.5703125" style="50" customWidth="1"/>
    <col min="7" max="7" width="9.5703125" style="51" bestFit="1" customWidth="1"/>
    <col min="8" max="8" width="9.5703125" style="52" bestFit="1" customWidth="1"/>
    <col min="9" max="9" width="9.140625" style="52"/>
    <col min="10" max="10" width="9.140625" style="50"/>
    <col min="11" max="11" width="29" style="50" customWidth="1"/>
    <col min="12" max="12" width="21.42578125" style="50" customWidth="1"/>
    <col min="13" max="15" width="9.140625" style="50"/>
    <col min="16" max="16" width="11" style="50" customWidth="1"/>
    <col min="17" max="17" width="9.140625" style="51"/>
    <col min="18" max="19" width="9.140625" style="52"/>
    <col min="20" max="20" width="9.140625" style="50"/>
    <col min="21" max="21" width="10.5703125" style="50" customWidth="1"/>
    <col min="22" max="16384" width="9.140625" style="50"/>
  </cols>
  <sheetData>
    <row r="1" spans="1:20">
      <c r="H1" s="97"/>
    </row>
    <row r="2" spans="1:20" s="137" customFormat="1" ht="15" thickBot="1">
      <c r="B2" s="148"/>
      <c r="C2" s="166"/>
      <c r="D2" s="238" t="s">
        <v>924</v>
      </c>
      <c r="E2" s="194"/>
      <c r="M2" s="104" t="s">
        <v>924</v>
      </c>
      <c r="N2" s="237" t="s">
        <v>1031</v>
      </c>
      <c r="O2" s="237"/>
    </row>
    <row r="3" spans="1:20" ht="15.75" thickBot="1">
      <c r="A3" s="406" t="s">
        <v>72</v>
      </c>
      <c r="B3" s="407"/>
      <c r="C3" s="407"/>
      <c r="D3" s="408"/>
      <c r="E3" s="408"/>
      <c r="F3" s="408"/>
      <c r="G3" s="408"/>
      <c r="H3" s="408"/>
      <c r="I3" s="408"/>
      <c r="J3" s="409"/>
      <c r="K3" s="104" t="s">
        <v>73</v>
      </c>
      <c r="L3" s="104" t="s">
        <v>926</v>
      </c>
      <c r="M3" s="104">
        <f ca="1">MATCH(Adres,INDIRECT(M2&amp;"!A:A"),0)</f>
        <v>2772</v>
      </c>
      <c r="N3" s="104">
        <f ca="1">MATCH(Adres,INDIRECT(M2&amp;"!A:A"),0)</f>
        <v>2772</v>
      </c>
      <c r="O3" s="239" t="s">
        <v>1046</v>
      </c>
      <c r="Q3" s="50"/>
      <c r="R3" s="50"/>
      <c r="S3" s="50"/>
    </row>
    <row r="4" spans="1:20" s="137" customFormat="1">
      <c r="A4" s="88" t="s">
        <v>74</v>
      </c>
      <c r="B4" s="402" t="str">
        <f>Adres</f>
        <v>Middelweg 94</v>
      </c>
      <c r="C4" s="402"/>
      <c r="D4" s="176"/>
      <c r="E4" s="88" t="s">
        <v>75</v>
      </c>
      <c r="F4" s="61">
        <f>Basis!G4</f>
        <v>2</v>
      </c>
      <c r="G4" s="51"/>
      <c r="H4" s="50"/>
      <c r="I4" s="88" t="s">
        <v>17</v>
      </c>
      <c r="J4" s="195" t="str">
        <f>Aangepakt_Vloer</f>
        <v>Nee</v>
      </c>
      <c r="K4" s="50"/>
      <c r="L4" s="104" t="s">
        <v>927</v>
      </c>
      <c r="M4" s="104" t="str">
        <f ca="1">INDIRECT(M2&amp;"!B"&amp;M3)</f>
        <v>6584AJ</v>
      </c>
      <c r="N4" s="237"/>
      <c r="O4" s="298" t="s">
        <v>1076</v>
      </c>
    </row>
    <row r="5" spans="1:20" s="137" customFormat="1">
      <c r="A5" s="88" t="s">
        <v>62</v>
      </c>
      <c r="B5" s="402" t="str">
        <f ca="1">VLOOKUP(B4,INDIRECT($D$2&amp;"!A:E"),2,FALSE)</f>
        <v>6584AJ</v>
      </c>
      <c r="C5" s="402"/>
      <c r="D5" s="52"/>
      <c r="E5" s="88" t="s">
        <v>6</v>
      </c>
      <c r="F5" s="195" t="str">
        <f>Basis!G5</f>
        <v>HoekWoning</v>
      </c>
      <c r="G5" s="195">
        <f>LOOKUP(WoningType,WoningType_L,WoningType_W)</f>
        <v>1</v>
      </c>
      <c r="H5" s="50"/>
      <c r="I5" s="88" t="s">
        <v>76</v>
      </c>
      <c r="J5" s="195" t="str">
        <f>Aangepakt_Muur</f>
        <v>Nee</v>
      </c>
      <c r="K5" s="50"/>
      <c r="L5" s="50"/>
      <c r="M5" s="237"/>
      <c r="N5" s="237"/>
      <c r="O5" s="298" t="s">
        <v>1077</v>
      </c>
    </row>
    <row r="6" spans="1:20" s="137" customFormat="1">
      <c r="A6" s="88" t="s">
        <v>59</v>
      </c>
      <c r="B6" s="402" t="str">
        <f ca="1">VLOOKUP(B4,INDIRECT($D$2&amp;"!A:E"),3,FALSE)</f>
        <v>Molenhoek</v>
      </c>
      <c r="C6" s="402"/>
      <c r="D6" s="52"/>
      <c r="E6" s="88" t="s">
        <v>77</v>
      </c>
      <c r="F6" s="195" t="str">
        <f>Basis!G7</f>
        <v>Nee</v>
      </c>
      <c r="G6" s="51"/>
      <c r="H6" s="50"/>
      <c r="I6" s="88" t="s">
        <v>24</v>
      </c>
      <c r="J6" s="195" t="str">
        <f>Aangepakt_Dak</f>
        <v>Nee</v>
      </c>
      <c r="K6" s="50"/>
      <c r="M6" s="237"/>
      <c r="N6" s="237"/>
      <c r="O6" s="298" t="s">
        <v>1078</v>
      </c>
    </row>
    <row r="7" spans="1:20" s="137" customFormat="1">
      <c r="A7" s="88" t="s">
        <v>2</v>
      </c>
      <c r="B7" s="402">
        <f ca="1">_xlfn.IFNA(VLOOKUP(B4,INDIRECT($D$2&amp;"!A:E"),4,FALSE),Basis!T1)</f>
        <v>1988</v>
      </c>
      <c r="C7" s="402"/>
      <c r="D7" s="62">
        <f ca="1">Bouwjaar_BAG-Correctie_Bouwjaar</f>
        <v>1987</v>
      </c>
      <c r="E7" s="88" t="s">
        <v>78</v>
      </c>
      <c r="F7" s="195" t="str">
        <f>Vloerverwarming</f>
        <v>Nee</v>
      </c>
      <c r="G7" s="51"/>
      <c r="H7" s="50"/>
      <c r="I7" s="88" t="s">
        <v>23</v>
      </c>
      <c r="J7" s="195" t="str">
        <f>Aangepakt_Glas</f>
        <v>Nee</v>
      </c>
      <c r="K7" s="50"/>
    </row>
    <row r="8" spans="1:20" s="137" customFormat="1">
      <c r="A8" s="88" t="s">
        <v>79</v>
      </c>
      <c r="B8" s="402">
        <f ca="1">_xlfn.IFNA(VLOOKUP(B4,INDIRECT($D$2&amp;"!A:E"),5,FALSE),Basis!T2)</f>
        <v>164</v>
      </c>
      <c r="C8" s="402"/>
      <c r="D8" s="62">
        <f ca="1">D9*B8</f>
        <v>147.6</v>
      </c>
      <c r="E8" s="88" t="s">
        <v>80</v>
      </c>
      <c r="F8" s="195" t="str">
        <f>Basis!G10</f>
        <v>Nee</v>
      </c>
      <c r="G8" s="51"/>
      <c r="H8" s="50"/>
      <c r="I8" s="88" t="s">
        <v>81</v>
      </c>
      <c r="J8" s="195" t="str">
        <f>Aangepakt_Kieren</f>
        <v>Nee</v>
      </c>
      <c r="K8" s="50"/>
    </row>
    <row r="9" spans="1:20" s="137" customFormat="1">
      <c r="A9" s="88" t="s">
        <v>1084</v>
      </c>
      <c r="B9" s="174">
        <f>1 - 0.1 *LOOKUP(WoningType,WoningType_L,WoningType_W)</f>
        <v>0.9</v>
      </c>
      <c r="C9" s="299"/>
      <c r="D9" s="175">
        <f t="shared" ref="D9" si="0">IF(C9="",B9,C9)</f>
        <v>0.9</v>
      </c>
      <c r="E9" s="166"/>
      <c r="F9" s="166"/>
      <c r="G9" s="166"/>
      <c r="H9" s="166"/>
      <c r="I9" s="166"/>
      <c r="J9" s="166"/>
      <c r="K9" s="166"/>
    </row>
    <row r="10" spans="1:20" s="137" customFormat="1" ht="12.75">
      <c r="A10" s="166"/>
      <c r="B10" s="166"/>
      <c r="C10" s="166"/>
      <c r="D10" s="170"/>
      <c r="E10" s="194"/>
    </row>
    <row r="11" spans="1:20" s="137" customFormat="1" ht="15">
      <c r="A11" s="206" t="s">
        <v>825</v>
      </c>
      <c r="B11" s="47">
        <v>1</v>
      </c>
      <c r="C11" s="203">
        <v>1</v>
      </c>
      <c r="D11" s="170"/>
      <c r="E11" s="194"/>
    </row>
    <row r="12" spans="1:20" s="137" customFormat="1" ht="15">
      <c r="A12" s="206" t="s">
        <v>58</v>
      </c>
      <c r="B12" s="47">
        <v>2500</v>
      </c>
      <c r="C12" s="203">
        <v>2500</v>
      </c>
      <c r="D12" s="170"/>
      <c r="E12" s="403" t="s">
        <v>82</v>
      </c>
      <c r="F12" s="403"/>
      <c r="G12" s="403"/>
      <c r="H12" s="81">
        <v>2.0790000000000002</v>
      </c>
      <c r="I12" s="202">
        <v>2.08</v>
      </c>
      <c r="J12" s="201" t="s">
        <v>83</v>
      </c>
      <c r="K12" s="144" t="s">
        <v>84</v>
      </c>
      <c r="L12" s="190">
        <f>0.001*24*GD/(kWh_m3*Ketel_Rendement)</f>
        <v>7.2028811524609839</v>
      </c>
      <c r="M12" s="410" t="s">
        <v>85</v>
      </c>
      <c r="N12" s="410"/>
      <c r="O12" s="410"/>
      <c r="P12" s="410"/>
      <c r="Q12" s="410"/>
      <c r="R12" s="410"/>
      <c r="S12" s="410"/>
      <c r="T12" s="410"/>
    </row>
    <row r="13" spans="1:20" s="137" customFormat="1" ht="15">
      <c r="A13" s="206" t="s">
        <v>61</v>
      </c>
      <c r="B13" s="48">
        <v>0.85</v>
      </c>
      <c r="C13" s="204">
        <v>0.85</v>
      </c>
      <c r="D13" s="170"/>
      <c r="E13" s="403" t="s">
        <v>86</v>
      </c>
      <c r="F13" s="403"/>
      <c r="G13" s="403"/>
      <c r="H13" s="81">
        <v>0.45600000000000002</v>
      </c>
      <c r="I13" s="202">
        <v>0.46</v>
      </c>
      <c r="J13" s="201" t="s">
        <v>83</v>
      </c>
      <c r="K13" s="179"/>
      <c r="L13" s="148"/>
      <c r="M13" s="137" t="s">
        <v>87</v>
      </c>
    </row>
    <row r="14" spans="1:20" s="137" customFormat="1" ht="15">
      <c r="A14" s="206" t="s">
        <v>88</v>
      </c>
      <c r="B14" s="84">
        <v>9.8000000000000007</v>
      </c>
      <c r="C14" s="205">
        <v>9.8000000000000007</v>
      </c>
      <c r="D14" s="170"/>
      <c r="E14" s="403" t="s">
        <v>89</v>
      </c>
      <c r="F14" s="403"/>
      <c r="G14" s="403"/>
      <c r="H14" s="81">
        <v>0.12230000000000001</v>
      </c>
      <c r="I14" s="202">
        <v>0.12</v>
      </c>
      <c r="K14" s="179"/>
      <c r="L14" s="148"/>
      <c r="M14" s="137" t="s">
        <v>90</v>
      </c>
    </row>
    <row r="15" spans="1:20" s="137" customFormat="1" ht="15">
      <c r="A15" s="206"/>
      <c r="B15" s="47"/>
      <c r="C15" s="205"/>
      <c r="D15" s="170"/>
      <c r="E15" s="403" t="s">
        <v>91</v>
      </c>
      <c r="F15" s="403"/>
      <c r="G15" s="403"/>
      <c r="H15" s="81">
        <f>94.5/1000</f>
        <v>9.4500000000000001E-2</v>
      </c>
      <c r="I15" s="202">
        <v>0.09</v>
      </c>
      <c r="K15" s="179" t="s">
        <v>92</v>
      </c>
      <c r="L15" s="199">
        <f>0.001*24*(GD-238)/(kWh_m3*Ketel_Rendement)</f>
        <v>6.5171668667466989</v>
      </c>
      <c r="M15" s="137" t="s">
        <v>93</v>
      </c>
    </row>
    <row r="16" spans="1:20" s="137" customFormat="1" ht="15">
      <c r="A16" s="206" t="s">
        <v>94</v>
      </c>
      <c r="B16" s="84">
        <v>1</v>
      </c>
      <c r="C16" s="205">
        <v>1</v>
      </c>
      <c r="D16" s="170"/>
      <c r="E16" s="403" t="s">
        <v>95</v>
      </c>
      <c r="F16" s="403"/>
      <c r="G16" s="403"/>
      <c r="H16" s="81">
        <v>1.45</v>
      </c>
      <c r="I16" s="202">
        <v>1.45</v>
      </c>
      <c r="K16" s="179"/>
      <c r="L16" s="148"/>
    </row>
    <row r="17" spans="1:19" s="137" customFormat="1" ht="15">
      <c r="A17" s="206" t="s">
        <v>96</v>
      </c>
      <c r="B17" s="47">
        <v>200</v>
      </c>
      <c r="C17" s="203">
        <v>200</v>
      </c>
      <c r="D17" s="170"/>
      <c r="E17" s="403" t="s">
        <v>97</v>
      </c>
      <c r="F17" s="403"/>
      <c r="G17" s="403"/>
      <c r="H17" s="81">
        <v>0.4</v>
      </c>
      <c r="I17" s="202">
        <v>0.4</v>
      </c>
      <c r="K17" s="179"/>
      <c r="L17" s="148"/>
    </row>
    <row r="18" spans="1:19" s="137" customFormat="1" ht="15">
      <c r="A18" s="206" t="s">
        <v>98</v>
      </c>
      <c r="B18" s="84">
        <v>1</v>
      </c>
      <c r="C18" s="205">
        <v>1</v>
      </c>
      <c r="D18" s="170"/>
      <c r="E18" s="403" t="s">
        <v>99</v>
      </c>
      <c r="F18" s="403"/>
      <c r="G18" s="403"/>
      <c r="H18" s="200">
        <v>270</v>
      </c>
      <c r="I18" s="203">
        <v>270</v>
      </c>
      <c r="K18" s="179"/>
      <c r="L18" s="148"/>
    </row>
    <row r="19" spans="1:19" s="137" customFormat="1" ht="15">
      <c r="A19" s="206" t="s">
        <v>100</v>
      </c>
      <c r="B19" s="84">
        <v>0.5</v>
      </c>
      <c r="C19" s="205">
        <v>0.5</v>
      </c>
      <c r="D19" s="170"/>
      <c r="E19" s="403" t="s">
        <v>854</v>
      </c>
      <c r="F19" s="403"/>
      <c r="G19" s="403"/>
      <c r="H19" s="200">
        <v>220</v>
      </c>
      <c r="I19" s="203">
        <v>220</v>
      </c>
      <c r="K19" s="179"/>
      <c r="L19" s="148"/>
    </row>
    <row r="20" spans="1:19" s="137" customFormat="1" ht="15">
      <c r="A20" s="206" t="s">
        <v>101</v>
      </c>
      <c r="B20" s="84">
        <v>4.5</v>
      </c>
      <c r="C20" s="205">
        <v>4.5</v>
      </c>
      <c r="D20" s="170"/>
      <c r="E20" s="403"/>
      <c r="F20" s="403"/>
      <c r="G20" s="403"/>
      <c r="H20" s="81"/>
      <c r="I20" s="203"/>
      <c r="K20" s="179"/>
      <c r="L20" s="148"/>
    </row>
    <row r="21" spans="1:19" ht="15" thickBot="1"/>
    <row r="22" spans="1:19" ht="15.75" thickBot="1">
      <c r="B22" s="214" t="s">
        <v>102</v>
      </c>
      <c r="C22" s="214" t="s">
        <v>103</v>
      </c>
    </row>
    <row r="23" spans="1:19" ht="15">
      <c r="A23" s="58" t="s">
        <v>104</v>
      </c>
      <c r="B23" s="173">
        <v>130</v>
      </c>
      <c r="C23" s="215"/>
      <c r="D23" s="176">
        <f t="shared" ref="D23:D25" si="1">IF(C23="",B23,C23)</f>
        <v>130</v>
      </c>
      <c r="E23" s="176">
        <f ca="1">(F4*WarmteProductie_pp*Aanwezigheid/Vermogen_Verbruik) + 0.5*Apparatuur_Productie/kWh_m3</f>
        <v>148.859543817527</v>
      </c>
    </row>
    <row r="24" spans="1:19" ht="15">
      <c r="A24" s="58" t="s">
        <v>105</v>
      </c>
      <c r="B24" s="174">
        <v>0.5</v>
      </c>
      <c r="C24" s="299"/>
      <c r="D24" s="175">
        <f t="shared" si="1"/>
        <v>0.5</v>
      </c>
    </row>
    <row r="25" spans="1:19" ht="15">
      <c r="A25" s="58" t="s">
        <v>1080</v>
      </c>
      <c r="B25" s="173">
        <v>2000</v>
      </c>
      <c r="C25" s="215"/>
      <c r="D25" s="176">
        <f t="shared" si="1"/>
        <v>2000</v>
      </c>
    </row>
    <row r="26" spans="1:19" ht="15">
      <c r="A26" s="58" t="s">
        <v>1087</v>
      </c>
      <c r="B26" s="173">
        <f>MROUND(Personen*VLOOKUP(WarmWater_Gebruik,WarmWater_T,2,FALSE),10)</f>
        <v>120</v>
      </c>
      <c r="C26" s="215"/>
      <c r="D26" s="176">
        <f t="shared" ref="D26" si="2">IF(C26="",B26,C26)</f>
        <v>120</v>
      </c>
      <c r="E26" s="176">
        <f>IF(C26="",0,1)</f>
        <v>0</v>
      </c>
    </row>
    <row r="27" spans="1:19" s="137" customFormat="1" ht="13.5" thickBot="1">
      <c r="B27" s="148"/>
      <c r="C27" s="166"/>
      <c r="D27" s="170"/>
      <c r="E27" s="194"/>
    </row>
    <row r="28" spans="1:19" ht="15.75" thickBot="1">
      <c r="B28" s="214" t="s">
        <v>102</v>
      </c>
      <c r="C28" s="214" t="s">
        <v>103</v>
      </c>
      <c r="F28" s="51"/>
      <c r="G28" s="52"/>
      <c r="I28" s="50"/>
      <c r="P28" s="51"/>
      <c r="Q28" s="52"/>
      <c r="S28" s="50"/>
    </row>
    <row r="29" spans="1:19" ht="15">
      <c r="A29" s="58" t="s">
        <v>106</v>
      </c>
      <c r="B29" s="86">
        <v>19</v>
      </c>
      <c r="C29" s="215">
        <v>20</v>
      </c>
      <c r="D29" s="102">
        <f>IF(C29="",B29,C29)</f>
        <v>20</v>
      </c>
    </row>
    <row r="30" spans="1:19" ht="15">
      <c r="A30" s="58" t="s">
        <v>107</v>
      </c>
      <c r="B30" s="86">
        <v>19</v>
      </c>
      <c r="C30" s="215"/>
      <c r="D30" s="102">
        <f t="shared" ref="D30:D32" si="3">IF(C30="",B30,C30)</f>
        <v>19</v>
      </c>
    </row>
    <row r="31" spans="1:19" ht="15">
      <c r="A31" s="131" t="s">
        <v>108</v>
      </c>
      <c r="B31" s="86">
        <v>5</v>
      </c>
      <c r="C31" s="215"/>
      <c r="D31" s="102">
        <f t="shared" si="3"/>
        <v>5</v>
      </c>
    </row>
    <row r="32" spans="1:19" ht="15">
      <c r="A32" s="58" t="s">
        <v>109</v>
      </c>
      <c r="B32" s="86">
        <v>0</v>
      </c>
      <c r="C32" s="215">
        <v>0</v>
      </c>
      <c r="D32" s="102">
        <f t="shared" si="3"/>
        <v>0</v>
      </c>
    </row>
    <row r="34" spans="1:25" s="137" customFormat="1" ht="13.5" thickBot="1">
      <c r="B34" s="148"/>
      <c r="C34" s="166"/>
      <c r="D34" s="170"/>
      <c r="E34" s="194"/>
    </row>
    <row r="35" spans="1:25" ht="15.75" thickBot="1">
      <c r="B35" s="214" t="s">
        <v>102</v>
      </c>
      <c r="C35" s="214" t="s">
        <v>103</v>
      </c>
      <c r="F35" s="51"/>
      <c r="G35" s="52"/>
      <c r="I35" s="50"/>
      <c r="P35" s="51"/>
      <c r="Q35" s="52"/>
      <c r="S35" s="50"/>
    </row>
    <row r="36" spans="1:25" ht="15">
      <c r="A36" s="58" t="s">
        <v>110</v>
      </c>
      <c r="B36" s="86">
        <f ca="1">0.8*SQRT(Opp/2)</f>
        <v>6.8725541103726506</v>
      </c>
      <c r="C36" s="215"/>
      <c r="D36" s="102">
        <f ca="1">IF(C36="",B36,C36)</f>
        <v>6.8725541103726506</v>
      </c>
    </row>
    <row r="37" spans="1:25" ht="15">
      <c r="A37" s="58" t="s">
        <v>111</v>
      </c>
      <c r="B37" s="86">
        <f ca="1">(Opp/2)/B36</f>
        <v>10.738365797457263</v>
      </c>
      <c r="C37" s="215"/>
      <c r="D37" s="102">
        <f ca="1">IF(C37="",B37,C37)</f>
        <v>10.738365797457263</v>
      </c>
    </row>
    <row r="38" spans="1:25" ht="15" thickBot="1"/>
    <row r="39" spans="1:25" ht="15.75" thickBot="1">
      <c r="B39" s="214" t="s">
        <v>102</v>
      </c>
      <c r="C39" s="214" t="s">
        <v>103</v>
      </c>
      <c r="F39" s="51"/>
      <c r="G39" s="52"/>
      <c r="I39" s="50"/>
      <c r="P39" s="51"/>
      <c r="Q39" s="52"/>
      <c r="S39" s="50"/>
    </row>
    <row r="40" spans="1:25" ht="15">
      <c r="A40" s="58" t="s">
        <v>112</v>
      </c>
      <c r="B40" s="86">
        <v>0.5</v>
      </c>
      <c r="C40" s="215"/>
      <c r="D40" s="102">
        <f>IF(C40="",B40,C40)</f>
        <v>0.5</v>
      </c>
    </row>
    <row r="41" spans="1:25" ht="15">
      <c r="A41" s="58" t="s">
        <v>113</v>
      </c>
      <c r="B41" s="86">
        <v>0.5</v>
      </c>
      <c r="C41" s="215"/>
      <c r="D41" s="102">
        <f>IF(C41="",B41,C41)</f>
        <v>0.5</v>
      </c>
    </row>
    <row r="44" spans="1:25" ht="15" thickBot="1"/>
    <row r="45" spans="1:25" ht="15.75" thickBot="1">
      <c r="A45" s="406" t="s">
        <v>17</v>
      </c>
      <c r="B45" s="408"/>
      <c r="C45" s="408"/>
      <c r="D45" s="408"/>
      <c r="E45" s="408"/>
      <c r="F45" s="408"/>
      <c r="G45" s="408"/>
      <c r="H45" s="408"/>
      <c r="I45" s="408"/>
      <c r="J45" s="409"/>
      <c r="Q45" s="50"/>
      <c r="R45" s="50"/>
      <c r="S45" s="50"/>
    </row>
    <row r="46" spans="1:25" ht="16.5" customHeight="1">
      <c r="A46" s="53" t="s">
        <v>79</v>
      </c>
      <c r="B46" s="86">
        <f ca="1">Breedte*Diepte</f>
        <v>73.8</v>
      </c>
      <c r="D46" s="50"/>
      <c r="F46" s="51"/>
      <c r="G46" s="50"/>
      <c r="H46" s="51"/>
      <c r="I46" s="51"/>
      <c r="J46" s="51"/>
      <c r="L46" s="404" t="s">
        <v>1085</v>
      </c>
      <c r="M46" s="405"/>
      <c r="N46" s="405"/>
      <c r="O46" s="405"/>
      <c r="P46" s="405"/>
      <c r="Q46" s="405"/>
      <c r="R46" s="405"/>
      <c r="S46" s="405"/>
      <c r="T46" s="405"/>
      <c r="U46" s="405"/>
      <c r="V46" s="405"/>
      <c r="W46" s="405"/>
      <c r="X46" s="405"/>
      <c r="Y46" s="405"/>
    </row>
    <row r="47" spans="1:25" ht="15">
      <c r="A47" s="58" t="s">
        <v>114</v>
      </c>
      <c r="B47" s="86" t="str">
        <f>Vloerverwarming</f>
        <v>Nee</v>
      </c>
      <c r="D47" s="50"/>
      <c r="F47" s="51"/>
      <c r="G47" s="50"/>
      <c r="H47" s="51"/>
      <c r="J47" s="52"/>
      <c r="L47" s="404"/>
      <c r="M47" s="405"/>
      <c r="N47" s="405"/>
      <c r="O47" s="405"/>
      <c r="P47" s="405"/>
      <c r="Q47" s="405"/>
      <c r="R47" s="405"/>
      <c r="S47" s="405"/>
      <c r="T47" s="405"/>
      <c r="U47" s="405"/>
      <c r="V47" s="405"/>
      <c r="W47" s="405"/>
      <c r="X47" s="405"/>
      <c r="Y47" s="405"/>
    </row>
    <row r="48" spans="1:25" ht="15">
      <c r="A48" s="58" t="s">
        <v>115</v>
      </c>
      <c r="B48" s="86" t="str">
        <f>Aangepakt_Vloer</f>
        <v>Nee</v>
      </c>
      <c r="E48" s="79"/>
      <c r="G48" s="50"/>
      <c r="H48" s="50"/>
      <c r="I48" s="50"/>
      <c r="L48" s="404"/>
      <c r="M48" s="405"/>
      <c r="N48" s="405"/>
      <c r="O48" s="405"/>
      <c r="P48" s="405"/>
      <c r="Q48" s="405"/>
      <c r="R48" s="405"/>
      <c r="S48" s="405"/>
      <c r="T48" s="405"/>
      <c r="U48" s="405"/>
      <c r="V48" s="405"/>
      <c r="W48" s="405"/>
      <c r="X48" s="405"/>
      <c r="Y48" s="405"/>
    </row>
    <row r="49" spans="1:25" ht="15" thickBot="1">
      <c r="D49" s="50"/>
      <c r="L49" s="404"/>
      <c r="M49" s="405"/>
      <c r="N49" s="405"/>
      <c r="O49" s="405"/>
      <c r="P49" s="405"/>
      <c r="Q49" s="405"/>
      <c r="R49" s="405"/>
      <c r="S49" s="405"/>
      <c r="T49" s="405"/>
      <c r="U49" s="405"/>
      <c r="V49" s="405"/>
      <c r="W49" s="405"/>
      <c r="X49" s="405"/>
      <c r="Y49" s="405"/>
    </row>
    <row r="50" spans="1:25" ht="17.25" customHeight="1" thickBot="1">
      <c r="B50" s="406" t="s">
        <v>116</v>
      </c>
      <c r="C50" s="408"/>
      <c r="D50" s="50"/>
      <c r="E50" s="406" t="s">
        <v>117</v>
      </c>
      <c r="F50" s="409"/>
      <c r="G50" s="79"/>
      <c r="H50" s="89" t="s">
        <v>118</v>
      </c>
      <c r="I50" s="90"/>
      <c r="L50" s="404"/>
      <c r="M50" s="405"/>
      <c r="N50" s="405"/>
      <c r="O50" s="405"/>
      <c r="P50" s="405"/>
      <c r="Q50" s="405"/>
      <c r="R50" s="405"/>
      <c r="S50" s="405"/>
      <c r="T50" s="405"/>
      <c r="U50" s="405"/>
      <c r="V50" s="405"/>
      <c r="W50" s="405"/>
      <c r="X50" s="405"/>
      <c r="Y50" s="405"/>
    </row>
    <row r="51" spans="1:25" ht="15.75" thickBot="1">
      <c r="B51" s="95" t="s">
        <v>119</v>
      </c>
      <c r="C51" s="95" t="s">
        <v>120</v>
      </c>
      <c r="D51" s="50"/>
      <c r="E51" s="95" t="s">
        <v>121</v>
      </c>
      <c r="F51" s="95" t="s">
        <v>122</v>
      </c>
      <c r="G51" s="94"/>
      <c r="H51" s="95" t="s">
        <v>121</v>
      </c>
      <c r="I51" s="95" t="s">
        <v>122</v>
      </c>
      <c r="L51" s="404"/>
      <c r="M51" s="405"/>
      <c r="N51" s="405"/>
      <c r="O51" s="405"/>
      <c r="P51" s="405"/>
      <c r="Q51" s="405"/>
      <c r="R51" s="405"/>
      <c r="S51" s="405"/>
      <c r="T51" s="405"/>
      <c r="U51" s="405"/>
      <c r="V51" s="405"/>
      <c r="W51" s="405"/>
      <c r="X51" s="405"/>
      <c r="Y51" s="405"/>
    </row>
    <row r="52" spans="1:25" ht="15.75" thickBot="1">
      <c r="A52" s="91" t="s">
        <v>123</v>
      </c>
      <c r="B52" s="86">
        <v>0.7</v>
      </c>
      <c r="C52" s="86">
        <v>1.5</v>
      </c>
      <c r="D52" s="96">
        <f>IF(Vloerverwarming="Ja",C52,1)</f>
        <v>1</v>
      </c>
      <c r="E52" s="86">
        <f ca="1">IF(Aangepakt_Vloer="Ja",H52,IF(Aangepakt_Vloer="Half",H52/2,VLOOKUP(Bouwjaar,Rc_Bouwbesluit,2)))</f>
        <v>1.3</v>
      </c>
      <c r="F52" s="92">
        <f ca="1">Correctie_Kruipruimte *D52*Vloer_Opp * V_m2_Rc / E52</f>
        <v>286.2314156431803</v>
      </c>
      <c r="G52" s="79"/>
      <c r="H52" s="86">
        <f>IF(Vloerverwarming="Nee",3.7,6)</f>
        <v>3.7</v>
      </c>
      <c r="I52" s="92">
        <f ca="1">Correctie_Kruipruimte *D52* Vloer_Opp * V_m2_Rc / H52</f>
        <v>100.56779468544173</v>
      </c>
      <c r="J52" s="65" t="s">
        <v>124</v>
      </c>
      <c r="K52" s="411" t="s">
        <v>125</v>
      </c>
      <c r="L52" s="404"/>
      <c r="M52" s="405"/>
      <c r="N52" s="405"/>
      <c r="O52" s="405"/>
      <c r="P52" s="405"/>
      <c r="Q52" s="405"/>
      <c r="R52" s="405"/>
      <c r="S52" s="405"/>
      <c r="T52" s="405"/>
      <c r="U52" s="405"/>
      <c r="V52" s="405"/>
      <c r="W52" s="405"/>
      <c r="X52" s="405"/>
      <c r="Y52" s="405"/>
    </row>
    <row r="53" spans="1:25" ht="15" thickBot="1">
      <c r="A53" s="96">
        <f>IF(E54="",0,1)</f>
        <v>0</v>
      </c>
      <c r="D53" s="50"/>
      <c r="G53" s="79"/>
      <c r="H53" s="79"/>
      <c r="I53" s="50"/>
      <c r="K53" s="411"/>
      <c r="L53" s="404"/>
      <c r="M53" s="405"/>
      <c r="N53" s="405"/>
      <c r="O53" s="405"/>
      <c r="P53" s="405"/>
      <c r="Q53" s="405"/>
      <c r="R53" s="405"/>
      <c r="S53" s="405"/>
      <c r="T53" s="405"/>
      <c r="U53" s="405"/>
      <c r="V53" s="405"/>
      <c r="W53" s="405"/>
      <c r="X53" s="405"/>
      <c r="Y53" s="405"/>
    </row>
    <row r="54" spans="1:25" ht="15.75" thickBot="1">
      <c r="A54" s="91" t="s">
        <v>126</v>
      </c>
      <c r="B54" s="47">
        <v>0.7</v>
      </c>
      <c r="C54" s="47">
        <v>1.5</v>
      </c>
      <c r="D54" s="96">
        <f>IF(Vloerverwarming="Ja",C54,1)</f>
        <v>1</v>
      </c>
      <c r="E54" s="215"/>
      <c r="F54" s="62" t="e">
        <f ca="1">Correctie_Kruipruimte *D54*Vloer_Opp * V_m2_Rc / E54</f>
        <v>#DIV/0!</v>
      </c>
      <c r="G54" s="79"/>
      <c r="H54" s="84">
        <v>6</v>
      </c>
      <c r="I54" s="92">
        <f ca="1">Correctie_Kruipruimte *D54* Vloer_Opp * V_m2_Rc / H54</f>
        <v>62.016806722689068</v>
      </c>
      <c r="J54" s="65" t="s">
        <v>124</v>
      </c>
      <c r="L54" s="404"/>
      <c r="M54" s="405"/>
      <c r="N54" s="405"/>
      <c r="O54" s="405"/>
      <c r="P54" s="405"/>
      <c r="Q54" s="405"/>
      <c r="R54" s="405"/>
      <c r="S54" s="405"/>
      <c r="T54" s="405"/>
      <c r="U54" s="405"/>
      <c r="V54" s="405"/>
      <c r="W54" s="405"/>
      <c r="X54" s="405"/>
      <c r="Y54" s="405"/>
    </row>
    <row r="55" spans="1:25" ht="15" thickBot="1">
      <c r="D55" s="50"/>
      <c r="G55" s="79"/>
      <c r="H55" s="50"/>
      <c r="I55" s="50"/>
      <c r="L55" s="404"/>
      <c r="M55" s="405"/>
      <c r="N55" s="405"/>
      <c r="O55" s="405"/>
      <c r="P55" s="405"/>
      <c r="Q55" s="405"/>
      <c r="R55" s="405"/>
      <c r="S55" s="405"/>
      <c r="T55" s="405"/>
      <c r="U55" s="405"/>
      <c r="V55" s="405"/>
      <c r="W55" s="405"/>
      <c r="X55" s="405"/>
      <c r="Y55" s="405"/>
    </row>
    <row r="56" spans="1:25" ht="15.75" thickBot="1">
      <c r="A56" s="93" t="s">
        <v>127</v>
      </c>
      <c r="B56" s="76">
        <f>IF(Vloer_Detail=0,B52,B54)</f>
        <v>0.7</v>
      </c>
      <c r="C56" s="76">
        <f>IF(Vloer_Detail=0,C52,C54)</f>
        <v>1.5</v>
      </c>
      <c r="D56" s="96">
        <f>IF(Vloer_Detail=0,D52,D54)</f>
        <v>1</v>
      </c>
      <c r="E56" s="76">
        <f ca="1">IF(Vloer_Detail=0,E52,E54)</f>
        <v>1.3</v>
      </c>
      <c r="F56" s="77">
        <f ca="1">IF(Vloer_Detail=0,F52,F54)</f>
        <v>286.2314156431803</v>
      </c>
      <c r="H56" s="76">
        <f>IF(Vloer_Detail=0,H52,H54)</f>
        <v>3.7</v>
      </c>
      <c r="I56" s="77">
        <f ca="1">IF(Vloer_Detail=0,I52,I54)</f>
        <v>100.56779468544173</v>
      </c>
      <c r="K56" s="50" t="s">
        <v>128</v>
      </c>
      <c r="L56" s="404"/>
      <c r="M56" s="405"/>
      <c r="N56" s="405"/>
      <c r="O56" s="405"/>
      <c r="P56" s="405"/>
      <c r="Q56" s="405"/>
      <c r="R56" s="405"/>
      <c r="S56" s="405"/>
      <c r="T56" s="405"/>
      <c r="U56" s="405"/>
      <c r="V56" s="405"/>
      <c r="W56" s="405"/>
      <c r="X56" s="405"/>
      <c r="Y56" s="405"/>
    </row>
    <row r="57" spans="1:25">
      <c r="D57" s="50"/>
      <c r="P57" s="51"/>
      <c r="Q57" s="52"/>
      <c r="S57" s="50"/>
    </row>
    <row r="58" spans="1:25">
      <c r="D58" s="50"/>
      <c r="P58" s="51"/>
      <c r="Q58" s="52"/>
      <c r="S58" s="50"/>
    </row>
    <row r="59" spans="1:25" ht="15" thickBot="1"/>
    <row r="60" spans="1:25" ht="15.75" thickBot="1">
      <c r="A60" s="406" t="s">
        <v>129</v>
      </c>
      <c r="B60" s="408"/>
      <c r="C60" s="408"/>
      <c r="D60" s="408"/>
      <c r="E60" s="408"/>
      <c r="F60" s="407"/>
      <c r="G60" s="408"/>
      <c r="H60" s="408"/>
      <c r="I60" s="409"/>
      <c r="K60" s="406" t="s">
        <v>130</v>
      </c>
      <c r="L60" s="408"/>
      <c r="M60" s="408"/>
      <c r="N60" s="408"/>
      <c r="O60" s="408"/>
      <c r="P60" s="408"/>
      <c r="Q60" s="408"/>
      <c r="R60" s="408"/>
      <c r="S60" s="409"/>
    </row>
    <row r="61" spans="1:25" ht="15" thickBot="1">
      <c r="A61" s="119" t="s">
        <v>131</v>
      </c>
      <c r="B61" s="102">
        <f ca="1">1/IF(Aangepakt_Glas="Ja",Glas_Beste_Ug,IF(Aangepakt_Glas="Half",Glas_Beste_Ug/2,VLOOKUP(Bouwjaar,Rc_Bouwbesluit,5)))</f>
        <v>5.8</v>
      </c>
      <c r="F61" s="68" t="s">
        <v>132</v>
      </c>
      <c r="P61" s="68" t="s">
        <v>132</v>
      </c>
      <c r="U61" s="50">
        <f>702/121</f>
        <v>5.8016528925619832</v>
      </c>
    </row>
    <row r="62" spans="1:25" ht="15.75" thickBot="1">
      <c r="A62" s="413" t="s">
        <v>133</v>
      </c>
      <c r="B62" s="414"/>
      <c r="C62" s="414"/>
      <c r="D62" s="414"/>
      <c r="E62" s="414"/>
      <c r="F62" s="54" t="str">
        <f>IF(Glas_Maat="","Normaal",Glas_Maat)</f>
        <v>Normaal</v>
      </c>
      <c r="H62" s="416" t="s">
        <v>134</v>
      </c>
      <c r="I62" s="417"/>
      <c r="K62" s="413" t="s">
        <v>133</v>
      </c>
      <c r="L62" s="414"/>
      <c r="M62" s="414"/>
      <c r="N62" s="414"/>
      <c r="O62" s="415"/>
      <c r="P62" s="54" t="str">
        <f>IF(Glas_Maat="","Normaal",Glas_Maat)</f>
        <v>Normaal</v>
      </c>
      <c r="R62" s="416" t="s">
        <v>134</v>
      </c>
      <c r="S62" s="417"/>
      <c r="U62" s="50">
        <f>280/58</f>
        <v>4.8275862068965516</v>
      </c>
      <c r="V62" s="50">
        <f ca="1">_Text!E25</f>
        <v>4.0971457197551251</v>
      </c>
    </row>
    <row r="63" spans="1:25" ht="15">
      <c r="A63" s="53"/>
      <c r="B63" s="54" t="s">
        <v>135</v>
      </c>
      <c r="C63" s="54" t="s">
        <v>136</v>
      </c>
      <c r="D63" s="80" t="s">
        <v>137</v>
      </c>
      <c r="E63" s="54" t="s">
        <v>138</v>
      </c>
      <c r="F63" s="118"/>
      <c r="G63" s="55" t="s">
        <v>135</v>
      </c>
      <c r="H63" s="56" t="s">
        <v>122</v>
      </c>
      <c r="I63" s="57" t="s">
        <v>139</v>
      </c>
      <c r="J63" s="118" t="b">
        <f>OR(B69&lt;&gt;"",B74&lt;&gt;"")</f>
        <v>0</v>
      </c>
      <c r="K63" s="53"/>
      <c r="L63" s="54" t="s">
        <v>135</v>
      </c>
      <c r="M63" s="54" t="s">
        <v>136</v>
      </c>
      <c r="N63" s="54" t="s">
        <v>137</v>
      </c>
      <c r="O63" s="54" t="s">
        <v>138</v>
      </c>
      <c r="Q63" s="55" t="s">
        <v>135</v>
      </c>
      <c r="R63" s="56" t="s">
        <v>122</v>
      </c>
      <c r="S63" s="57" t="s">
        <v>139</v>
      </c>
    </row>
    <row r="64" spans="1:25" ht="15">
      <c r="A64" s="58" t="s">
        <v>140</v>
      </c>
      <c r="B64" s="86">
        <f ca="1">0.6*(1+0.2*WT)*VLOOKUP($F$62,Glas_Maat_T,2,FALSE)*0.2*Vloer_Opp</f>
        <v>10.627199999999998</v>
      </c>
      <c r="C64" s="59">
        <f ca="1">Glas_Nu_Ug</f>
        <v>5.8</v>
      </c>
      <c r="D64" s="78">
        <f ca="1">0.0577*C64+0.4354</f>
        <v>0.77005999999999997</v>
      </c>
      <c r="E64" s="60">
        <v>0.2</v>
      </c>
      <c r="F64" s="118">
        <f ca="1">B64*C64</f>
        <v>61.637759999999986</v>
      </c>
      <c r="G64" s="61">
        <f ca="1">_xlfn.IFNA(B64,0)</f>
        <v>10.627199999999998</v>
      </c>
      <c r="H64" s="62">
        <f ca="1">F64*V_m2_Rc</f>
        <v>443.96945978391341</v>
      </c>
      <c r="I64" s="62">
        <f ca="1">G64*D64*(1-E64)*Glas_Instraal/(kWh_m3*Ketel_Rendement)</f>
        <v>134.39543424460985</v>
      </c>
      <c r="K64" s="58" t="s">
        <v>140</v>
      </c>
      <c r="L64" s="86">
        <f ca="1">B64</f>
        <v>10.627199999999998</v>
      </c>
      <c r="M64" s="59">
        <v>1</v>
      </c>
      <c r="N64" s="78">
        <f>0.0577*M64+0.4354</f>
        <v>0.49309999999999998</v>
      </c>
      <c r="O64" s="60">
        <f>E64</f>
        <v>0.2</v>
      </c>
      <c r="P64" s="118">
        <f ca="1">L64*M64</f>
        <v>10.627199999999998</v>
      </c>
      <c r="Q64" s="61">
        <f ca="1">_xlfn.IFNA(L64,0)</f>
        <v>10.627199999999998</v>
      </c>
      <c r="R64" s="62">
        <f ca="1">P64*V_m2_Rc</f>
        <v>76.546458583433363</v>
      </c>
      <c r="S64" s="62">
        <f ca="1">Q64*N64*(1-O64)*Glas_Instraal/(kWh_m3*Ketel_Rendement)</f>
        <v>86.058733898679449</v>
      </c>
    </row>
    <row r="65" spans="1:26" ht="15">
      <c r="A65" s="58" t="s">
        <v>141</v>
      </c>
      <c r="B65" s="86">
        <f ca="1">0.4*(1+0.2*WT)*VLOOKUP($F$62,Glas_Maat_T,2,FALSE)*0.2*Vloer_Opp</f>
        <v>7.0847999999999995</v>
      </c>
      <c r="C65" s="59">
        <f ca="1">Glas_Nu_Ug</f>
        <v>5.8</v>
      </c>
      <c r="D65" s="78">
        <f ca="1">0.0577*C65+0.4354</f>
        <v>0.77005999999999997</v>
      </c>
      <c r="E65" s="60">
        <v>0.2</v>
      </c>
      <c r="F65" s="118">
        <f ca="1">B65*C65</f>
        <v>41.091839999999998</v>
      </c>
      <c r="G65" s="61">
        <f ca="1">_xlfn.IFNA(B65,0)</f>
        <v>7.0847999999999995</v>
      </c>
      <c r="H65" s="62">
        <f ca="1">Glas_Boven_Verbruik</f>
        <v>157.02669720254954</v>
      </c>
      <c r="I65" s="62">
        <f ca="1">G65*D65*(1-E65)*Glas_Instraal/(kWh_m3*Ketel_Rendement)</f>
        <v>89.596956163073216</v>
      </c>
      <c r="K65" s="58" t="s">
        <v>141</v>
      </c>
      <c r="L65" s="86">
        <f ca="1">B65</f>
        <v>7.0847999999999995</v>
      </c>
      <c r="M65" s="59">
        <v>1</v>
      </c>
      <c r="N65" s="78">
        <f>0.0577*M65+0.4354</f>
        <v>0.49309999999999998</v>
      </c>
      <c r="O65" s="60">
        <f>E65</f>
        <v>0.2</v>
      </c>
      <c r="P65" s="118">
        <f ca="1">L65*M65</f>
        <v>7.0847999999999995</v>
      </c>
      <c r="Q65" s="61">
        <f ca="1">_xlfn.IFNA(L65,0)</f>
        <v>7.0847999999999995</v>
      </c>
      <c r="R65" s="62">
        <f ca="1">Glas_Boven_Verbruik_b</f>
        <v>38.325875607845013</v>
      </c>
      <c r="S65" s="62">
        <f ca="1">Q65*N65*(1-O65)*Glas_Instraal/(kWh_m3*Ketel_Rendement)</f>
        <v>57.372489265786314</v>
      </c>
    </row>
    <row r="66" spans="1:26" ht="15" thickBot="1">
      <c r="F66" s="118"/>
      <c r="G66" s="63">
        <f ca="1">G64+G65</f>
        <v>17.711999999999996</v>
      </c>
      <c r="H66" s="64">
        <f t="shared" ref="H66:I66" ca="1" si="4">H64+H65</f>
        <v>600.99615698646289</v>
      </c>
      <c r="I66" s="64">
        <f t="shared" ca="1" si="4"/>
        <v>223.99239040768305</v>
      </c>
      <c r="J66" s="65" t="s">
        <v>124</v>
      </c>
      <c r="Q66" s="63">
        <f ca="1">Q64+Q65</f>
        <v>17.711999999999996</v>
      </c>
      <c r="R66" s="64">
        <f t="shared" ref="R66:S66" ca="1" si="5">R64+R65</f>
        <v>114.87233419127838</v>
      </c>
      <c r="S66" s="64">
        <f t="shared" ca="1" si="5"/>
        <v>143.43122316446576</v>
      </c>
      <c r="T66" s="65" t="s">
        <v>124</v>
      </c>
      <c r="U66" s="50" t="s">
        <v>142</v>
      </c>
    </row>
    <row r="67" spans="1:26" ht="15.75" thickBot="1">
      <c r="A67" s="413" t="s">
        <v>143</v>
      </c>
      <c r="B67" s="414"/>
      <c r="C67" s="414"/>
      <c r="D67" s="414"/>
      <c r="E67" s="415"/>
      <c r="F67" s="118"/>
      <c r="J67" s="51"/>
      <c r="K67" s="413" t="s">
        <v>143</v>
      </c>
      <c r="L67" s="414"/>
      <c r="M67" s="414"/>
      <c r="N67" s="414"/>
      <c r="O67" s="415"/>
      <c r="T67" s="51"/>
    </row>
    <row r="68" spans="1:26" ht="15">
      <c r="A68" s="53"/>
      <c r="B68" s="54" t="s">
        <v>135</v>
      </c>
      <c r="C68" s="54" t="s">
        <v>136</v>
      </c>
      <c r="D68" s="80" t="s">
        <v>137</v>
      </c>
      <c r="E68" s="54" t="s">
        <v>138</v>
      </c>
      <c r="F68" s="118"/>
      <c r="G68" s="55" t="s">
        <v>135</v>
      </c>
      <c r="H68" s="66" t="s">
        <v>122</v>
      </c>
      <c r="I68" s="67" t="s">
        <v>139</v>
      </c>
      <c r="J68" s="51"/>
      <c r="K68" s="53"/>
      <c r="L68" s="54" t="s">
        <v>135</v>
      </c>
      <c r="M68" s="54" t="s">
        <v>136</v>
      </c>
      <c r="N68" s="54" t="s">
        <v>137</v>
      </c>
      <c r="O68" s="54" t="s">
        <v>138</v>
      </c>
      <c r="Q68" s="55" t="s">
        <v>135</v>
      </c>
      <c r="R68" s="66" t="s">
        <v>122</v>
      </c>
      <c r="S68" s="67" t="s">
        <v>139</v>
      </c>
      <c r="T68" s="51"/>
    </row>
    <row r="69" spans="1:26" ht="15">
      <c r="A69" s="58" t="s">
        <v>140</v>
      </c>
      <c r="B69" s="215"/>
      <c r="C69" s="84">
        <v>2.8</v>
      </c>
      <c r="D69" s="81">
        <v>0.6</v>
      </c>
      <c r="E69" s="48">
        <v>0.2</v>
      </c>
      <c r="F69" s="118">
        <f>B69*C69</f>
        <v>0</v>
      </c>
      <c r="G69" s="61">
        <f>_xlfn.IFNA(B69,0)</f>
        <v>0</v>
      </c>
      <c r="H69" s="62">
        <f>F69*V_m2_Rc</f>
        <v>0</v>
      </c>
      <c r="I69" s="62">
        <f>G69*D69*(1-E69)*Glas_Instraal/(kWh_m3*Ketel_Rendement)</f>
        <v>0</v>
      </c>
      <c r="K69" s="58" t="s">
        <v>140</v>
      </c>
      <c r="L69" s="85">
        <f>B69</f>
        <v>0</v>
      </c>
      <c r="M69" s="47">
        <v>1</v>
      </c>
      <c r="N69" s="47">
        <v>0.5</v>
      </c>
      <c r="O69" s="60">
        <f>E69</f>
        <v>0.2</v>
      </c>
      <c r="P69" s="118">
        <f>L69*M69</f>
        <v>0</v>
      </c>
      <c r="Q69" s="61">
        <f>_xlfn.IFNA(L69,0)</f>
        <v>0</v>
      </c>
      <c r="R69" s="62">
        <f>P69*V_m2_Rc</f>
        <v>0</v>
      </c>
      <c r="S69" s="62">
        <f>Q69*N69*(1-O69)*Glas_Instraal/(kWh_m3*Ketel_Rendement)</f>
        <v>0</v>
      </c>
    </row>
    <row r="70" spans="1:26" ht="15">
      <c r="A70" s="58" t="s">
        <v>141</v>
      </c>
      <c r="B70" s="84">
        <v>9.1999999999999993</v>
      </c>
      <c r="C70" s="84">
        <v>2.8</v>
      </c>
      <c r="D70" s="81">
        <v>0.6</v>
      </c>
      <c r="E70" s="48">
        <v>0.2</v>
      </c>
      <c r="F70" s="118">
        <f>B70*C70</f>
        <v>25.759999999999998</v>
      </c>
      <c r="G70" s="61">
        <f>_xlfn.IFNA(B70,0)</f>
        <v>9.1999999999999993</v>
      </c>
      <c r="H70" s="62">
        <f ca="1">Glas_Boven_Verbruik</f>
        <v>157.02669720254954</v>
      </c>
      <c r="I70" s="62">
        <f>G70*D70*(1-E70)*Glas_Instraal/(kWh_m3*Ketel_Rendement)</f>
        <v>90.652581032412954</v>
      </c>
      <c r="K70" s="58" t="s">
        <v>141</v>
      </c>
      <c r="L70" s="85">
        <f>B70</f>
        <v>9.1999999999999993</v>
      </c>
      <c r="M70" s="47">
        <v>1</v>
      </c>
      <c r="N70" s="47">
        <v>0.5</v>
      </c>
      <c r="O70" s="60">
        <f>E70</f>
        <v>0.2</v>
      </c>
      <c r="P70" s="118">
        <f>L70*M70</f>
        <v>9.1999999999999993</v>
      </c>
      <c r="Q70" s="61">
        <f>_xlfn.IFNA(L70,0)</f>
        <v>9.1999999999999993</v>
      </c>
      <c r="R70" s="62">
        <f ca="1">Glas_Boven_Verbruik_b</f>
        <v>38.325875607845013</v>
      </c>
      <c r="S70" s="62">
        <f>Q70*N70*(1-O70)*Glas_Instraal/(kWh_m3*Ketel_Rendement)</f>
        <v>75.543817527010802</v>
      </c>
    </row>
    <row r="71" spans="1:26" ht="15" thickBot="1">
      <c r="F71" s="118"/>
      <c r="G71" s="63">
        <f>SUM(G69:G70)</f>
        <v>9.1999999999999993</v>
      </c>
      <c r="H71" s="64">
        <f t="shared" ref="H71:I71" ca="1" si="6">SUM(H69:H70)</f>
        <v>157.02669720254954</v>
      </c>
      <c r="I71" s="64">
        <f t="shared" si="6"/>
        <v>90.652581032412954</v>
      </c>
      <c r="J71" s="65" t="s">
        <v>124</v>
      </c>
      <c r="Q71" s="63">
        <f>SUM(Q69:Q70)</f>
        <v>9.1999999999999993</v>
      </c>
      <c r="R71" s="64">
        <f t="shared" ref="R71:S71" ca="1" si="7">SUM(R69:R70)</f>
        <v>38.325875607845013</v>
      </c>
      <c r="S71" s="64">
        <f t="shared" si="7"/>
        <v>75.543817527010802</v>
      </c>
      <c r="T71" s="65" t="s">
        <v>124</v>
      </c>
      <c r="U71" s="50" t="s">
        <v>144</v>
      </c>
    </row>
    <row r="72" spans="1:26" ht="15.75" thickBot="1">
      <c r="A72" s="413" t="s">
        <v>145</v>
      </c>
      <c r="B72" s="414"/>
      <c r="C72" s="414"/>
      <c r="D72" s="414"/>
      <c r="E72" s="415"/>
      <c r="F72" s="118"/>
      <c r="K72" s="413" t="s">
        <v>145</v>
      </c>
      <c r="L72" s="414"/>
      <c r="M72" s="414"/>
      <c r="N72" s="414"/>
      <c r="O72" s="415"/>
    </row>
    <row r="73" spans="1:26" ht="15">
      <c r="A73" s="54" t="s">
        <v>140</v>
      </c>
      <c r="B73" s="54" t="s">
        <v>135</v>
      </c>
      <c r="C73" s="54" t="s">
        <v>136</v>
      </c>
      <c r="D73" s="80" t="s">
        <v>137</v>
      </c>
      <c r="E73" s="54" t="s">
        <v>138</v>
      </c>
      <c r="F73" s="118"/>
      <c r="G73" s="55" t="s">
        <v>135</v>
      </c>
      <c r="H73" s="66" t="s">
        <v>122</v>
      </c>
      <c r="I73" s="67" t="s">
        <v>139</v>
      </c>
      <c r="J73" s="69"/>
      <c r="K73" s="54" t="s">
        <v>140</v>
      </c>
      <c r="L73" s="54" t="s">
        <v>135</v>
      </c>
      <c r="M73" s="54" t="s">
        <v>136</v>
      </c>
      <c r="N73" s="54" t="s">
        <v>137</v>
      </c>
      <c r="O73" s="54" t="s">
        <v>138</v>
      </c>
      <c r="Q73" s="55" t="s">
        <v>135</v>
      </c>
      <c r="R73" s="66" t="s">
        <v>122</v>
      </c>
      <c r="S73" s="67" t="s">
        <v>139</v>
      </c>
      <c r="T73" s="69"/>
    </row>
    <row r="74" spans="1:26" ht="15">
      <c r="A74" s="49" t="s">
        <v>146</v>
      </c>
      <c r="B74" s="215"/>
      <c r="C74" s="47">
        <v>2.8</v>
      </c>
      <c r="D74" s="81">
        <v>0.6</v>
      </c>
      <c r="E74" s="48">
        <v>0.2</v>
      </c>
      <c r="F74" s="118">
        <f>B74*C74</f>
        <v>0</v>
      </c>
      <c r="G74" s="61">
        <f>_xlfn.IFNA(B74,0)</f>
        <v>0</v>
      </c>
      <c r="H74" s="62">
        <f>F74*V_m2_Rc</f>
        <v>0</v>
      </c>
      <c r="I74" s="62">
        <f>B74*D74*(1-E74)*INDEX(Zon_in,0,VLOOKUP(A74,Kompas_t,2)+1)/(kWh_m3*Ketel_Rendement)</f>
        <v>0</v>
      </c>
      <c r="J74" s="70"/>
      <c r="K74" s="58" t="str">
        <f>Kompas_1</f>
        <v>Oost</v>
      </c>
      <c r="L74" s="85">
        <f>B74</f>
        <v>0</v>
      </c>
      <c r="M74" s="47">
        <v>1</v>
      </c>
      <c r="N74" s="47">
        <v>0.5</v>
      </c>
      <c r="O74" s="60">
        <f>E74</f>
        <v>0.2</v>
      </c>
      <c r="P74" s="118">
        <f>L74*M74</f>
        <v>0</v>
      </c>
      <c r="Q74" s="61">
        <f>_xlfn.IFNA(L74,0)</f>
        <v>0</v>
      </c>
      <c r="R74" s="62">
        <f>P74*V_m2_Rc</f>
        <v>0</v>
      </c>
      <c r="S74" s="62">
        <f>L74*N74*(1-O74)*INDEX(Zon_in,0,VLOOKUP(K74,Kompas_t,2)+1)/(kWh_m3*Ketel_Rendement)</f>
        <v>0</v>
      </c>
      <c r="T74" s="70"/>
      <c r="U74" s="50" t="s">
        <v>147</v>
      </c>
      <c r="V74" s="50" t="s">
        <v>148</v>
      </c>
    </row>
    <row r="75" spans="1:26" ht="15">
      <c r="A75" s="58" t="str">
        <f>INDEX(Kompas2,2+MATCH(Kompas_1,Kompas,0))</f>
        <v>Zuid</v>
      </c>
      <c r="B75" s="84">
        <v>6</v>
      </c>
      <c r="C75" s="47">
        <v>2.8</v>
      </c>
      <c r="D75" s="81">
        <v>0.6</v>
      </c>
      <c r="E75" s="48">
        <v>0.2</v>
      </c>
      <c r="F75" s="118">
        <f t="shared" ref="F75:F77" si="8">B75*C75</f>
        <v>16.799999999999997</v>
      </c>
      <c r="G75" s="61">
        <f t="shared" ref="G75:G83" si="9">_xlfn.IFNA(B75,0)</f>
        <v>6</v>
      </c>
      <c r="H75" s="62">
        <f>F75*V_m2_Rc</f>
        <v>121.00840336134451</v>
      </c>
      <c r="I75" s="62">
        <f>B75*D75*(1-E75)*INDEX(Zon_in,0,VLOOKUP(A75,Kompas_t,2)+1)/(kWh_m3*Ketel_Rendement)</f>
        <v>29.483793517406959</v>
      </c>
      <c r="K75" s="58" t="str">
        <f>A75</f>
        <v>Zuid</v>
      </c>
      <c r="L75" s="85">
        <f t="shared" ref="L75:L77" si="10">B75</f>
        <v>6</v>
      </c>
      <c r="M75" s="47">
        <v>1</v>
      </c>
      <c r="N75" s="47">
        <v>0.5</v>
      </c>
      <c r="O75" s="60">
        <f t="shared" ref="O75:O77" si="11">E75</f>
        <v>0.2</v>
      </c>
      <c r="P75" s="118">
        <f t="shared" ref="P75:P77" si="12">L75*M75</f>
        <v>6</v>
      </c>
      <c r="Q75" s="61">
        <f t="shared" ref="Q75:Q77" si="13">_xlfn.IFNA(L75,0)</f>
        <v>6</v>
      </c>
      <c r="R75" s="62">
        <f>P75*V_m2_Rc</f>
        <v>43.217286914765907</v>
      </c>
      <c r="S75" s="62">
        <f>L75*N75*(1-O75)*INDEX(Zon_in,0,VLOOKUP(K75,Kompas_t,2)+1)/(kWh_m3*Ketel_Rendement)</f>
        <v>24.569827931172473</v>
      </c>
      <c r="U75" s="50" t="s">
        <v>149</v>
      </c>
      <c r="V75" s="50" t="s">
        <v>150</v>
      </c>
    </row>
    <row r="76" spans="1:26" ht="15">
      <c r="A76" s="58" t="str">
        <f>INDEX(Kompas2,4+MATCH(Kompas_1,Kompas,0))</f>
        <v>West</v>
      </c>
      <c r="B76" s="84"/>
      <c r="C76" s="47">
        <v>2.8</v>
      </c>
      <c r="D76" s="81">
        <v>0.6</v>
      </c>
      <c r="E76" s="48">
        <v>0.2</v>
      </c>
      <c r="F76" s="118">
        <f t="shared" si="8"/>
        <v>0</v>
      </c>
      <c r="G76" s="61">
        <f t="shared" si="9"/>
        <v>0</v>
      </c>
      <c r="H76" s="62">
        <f>F76*V_m2_Rc</f>
        <v>0</v>
      </c>
      <c r="I76" s="62">
        <f>B76*D76*(1-E76)*INDEX(Zon_in,0,VLOOKUP(A76,Kompas_t,2)+1)/(kWh_m3*Ketel_Rendement)</f>
        <v>0</v>
      </c>
      <c r="K76" s="58" t="str">
        <f t="shared" ref="K76:K77" si="14">A76</f>
        <v>West</v>
      </c>
      <c r="L76" s="85">
        <f t="shared" si="10"/>
        <v>0</v>
      </c>
      <c r="M76" s="47">
        <v>1</v>
      </c>
      <c r="N76" s="47">
        <v>0.5</v>
      </c>
      <c r="O76" s="60">
        <f t="shared" si="11"/>
        <v>0.2</v>
      </c>
      <c r="P76" s="118">
        <f t="shared" si="12"/>
        <v>0</v>
      </c>
      <c r="Q76" s="61">
        <f t="shared" si="13"/>
        <v>0</v>
      </c>
      <c r="R76" s="62">
        <f>P76*V_m2_Rc</f>
        <v>0</v>
      </c>
      <c r="S76" s="62">
        <f>L76*N76*(1-O76)*INDEX(Zon_in,0,VLOOKUP(K76,Kompas_t,2)+1)/(kWh_m3*Ketel_Rendement)</f>
        <v>0</v>
      </c>
    </row>
    <row r="77" spans="1:26" ht="15">
      <c r="A77" s="58" t="str">
        <f>INDEX(Kompas2,6+MATCH(Kompas_1,Kompas,0))</f>
        <v>Noord</v>
      </c>
      <c r="B77" s="84">
        <v>4</v>
      </c>
      <c r="C77" s="47">
        <v>2.8</v>
      </c>
      <c r="D77" s="81">
        <v>0.6</v>
      </c>
      <c r="E77" s="48">
        <v>0.2</v>
      </c>
      <c r="F77" s="118">
        <f t="shared" si="8"/>
        <v>11.2</v>
      </c>
      <c r="G77" s="61">
        <f t="shared" si="9"/>
        <v>4</v>
      </c>
      <c r="H77" s="62">
        <f>F77*V_m2_Rc</f>
        <v>80.672268907563009</v>
      </c>
      <c r="I77" s="62">
        <f>B77*D77*(1-E77)*INDEX(Zon_in,0,VLOOKUP(A77,Kompas_t,2)+1)/(kWh_m3*Ketel_Rendement)</f>
        <v>7.8751500600240085</v>
      </c>
      <c r="K77" s="58" t="str">
        <f t="shared" si="14"/>
        <v>Noord</v>
      </c>
      <c r="L77" s="85">
        <f t="shared" si="10"/>
        <v>4</v>
      </c>
      <c r="M77" s="47">
        <v>1</v>
      </c>
      <c r="N77" s="47">
        <v>0.5</v>
      </c>
      <c r="O77" s="60">
        <f t="shared" si="11"/>
        <v>0.2</v>
      </c>
      <c r="P77" s="118">
        <f t="shared" si="12"/>
        <v>4</v>
      </c>
      <c r="Q77" s="61">
        <f t="shared" si="13"/>
        <v>4</v>
      </c>
      <c r="R77" s="62">
        <f>P77*V_m2_Rc</f>
        <v>28.811524609843936</v>
      </c>
      <c r="S77" s="62">
        <f>L77*N77*(1-O77)*INDEX(Zon_in,0,VLOOKUP(K77,Kompas_t,2)+1)/(kWh_m3*Ketel_Rendement)</f>
        <v>6.5626250500200074</v>
      </c>
    </row>
    <row r="78" spans="1:26" ht="16.5" customHeight="1">
      <c r="B78" s="51"/>
      <c r="C78" s="51"/>
      <c r="D78" s="82"/>
      <c r="F78" s="118">
        <f>SUM(F74:F77)</f>
        <v>27.999999999999996</v>
      </c>
      <c r="G78" s="71">
        <f>SUM(G74:G77)</f>
        <v>10</v>
      </c>
      <c r="H78" s="72">
        <f t="shared" ref="H78:I78" si="15">SUM(H74:H77)</f>
        <v>201.68067226890753</v>
      </c>
      <c r="I78" s="72">
        <f t="shared" si="15"/>
        <v>37.358943577430964</v>
      </c>
      <c r="L78" s="51"/>
      <c r="M78" s="51"/>
      <c r="N78" s="51"/>
      <c r="P78" s="118">
        <f>SUM(P74:P77)</f>
        <v>10</v>
      </c>
      <c r="Q78" s="71">
        <f>SUM(Q74:Q77)</f>
        <v>10</v>
      </c>
      <c r="R78" s="72">
        <f t="shared" ref="R78:S78" si="16">SUM(R74:R77)</f>
        <v>72.028811524609836</v>
      </c>
      <c r="S78" s="72">
        <f t="shared" si="16"/>
        <v>31.132452981192479</v>
      </c>
      <c r="U78" s="412" t="s">
        <v>151</v>
      </c>
      <c r="V78" s="412"/>
      <c r="W78" s="412"/>
      <c r="X78" s="412"/>
      <c r="Y78" s="412"/>
      <c r="Z78" s="412"/>
    </row>
    <row r="79" spans="1:26" ht="15">
      <c r="A79" s="55" t="s">
        <v>141</v>
      </c>
      <c r="B79" s="55" t="s">
        <v>135</v>
      </c>
      <c r="C79" s="55" t="s">
        <v>136</v>
      </c>
      <c r="D79" s="83" t="s">
        <v>137</v>
      </c>
      <c r="E79" s="55" t="s">
        <v>138</v>
      </c>
      <c r="F79" s="118"/>
      <c r="G79" s="55" t="s">
        <v>135</v>
      </c>
      <c r="H79" s="66" t="s">
        <v>122</v>
      </c>
      <c r="I79" s="67" t="s">
        <v>139</v>
      </c>
      <c r="K79" s="55" t="s">
        <v>141</v>
      </c>
      <c r="L79" s="55" t="s">
        <v>135</v>
      </c>
      <c r="M79" s="55" t="s">
        <v>136</v>
      </c>
      <c r="N79" s="55" t="s">
        <v>137</v>
      </c>
      <c r="O79" s="55" t="s">
        <v>138</v>
      </c>
      <c r="Q79" s="55" t="s">
        <v>135</v>
      </c>
      <c r="R79" s="66" t="s">
        <v>122</v>
      </c>
      <c r="S79" s="67" t="s">
        <v>139</v>
      </c>
      <c r="U79" s="412"/>
      <c r="V79" s="412"/>
      <c r="W79" s="412"/>
      <c r="X79" s="412"/>
      <c r="Y79" s="412"/>
      <c r="Z79" s="412"/>
    </row>
    <row r="80" spans="1:26" ht="15">
      <c r="A80" s="58" t="str">
        <f>Kompas_1</f>
        <v>Oost</v>
      </c>
      <c r="B80" s="84">
        <v>7</v>
      </c>
      <c r="C80" s="47">
        <v>2.8</v>
      </c>
      <c r="D80" s="81">
        <v>0.6</v>
      </c>
      <c r="E80" s="48">
        <v>0.2</v>
      </c>
      <c r="F80" s="118">
        <f t="shared" ref="F80:F83" si="17">B80*C80</f>
        <v>19.599999999999998</v>
      </c>
      <c r="G80" s="61">
        <f t="shared" si="9"/>
        <v>7</v>
      </c>
      <c r="H80" s="62"/>
      <c r="I80" s="62">
        <f>B80*D80*INDEX(Zon_in,0,VLOOKUP(A80,Kompas_t,2)+1)/(kWh_m3*Ketel_Rendement)</f>
        <v>27.170868347338935</v>
      </c>
      <c r="K80" s="58" t="str">
        <f>A80</f>
        <v>Oost</v>
      </c>
      <c r="L80" s="85">
        <f>B80</f>
        <v>7</v>
      </c>
      <c r="M80" s="47">
        <v>1</v>
      </c>
      <c r="N80" s="47">
        <v>0.5</v>
      </c>
      <c r="O80" s="60">
        <f>E80</f>
        <v>0.2</v>
      </c>
      <c r="P80" s="118">
        <f>L80*M80</f>
        <v>7</v>
      </c>
      <c r="Q80" s="61">
        <f t="shared" ref="Q80:Q83" si="18">_xlfn.IFNA(L80,0)</f>
        <v>7</v>
      </c>
      <c r="R80" s="62"/>
      <c r="S80" s="62">
        <f>L80*N80*INDEX(Zon_in,0,VLOOKUP(K80,Kompas_t,2)+1)/(kWh_m3*Ketel_Rendement)</f>
        <v>22.642390289449111</v>
      </c>
      <c r="U80" s="412"/>
      <c r="V80" s="412"/>
      <c r="W80" s="412"/>
      <c r="X80" s="412"/>
      <c r="Y80" s="412"/>
      <c r="Z80" s="412"/>
    </row>
    <row r="81" spans="1:26" ht="15">
      <c r="A81" s="58" t="str">
        <f>INDEX(Kompas2,2+MATCH(Kompas_1,Kompas,0))</f>
        <v>Zuid</v>
      </c>
      <c r="B81" s="84">
        <v>1</v>
      </c>
      <c r="C81" s="47">
        <v>2.8</v>
      </c>
      <c r="D81" s="81">
        <v>0.6</v>
      </c>
      <c r="E81" s="48">
        <v>0.2</v>
      </c>
      <c r="F81" s="118">
        <f t="shared" si="17"/>
        <v>2.8</v>
      </c>
      <c r="G81" s="61">
        <f t="shared" si="9"/>
        <v>1</v>
      </c>
      <c r="H81" s="62"/>
      <c r="I81" s="62">
        <f>B81*D81*INDEX(Zon_in,0,VLOOKUP(A81,Kompas_t,2)+1)/(kWh_m3*Ketel_Rendement)</f>
        <v>6.1424569827931172</v>
      </c>
      <c r="K81" s="58" t="str">
        <f t="shared" ref="K81:K83" si="19">A81</f>
        <v>Zuid</v>
      </c>
      <c r="L81" s="85">
        <f t="shared" ref="L81:L83" si="20">B81</f>
        <v>1</v>
      </c>
      <c r="M81" s="47">
        <v>1</v>
      </c>
      <c r="N81" s="47">
        <v>0.5</v>
      </c>
      <c r="O81" s="60">
        <f t="shared" ref="O81:O83" si="21">E81</f>
        <v>0.2</v>
      </c>
      <c r="P81" s="118">
        <f t="shared" ref="P81:P83" si="22">L81*M81</f>
        <v>1</v>
      </c>
      <c r="Q81" s="61">
        <f t="shared" si="18"/>
        <v>1</v>
      </c>
      <c r="R81" s="62"/>
      <c r="S81" s="62">
        <f>L81*N81*INDEX(Zon_in,0,VLOOKUP(K81,Kompas_t,2)+1)/(kWh_m3*Ketel_Rendement)</f>
        <v>5.1187141523275974</v>
      </c>
      <c r="U81" s="412"/>
      <c r="V81" s="412"/>
      <c r="W81" s="412"/>
      <c r="X81" s="412"/>
      <c r="Y81" s="412"/>
      <c r="Z81" s="412"/>
    </row>
    <row r="82" spans="1:26" ht="15">
      <c r="A82" s="58" t="str">
        <f>INDEX(Kompas2,4+MATCH(Kompas_1,Kompas,0))</f>
        <v>West</v>
      </c>
      <c r="B82" s="84"/>
      <c r="C82" s="47"/>
      <c r="D82" s="81">
        <v>0.6</v>
      </c>
      <c r="E82" s="48">
        <v>0.2</v>
      </c>
      <c r="F82" s="118">
        <f t="shared" si="17"/>
        <v>0</v>
      </c>
      <c r="G82" s="61">
        <f t="shared" si="9"/>
        <v>0</v>
      </c>
      <c r="H82" s="62"/>
      <c r="I82" s="62">
        <f>B82*D82*INDEX(Zon_in,0,VLOOKUP(A82,Kompas_t,2)+1)/(kWh_m3*Ketel_Rendement)</f>
        <v>0</v>
      </c>
      <c r="K82" s="58" t="str">
        <f t="shared" si="19"/>
        <v>West</v>
      </c>
      <c r="L82" s="85">
        <f t="shared" si="20"/>
        <v>0</v>
      </c>
      <c r="M82" s="47"/>
      <c r="N82" s="47">
        <v>0.5</v>
      </c>
      <c r="O82" s="60">
        <f t="shared" si="21"/>
        <v>0.2</v>
      </c>
      <c r="P82" s="118">
        <f t="shared" si="22"/>
        <v>0</v>
      </c>
      <c r="Q82" s="61">
        <f t="shared" si="18"/>
        <v>0</v>
      </c>
      <c r="R82" s="62"/>
      <c r="S82" s="62">
        <f>L82*N82*INDEX(Zon_in,0,VLOOKUP(K82,Kompas_t,2)+1)/(kWh_m3*Ketel_Rendement)</f>
        <v>0</v>
      </c>
      <c r="U82" s="412"/>
      <c r="V82" s="412"/>
      <c r="W82" s="412"/>
      <c r="X82" s="412"/>
      <c r="Y82" s="412"/>
      <c r="Z82" s="412"/>
    </row>
    <row r="83" spans="1:26" ht="15">
      <c r="A83" s="58" t="str">
        <f>INDEX(Kompas2,6+MATCH(Kompas_1,Kompas,0))</f>
        <v>Noord</v>
      </c>
      <c r="B83" s="84"/>
      <c r="C83" s="47"/>
      <c r="D83" s="81">
        <v>0.6</v>
      </c>
      <c r="E83" s="48">
        <v>0.2</v>
      </c>
      <c r="F83" s="118">
        <f t="shared" si="17"/>
        <v>0</v>
      </c>
      <c r="G83" s="61">
        <f t="shared" si="9"/>
        <v>0</v>
      </c>
      <c r="H83" s="62"/>
      <c r="I83" s="62">
        <f>B83*D83*INDEX(Zon_in,0,VLOOKUP(A83,Kompas_t,2)+1)/(kWh_m3*Ketel_Rendement)</f>
        <v>0</v>
      </c>
      <c r="K83" s="58" t="str">
        <f t="shared" si="19"/>
        <v>Noord</v>
      </c>
      <c r="L83" s="85">
        <f t="shared" si="20"/>
        <v>0</v>
      </c>
      <c r="M83" s="47"/>
      <c r="N83" s="47">
        <v>0.5</v>
      </c>
      <c r="O83" s="60">
        <f t="shared" si="21"/>
        <v>0.2</v>
      </c>
      <c r="P83" s="118">
        <f t="shared" si="22"/>
        <v>0</v>
      </c>
      <c r="Q83" s="61">
        <f t="shared" si="18"/>
        <v>0</v>
      </c>
      <c r="R83" s="62"/>
      <c r="S83" s="62">
        <f>L83*N83*INDEX(Zon_in,0,VLOOKUP(K83,Kompas_t,2)+1)/(kWh_m3*Ketel_Rendement)</f>
        <v>0</v>
      </c>
      <c r="U83" s="412"/>
      <c r="V83" s="412"/>
      <c r="W83" s="412"/>
      <c r="X83" s="412"/>
      <c r="Y83" s="412"/>
      <c r="Z83" s="412"/>
    </row>
    <row r="84" spans="1:26">
      <c r="B84" s="51"/>
      <c r="F84" s="118">
        <f>SUM(F80:F83)</f>
        <v>22.4</v>
      </c>
      <c r="G84" s="71">
        <f>SUM(G80:G83)</f>
        <v>8</v>
      </c>
      <c r="H84" s="72">
        <f ca="1">Glas_Boven_Verbruik</f>
        <v>157.02669720254954</v>
      </c>
      <c r="I84" s="72">
        <f t="shared" ref="I84" si="23">SUM(I80:I83)</f>
        <v>33.313325330132052</v>
      </c>
      <c r="L84" s="51"/>
      <c r="P84" s="118">
        <f>SUM(P80:P83)</f>
        <v>8</v>
      </c>
      <c r="Q84" s="71">
        <f>SUM(Q80:Q83)</f>
        <v>8</v>
      </c>
      <c r="R84" s="72">
        <f ca="1">Glas_Boven_Verbruik_b</f>
        <v>38.325875607845013</v>
      </c>
      <c r="S84" s="72">
        <f t="shared" ref="S84" si="24">SUM(S80:S83)</f>
        <v>27.761104441776709</v>
      </c>
    </row>
    <row r="85" spans="1:26">
      <c r="B85" s="79"/>
      <c r="G85" s="63">
        <f>G78+G84</f>
        <v>18</v>
      </c>
      <c r="H85" s="64">
        <f t="shared" ref="H85:I85" ca="1" si="25">H78+H84</f>
        <v>358.70736947145707</v>
      </c>
      <c r="I85" s="64">
        <f t="shared" si="25"/>
        <v>70.672268907563023</v>
      </c>
      <c r="J85" s="65" t="s">
        <v>124</v>
      </c>
      <c r="Q85" s="63">
        <f>Q78+Q84</f>
        <v>18</v>
      </c>
      <c r="R85" s="64">
        <f t="shared" ref="R85:S85" ca="1" si="26">R78+R84</f>
        <v>110.35468713245484</v>
      </c>
      <c r="S85" s="64">
        <f t="shared" si="26"/>
        <v>58.893557422969188</v>
      </c>
      <c r="T85" s="65" t="s">
        <v>124</v>
      </c>
      <c r="U85" s="50" t="s">
        <v>152</v>
      </c>
    </row>
    <row r="86" spans="1:26" ht="15" thickBot="1">
      <c r="H86" s="51"/>
      <c r="I86" s="51"/>
    </row>
    <row r="87" spans="1:26" ht="15.75" thickBot="1">
      <c r="B87" s="79"/>
      <c r="G87" s="73" t="s">
        <v>135</v>
      </c>
      <c r="H87" s="74" t="s">
        <v>122</v>
      </c>
      <c r="I87" s="75" t="s">
        <v>139</v>
      </c>
      <c r="J87" s="119" t="s">
        <v>153</v>
      </c>
      <c r="Q87" s="73" t="s">
        <v>135</v>
      </c>
      <c r="R87" s="74" t="s">
        <v>122</v>
      </c>
      <c r="S87" s="75" t="s">
        <v>139</v>
      </c>
      <c r="T87" s="119" t="s">
        <v>153</v>
      </c>
    </row>
    <row r="88" spans="1:26">
      <c r="B88" s="79"/>
      <c r="F88" s="88" t="s">
        <v>140</v>
      </c>
      <c r="G88" s="87">
        <f ca="1">IF($B74&lt;&gt;"",G78,IF($B69&lt;&gt;"",G69,G64))</f>
        <v>10.627199999999998</v>
      </c>
      <c r="H88" s="72">
        <f ca="1">IF($B74&lt;&gt;"",H78,IF($B69&lt;&gt;"",H69,H64))</f>
        <v>443.96945978391341</v>
      </c>
      <c r="I88" s="72">
        <f ca="1">IF($B74&lt;&gt;"",I78,IF($B69&lt;&gt;"",I69,I64))</f>
        <v>134.39543424460985</v>
      </c>
      <c r="J88" s="118">
        <f ca="1">IF($B74&lt;&gt;"",F78,IF($B69&lt;&gt;"",F69,F64))</f>
        <v>61.637759999999986</v>
      </c>
      <c r="L88" s="51"/>
      <c r="P88" s="88" t="s">
        <v>140</v>
      </c>
      <c r="Q88" s="71">
        <f ca="1">G88</f>
        <v>10.627199999999998</v>
      </c>
      <c r="R88" s="72">
        <f ca="1">IF($B74&lt;&gt;"",R78,IF($B69&lt;&gt;"",R69,R64))</f>
        <v>76.546458583433363</v>
      </c>
      <c r="S88" s="72">
        <f ca="1">IF($B74&lt;&gt;"",S78,IF($B69&lt;&gt;"",S69,S64))</f>
        <v>86.058733898679449</v>
      </c>
      <c r="T88" s="118">
        <f ca="1">IF($B74&lt;&gt;"",P78,IF($B69&lt;&gt;"",P69,P64))</f>
        <v>10.627199999999998</v>
      </c>
    </row>
    <row r="89" spans="1:26" ht="15" thickBot="1">
      <c r="B89" s="51"/>
      <c r="F89" s="88" t="s">
        <v>141</v>
      </c>
      <c r="G89" s="87">
        <f ca="1">IF($B74&lt;&gt;"",G84,IF($B69&lt;&gt;"",G70,G65))</f>
        <v>7.0847999999999995</v>
      </c>
      <c r="H89" s="72">
        <f ca="1">IF($B74&lt;&gt;"",H84,IF($B69&lt;&gt;"",H70,H65))</f>
        <v>157.02669720254954</v>
      </c>
      <c r="I89" s="72">
        <f ca="1">IF($B74&lt;&gt;"",I84,IF($B69&lt;&gt;"",I70,I65))</f>
        <v>89.596956163073216</v>
      </c>
      <c r="J89" s="118">
        <f ca="1">IF($B74&lt;&gt;"",F84,IF($B69&lt;&gt;"",F70,F65))</f>
        <v>41.091839999999998</v>
      </c>
      <c r="L89" s="51"/>
      <c r="P89" s="88" t="s">
        <v>141</v>
      </c>
      <c r="Q89" s="71">
        <f ca="1">G89</f>
        <v>7.0847999999999995</v>
      </c>
      <c r="R89" s="72">
        <f ca="1">IF($B74&lt;&gt;"",R84,IF($B69&lt;&gt;"",R70,R65))</f>
        <v>38.325875607845013</v>
      </c>
      <c r="S89" s="72">
        <f ca="1">IF($B74&lt;&gt;"",S84,IF($B69&lt;&gt;"",S70,S65))</f>
        <v>57.372489265786314</v>
      </c>
      <c r="T89" s="118">
        <f ca="1">IF($B74&lt;&gt;"",P84,IF($B69&lt;&gt;"",P70,P65))</f>
        <v>7.0847999999999995</v>
      </c>
    </row>
    <row r="90" spans="1:26" ht="15.75" thickBot="1">
      <c r="A90" s="406" t="s">
        <v>154</v>
      </c>
      <c r="B90" s="408"/>
      <c r="C90" s="408"/>
      <c r="D90" s="408"/>
      <c r="E90" s="408"/>
      <c r="F90" s="100" t="s">
        <v>155</v>
      </c>
      <c r="G90" s="76">
        <f ca="1">G88+G89</f>
        <v>17.711999999999996</v>
      </c>
      <c r="H90" s="77">
        <f t="shared" ref="H90:I90" ca="1" si="27">H88+H89</f>
        <v>600.99615698646289</v>
      </c>
      <c r="I90" s="77">
        <f t="shared" ca="1" si="27"/>
        <v>223.99239040768305</v>
      </c>
      <c r="J90" s="117"/>
      <c r="K90" s="406" t="s">
        <v>154</v>
      </c>
      <c r="L90" s="408"/>
      <c r="M90" s="408"/>
      <c r="N90" s="408"/>
      <c r="O90" s="409"/>
      <c r="P90" s="88" t="s">
        <v>155</v>
      </c>
      <c r="Q90" s="76">
        <f ca="1">Q88+Q89</f>
        <v>17.711999999999996</v>
      </c>
      <c r="R90" s="77">
        <f ca="1">R88+R89</f>
        <v>114.87233419127838</v>
      </c>
      <c r="S90" s="77">
        <f ca="1">S88+S89</f>
        <v>143.43122316446576</v>
      </c>
      <c r="U90" s="50" t="s">
        <v>128</v>
      </c>
    </row>
    <row r="91" spans="1:26">
      <c r="J91" s="65"/>
    </row>
    <row r="92" spans="1:26">
      <c r="D92" s="50"/>
      <c r="P92" s="51"/>
      <c r="Q92" s="52"/>
      <c r="S92" s="50"/>
    </row>
    <row r="93" spans="1:26">
      <c r="D93" s="50"/>
    </row>
    <row r="95" spans="1:26" ht="15" thickBot="1"/>
    <row r="96" spans="1:26" ht="15.75" thickBot="1">
      <c r="A96" s="406" t="s">
        <v>76</v>
      </c>
      <c r="B96" s="408"/>
      <c r="C96" s="409"/>
      <c r="D96" s="406" t="s">
        <v>37</v>
      </c>
      <c r="E96" s="409"/>
      <c r="F96" s="98"/>
      <c r="G96" s="406" t="s">
        <v>156</v>
      </c>
      <c r="H96" s="409"/>
      <c r="I96" s="50"/>
      <c r="Q96" s="50"/>
      <c r="R96" s="50"/>
      <c r="S96" s="50"/>
    </row>
    <row r="97" spans="1:19" ht="15" thickBot="1">
      <c r="D97" s="50"/>
      <c r="G97" s="50"/>
      <c r="H97" s="50"/>
      <c r="I97" s="50"/>
      <c r="Q97" s="50"/>
      <c r="R97" s="50"/>
      <c r="S97" s="50"/>
    </row>
    <row r="98" spans="1:19" ht="15.75" thickBot="1">
      <c r="B98" s="413" t="s">
        <v>157</v>
      </c>
      <c r="C98" s="414"/>
      <c r="D98" s="414"/>
      <c r="E98" s="414"/>
      <c r="F98" s="414"/>
      <c r="G98" s="414"/>
      <c r="H98" s="415"/>
      <c r="I98" s="50"/>
      <c r="Q98" s="50"/>
      <c r="R98" s="50"/>
      <c r="S98" s="50"/>
    </row>
    <row r="99" spans="1:19" ht="15">
      <c r="B99" s="54" t="s">
        <v>135</v>
      </c>
      <c r="D99" s="99" t="s">
        <v>121</v>
      </c>
      <c r="E99" s="56" t="s">
        <v>122</v>
      </c>
      <c r="G99" s="99" t="s">
        <v>121</v>
      </c>
      <c r="H99" s="56" t="s">
        <v>122</v>
      </c>
      <c r="I99" s="50"/>
      <c r="Q99" s="50"/>
      <c r="R99" s="50"/>
      <c r="S99" s="50"/>
    </row>
    <row r="100" spans="1:19" ht="15">
      <c r="A100" s="58" t="s">
        <v>140</v>
      </c>
      <c r="B100" s="86">
        <f ca="1">Breedte*5+LOOKUP(WoningType,WoningType_L,WoningType_W)*Diepte*2.5-Glas_Onder_Opp</f>
        <v>50.581485045506412</v>
      </c>
      <c r="D100" s="86">
        <f ca="1">IF(Aangepakt_Muur="Ja",G100,VLOOKUP(Bouwjaar,Rc_Bouwbesluit,3))</f>
        <v>1.3</v>
      </c>
      <c r="E100" s="62">
        <f ca="1">B100*V_m2_Rc/D100</f>
        <v>280.25571176751174</v>
      </c>
      <c r="G100" s="59">
        <f ca="1">VLOOKUP(Bouwjaar,Rc_Bouwbesluit,6)</f>
        <v>2.1</v>
      </c>
      <c r="H100" s="62">
        <f ca="1">B100*V_m2_Rc/G100</f>
        <v>173.49163109417393</v>
      </c>
      <c r="I100" s="50"/>
      <c r="Q100" s="50"/>
      <c r="R100" s="50"/>
      <c r="S100" s="50"/>
    </row>
    <row r="101" spans="1:19" ht="15">
      <c r="A101" s="58" t="s">
        <v>141</v>
      </c>
      <c r="B101" s="86">
        <f ca="1">Breedte*5+LOOKUP(WoningType,WoningType_L,WoningType_W)*Diepte*2.5-Glas_Boven_Opp</f>
        <v>54.123885045506405</v>
      </c>
      <c r="D101" s="86">
        <f ca="1">D100</f>
        <v>1.3</v>
      </c>
      <c r="E101" s="62">
        <f ca="1">Muur_Boven_Verbruik</f>
        <v>159.09755971139347</v>
      </c>
      <c r="G101" s="59">
        <f ca="1">G100</f>
        <v>2.1</v>
      </c>
      <c r="H101" s="62">
        <f ca="1">Muur_Boven_Verbruik_b</f>
        <v>139.42291516562497</v>
      </c>
      <c r="I101" s="50"/>
      <c r="Q101" s="50"/>
      <c r="R101" s="50"/>
      <c r="S101" s="50"/>
    </row>
    <row r="102" spans="1:19" ht="15">
      <c r="A102" s="58" t="s">
        <v>158</v>
      </c>
      <c r="B102" s="86">
        <f ca="1">LOOKUP(WoningType,WoningType_L,WoningType_W)*Diepte</f>
        <v>10.738365797457263</v>
      </c>
      <c r="D102" s="86">
        <f ca="1">D100</f>
        <v>1.3</v>
      </c>
      <c r="E102" s="101">
        <f ca="1">Muur_Zolder_Verbruik</f>
        <v>21.3247531780735</v>
      </c>
      <c r="G102" s="59">
        <f ca="1">G100</f>
        <v>2.1</v>
      </c>
      <c r="H102" s="101">
        <f ca="1">Muur_Zolder_Verbruik_b</f>
        <v>24.649982306555742</v>
      </c>
      <c r="I102" s="50"/>
      <c r="Q102" s="50"/>
      <c r="R102" s="50"/>
      <c r="S102" s="50"/>
    </row>
    <row r="103" spans="1:19">
      <c r="D103" s="50"/>
      <c r="E103" s="64">
        <f ca="1">SUM(E100:E102)</f>
        <v>460.67802465697866</v>
      </c>
      <c r="G103" s="50"/>
      <c r="H103" s="64">
        <f ca="1">SUM(H100:H102)</f>
        <v>337.56452856635462</v>
      </c>
      <c r="I103" s="65" t="s">
        <v>124</v>
      </c>
      <c r="J103" s="50" t="s">
        <v>159</v>
      </c>
      <c r="Q103" s="50"/>
      <c r="R103" s="50"/>
      <c r="S103" s="50"/>
    </row>
    <row r="104" spans="1:19" ht="15" thickBot="1"/>
    <row r="105" spans="1:19" ht="15.75" thickBot="1">
      <c r="B105" s="413" t="s">
        <v>160</v>
      </c>
      <c r="C105" s="414"/>
      <c r="D105" s="414"/>
      <c r="E105" s="414"/>
      <c r="F105" s="414"/>
      <c r="G105" s="414"/>
      <c r="H105" s="415"/>
      <c r="I105" s="50"/>
      <c r="Q105" s="50"/>
      <c r="R105" s="50"/>
      <c r="S105" s="50"/>
    </row>
    <row r="106" spans="1:19" ht="15">
      <c r="B106" s="54" t="s">
        <v>135</v>
      </c>
      <c r="D106" s="99" t="s">
        <v>121</v>
      </c>
      <c r="E106" s="66" t="s">
        <v>122</v>
      </c>
      <c r="G106" s="99" t="s">
        <v>121</v>
      </c>
      <c r="H106" s="66" t="s">
        <v>122</v>
      </c>
      <c r="I106" s="50"/>
      <c r="Q106" s="50"/>
      <c r="R106" s="50"/>
      <c r="S106" s="50"/>
    </row>
    <row r="107" spans="1:19" ht="15">
      <c r="A107" s="58" t="s">
        <v>140</v>
      </c>
      <c r="B107" s="86">
        <f ca="1">B100</f>
        <v>50.581485045506412</v>
      </c>
      <c r="D107" s="215"/>
      <c r="E107" s="62" t="e">
        <f ca="1">B107*V_m2_Rc/D107</f>
        <v>#DIV/0!</v>
      </c>
      <c r="G107" s="84">
        <v>3.3</v>
      </c>
      <c r="H107" s="62">
        <f ca="1">B107*V_m2_Rc/G107</f>
        <v>110.40376524174705</v>
      </c>
      <c r="I107" s="50"/>
      <c r="Q107" s="50"/>
      <c r="R107" s="50"/>
      <c r="S107" s="50"/>
    </row>
    <row r="108" spans="1:19" ht="15">
      <c r="A108" s="58" t="s">
        <v>141</v>
      </c>
      <c r="B108" s="86">
        <f ca="1">B101</f>
        <v>54.123885045506405</v>
      </c>
      <c r="D108" s="84">
        <v>1.3</v>
      </c>
      <c r="E108" s="62">
        <f ca="1">Muur_Boven_Verbruik</f>
        <v>159.09755971139347</v>
      </c>
      <c r="G108" s="84">
        <v>3.3</v>
      </c>
      <c r="H108" s="62">
        <f ca="1">Muur_Boven_Verbruik_b</f>
        <v>139.42291516562497</v>
      </c>
      <c r="I108" s="50"/>
      <c r="Q108" s="50"/>
      <c r="R108" s="50"/>
      <c r="S108" s="50"/>
    </row>
    <row r="109" spans="1:19" ht="15">
      <c r="A109" s="58" t="s">
        <v>158</v>
      </c>
      <c r="B109" s="86">
        <f ca="1">B102</f>
        <v>10.738365797457263</v>
      </c>
      <c r="D109" s="84">
        <v>1.3</v>
      </c>
      <c r="E109" s="101">
        <f ca="1">Muur_Zolder_Verbruik</f>
        <v>21.3247531780735</v>
      </c>
      <c r="G109" s="84">
        <v>3.3</v>
      </c>
      <c r="H109" s="101">
        <f ca="1">Muur_Zolder_Verbruik_b</f>
        <v>24.649982306555742</v>
      </c>
      <c r="I109" s="50"/>
      <c r="Q109" s="50"/>
      <c r="R109" s="50"/>
      <c r="S109" s="50"/>
    </row>
    <row r="110" spans="1:19">
      <c r="D110" s="135">
        <f ca="1">IF($D$107="",D100,D107)</f>
        <v>1.3</v>
      </c>
      <c r="E110" s="64" t="e">
        <f ca="1">SUM(E107:E109)</f>
        <v>#DIV/0!</v>
      </c>
      <c r="G110" s="96">
        <f ca="1">IF($D$107="",G100,G107)</f>
        <v>2.1</v>
      </c>
      <c r="H110" s="64">
        <f ca="1">SUM(H107:H109)</f>
        <v>274.47666271392774</v>
      </c>
      <c r="I110" s="65" t="s">
        <v>124</v>
      </c>
      <c r="Q110" s="50"/>
      <c r="R110" s="50"/>
      <c r="S110" s="50"/>
    </row>
    <row r="111" spans="1:19" ht="15" thickBot="1">
      <c r="B111" s="79"/>
      <c r="D111" s="135">
        <f ca="1">IF($D$107="",D101,D108)</f>
        <v>1.3</v>
      </c>
      <c r="G111" s="96">
        <f ca="1">IF($D$107="",G101,G108)</f>
        <v>2.1</v>
      </c>
      <c r="H111" s="50"/>
      <c r="I111" s="50"/>
      <c r="Q111" s="50"/>
      <c r="R111" s="50"/>
      <c r="S111" s="50"/>
    </row>
    <row r="112" spans="1:19" ht="15.75" thickBot="1">
      <c r="A112" s="406" t="s">
        <v>161</v>
      </c>
      <c r="B112" s="408"/>
      <c r="C112" s="409"/>
      <c r="D112" s="135">
        <f ca="1">IF($D$107="",D102,D109)</f>
        <v>1.3</v>
      </c>
      <c r="E112" s="77" cm="1">
        <f t="array" aca="1" ref="E112" ca="1">IF(Muur_Detail="",E103,E110)</f>
        <v>460.67802465697866</v>
      </c>
      <c r="G112" s="96">
        <f ca="1">IF($D$107="",G102,G109)</f>
        <v>2.1</v>
      </c>
      <c r="H112" s="77" cm="1">
        <f t="array" aca="1" ref="H112" ca="1">IF(Muur_Detail="",H103,H110)</f>
        <v>337.56452856635462</v>
      </c>
      <c r="I112" s="50"/>
      <c r="J112" s="50" t="s">
        <v>128</v>
      </c>
      <c r="K112" s="52"/>
      <c r="L112" s="52"/>
      <c r="Q112" s="50"/>
      <c r="R112" s="50"/>
      <c r="S112" s="50"/>
    </row>
    <row r="113" spans="1:19">
      <c r="B113" s="51"/>
      <c r="D113" s="50"/>
      <c r="G113" s="50"/>
      <c r="H113" s="50"/>
      <c r="I113" s="50"/>
      <c r="J113" s="51"/>
      <c r="K113" s="52"/>
      <c r="L113" s="52"/>
      <c r="Q113" s="50"/>
      <c r="R113" s="50"/>
      <c r="S113" s="50"/>
    </row>
    <row r="115" spans="1:19" ht="15" thickBot="1"/>
    <row r="116" spans="1:19" ht="15.75" thickBot="1">
      <c r="A116" s="406" t="s">
        <v>24</v>
      </c>
      <c r="B116" s="408"/>
      <c r="C116" s="409"/>
      <c r="D116" s="406" t="s">
        <v>37</v>
      </c>
      <c r="E116" s="409"/>
      <c r="F116" s="98"/>
      <c r="G116" s="406" t="s">
        <v>156</v>
      </c>
      <c r="H116" s="409"/>
      <c r="I116" s="50"/>
      <c r="Q116" s="50"/>
      <c r="R116" s="50"/>
      <c r="S116" s="50"/>
    </row>
    <row r="117" spans="1:19" ht="15" thickBot="1">
      <c r="D117" s="50"/>
      <c r="G117" s="50"/>
      <c r="H117" s="50"/>
      <c r="I117" s="50"/>
      <c r="Q117" s="50"/>
      <c r="R117" s="50"/>
      <c r="S117" s="50"/>
    </row>
    <row r="118" spans="1:19" ht="15.75" thickBot="1">
      <c r="B118" s="413" t="s">
        <v>162</v>
      </c>
      <c r="C118" s="414"/>
      <c r="D118" s="414"/>
      <c r="E118" s="414"/>
      <c r="F118" s="414"/>
      <c r="G118" s="414"/>
      <c r="H118" s="415"/>
      <c r="I118" s="50"/>
      <c r="K118" s="105"/>
      <c r="L118" s="51"/>
      <c r="Q118" s="50"/>
      <c r="R118" s="50"/>
      <c r="S118" s="50"/>
    </row>
    <row r="119" spans="1:19" ht="15">
      <c r="A119" s="53"/>
      <c r="B119" s="54" t="s">
        <v>135</v>
      </c>
      <c r="D119" s="99" t="s">
        <v>121</v>
      </c>
      <c r="E119" s="56" t="s">
        <v>122</v>
      </c>
      <c r="G119" s="99" t="s">
        <v>121</v>
      </c>
      <c r="H119" s="56" t="s">
        <v>122</v>
      </c>
      <c r="I119" s="50"/>
      <c r="K119" s="105"/>
      <c r="L119" s="51"/>
      <c r="Q119" s="50"/>
      <c r="R119" s="50"/>
      <c r="S119" s="50"/>
    </row>
    <row r="120" spans="1:19" ht="15.75" thickBot="1">
      <c r="A120" s="58" t="s">
        <v>24</v>
      </c>
      <c r="B120" s="86">
        <f ca="1">2*Breedte*SQRT(2.5*2.5+Diepte*Diepte/4)</f>
        <v>81.407862028184965</v>
      </c>
      <c r="D120" s="86">
        <f ca="1">IF(Aangepakt_Dak="Ja",G120,IF(Aangepakt_Dak="Half",2.1,VLOOKUP(Bouwjaar,Rc_Bouwbesluit,4)))</f>
        <v>1.3</v>
      </c>
      <c r="E120" s="62">
        <f ca="1">Dak_Verbruik</f>
        <v>161.66357127792895</v>
      </c>
      <c r="G120" s="59">
        <v>6.3</v>
      </c>
      <c r="H120" s="62">
        <f ca="1">Dak_Verbruik_b</f>
        <v>62.290743193110984</v>
      </c>
      <c r="I120" s="50"/>
      <c r="K120" s="105"/>
      <c r="L120" s="52"/>
      <c r="Q120" s="50"/>
      <c r="R120" s="50"/>
      <c r="S120" s="50"/>
    </row>
    <row r="121" spans="1:19" ht="15.75" thickBot="1">
      <c r="A121" s="136" t="s">
        <v>163</v>
      </c>
      <c r="B121" s="86">
        <v>0</v>
      </c>
      <c r="D121" s="86">
        <f ca="1">D120</f>
        <v>1.3</v>
      </c>
      <c r="E121" s="62"/>
      <c r="G121" s="59">
        <f>G120</f>
        <v>6.3</v>
      </c>
      <c r="H121" s="62"/>
      <c r="I121" s="50"/>
      <c r="J121" s="103" t="s">
        <v>164</v>
      </c>
      <c r="K121" s="105"/>
      <c r="L121" s="51"/>
      <c r="Q121" s="50"/>
      <c r="R121" s="50"/>
      <c r="S121" s="50"/>
    </row>
    <row r="122" spans="1:19" ht="15">
      <c r="A122" s="58" t="s">
        <v>165</v>
      </c>
      <c r="B122" s="86">
        <f ca="1">T_Zolder</f>
        <v>7.1682462838072585</v>
      </c>
      <c r="D122" s="63"/>
      <c r="E122" s="64">
        <f ca="1">SUM(E120:E121)</f>
        <v>161.66357127792895</v>
      </c>
      <c r="G122" s="63">
        <f ca="1">Vloer_Opp/($B120/G120+$B121/G121+Muur_Zolder_Opp/Muur_Zolder_Rc_b)</f>
        <v>4.0919546751031257</v>
      </c>
      <c r="H122" s="64">
        <f ca="1">SUM(H120:H121)</f>
        <v>62.290743193110984</v>
      </c>
      <c r="I122" s="65" t="s">
        <v>124</v>
      </c>
      <c r="J122" s="50" t="s">
        <v>166</v>
      </c>
      <c r="Q122" s="50"/>
      <c r="R122" s="50"/>
      <c r="S122" s="50"/>
    </row>
    <row r="123" spans="1:19" ht="15" thickBot="1">
      <c r="Q123" s="50"/>
      <c r="R123" s="50"/>
      <c r="S123" s="50"/>
    </row>
    <row r="124" spans="1:19" ht="15.75" thickBot="1">
      <c r="B124" s="413" t="s">
        <v>167</v>
      </c>
      <c r="C124" s="414"/>
      <c r="D124" s="414"/>
      <c r="E124" s="414"/>
      <c r="F124" s="414"/>
      <c r="G124" s="414"/>
      <c r="H124" s="415"/>
      <c r="I124" s="50"/>
    </row>
    <row r="125" spans="1:19" ht="15">
      <c r="A125" s="53"/>
      <c r="B125" s="54" t="s">
        <v>135</v>
      </c>
      <c r="D125" s="99" t="s">
        <v>121</v>
      </c>
      <c r="E125" s="66" t="s">
        <v>122</v>
      </c>
      <c r="G125" s="99" t="s">
        <v>121</v>
      </c>
      <c r="H125" s="66" t="s">
        <v>122</v>
      </c>
      <c r="I125" s="50"/>
      <c r="Q125" s="50"/>
      <c r="R125" s="50"/>
      <c r="S125" s="50"/>
    </row>
    <row r="126" spans="1:19" ht="15.75" thickBot="1">
      <c r="A126" s="58" t="s">
        <v>24</v>
      </c>
      <c r="B126" s="84">
        <v>69</v>
      </c>
      <c r="D126" s="215"/>
      <c r="E126" s="62">
        <f ca="1">Dak_Verbruik</f>
        <v>161.66357127792895</v>
      </c>
      <c r="G126" s="84">
        <v>6.3</v>
      </c>
      <c r="H126" s="62">
        <f ca="1">Dak_Verbruik_b</f>
        <v>62.290743193110984</v>
      </c>
      <c r="I126" s="50"/>
      <c r="Q126" s="50"/>
      <c r="R126" s="50"/>
      <c r="S126" s="50"/>
    </row>
    <row r="127" spans="1:19" ht="15.75" thickBot="1">
      <c r="A127" s="136" t="s">
        <v>163</v>
      </c>
      <c r="B127" s="84">
        <v>10</v>
      </c>
      <c r="D127" s="84"/>
      <c r="E127" s="62"/>
      <c r="G127" s="84"/>
      <c r="H127" s="62"/>
      <c r="I127" s="50"/>
      <c r="J127" s="103" t="s">
        <v>164</v>
      </c>
      <c r="Q127" s="50"/>
      <c r="R127" s="50"/>
      <c r="S127" s="50"/>
    </row>
    <row r="128" spans="1:19" ht="15">
      <c r="A128" s="58" t="s">
        <v>165</v>
      </c>
      <c r="B128" s="84"/>
      <c r="D128" s="63"/>
      <c r="E128" s="64">
        <f ca="1">SUM(E126:E127)</f>
        <v>161.66357127792895</v>
      </c>
      <c r="G128" s="63" t="e">
        <f ca="1">Vloer_Opp/($B126/G126+$B127/G127+Muur_Zolder_Opp/Muur_Zolder_Rc_b)</f>
        <v>#DIV/0!</v>
      </c>
      <c r="H128" s="64">
        <f ca="1">SUM(H126:H127)</f>
        <v>62.290743193110984</v>
      </c>
      <c r="I128" s="65" t="s">
        <v>124</v>
      </c>
      <c r="Q128" s="50"/>
      <c r="R128" s="50"/>
      <c r="S128" s="50"/>
    </row>
    <row r="129" spans="1:19" ht="15" thickBot="1">
      <c r="C129" s="115">
        <f ca="1">IF(ISBLANK(D126),B120,B126)</f>
        <v>81.407862028184965</v>
      </c>
      <c r="D129" s="50"/>
      <c r="G129" s="50"/>
      <c r="H129" s="50"/>
      <c r="I129" s="50"/>
      <c r="Q129" s="50"/>
      <c r="R129" s="50"/>
      <c r="S129" s="50"/>
    </row>
    <row r="130" spans="1:19" ht="15.75" thickBot="1">
      <c r="A130" s="406" t="s">
        <v>168</v>
      </c>
      <c r="B130" s="408"/>
      <c r="C130" s="409"/>
      <c r="D130" s="76" cm="1">
        <f t="array" aca="1" ref="D130" ca="1">IF(Dak_Detail="",D120,D126)</f>
        <v>1.3</v>
      </c>
      <c r="E130" s="77" cm="1">
        <f t="array" aca="1" ref="E130" ca="1">IF(Dak_Detail="",E122,E128)</f>
        <v>161.66357127792895</v>
      </c>
      <c r="G130" s="76" cm="1">
        <f t="array" ref="G130">IF(Dak_Detail="",G120,G126)</f>
        <v>6.3</v>
      </c>
      <c r="H130" s="77" cm="1">
        <f t="array" aca="1" ref="H130" ca="1">IF(Dak_Detail="",H122,H128)</f>
        <v>62.290743193110984</v>
      </c>
      <c r="I130" s="50"/>
      <c r="J130" s="50" t="s">
        <v>128</v>
      </c>
      <c r="K130" s="52"/>
      <c r="Q130" s="50"/>
      <c r="R130" s="50"/>
      <c r="S130" s="50"/>
    </row>
    <row r="131" spans="1:19">
      <c r="Q131" s="50"/>
      <c r="R131" s="50"/>
      <c r="S131" s="50"/>
    </row>
    <row r="132" spans="1:19" ht="15" thickBot="1">
      <c r="L132" s="52"/>
      <c r="Q132" s="50"/>
      <c r="R132" s="50"/>
      <c r="S132" s="50"/>
    </row>
    <row r="133" spans="1:19" ht="15.75" thickBot="1">
      <c r="A133" s="406" t="s">
        <v>169</v>
      </c>
      <c r="B133" s="408"/>
      <c r="C133" s="409"/>
      <c r="D133" s="406" t="s">
        <v>37</v>
      </c>
      <c r="E133" s="409"/>
      <c r="F133" s="98"/>
      <c r="G133" s="406" t="s">
        <v>156</v>
      </c>
      <c r="H133" s="409"/>
      <c r="I133" s="50"/>
      <c r="Q133" s="50"/>
      <c r="R133" s="50"/>
      <c r="S133" s="50"/>
    </row>
    <row r="135" spans="1:19" ht="15">
      <c r="D135" s="50"/>
      <c r="E135" s="56" t="s">
        <v>122</v>
      </c>
      <c r="G135" s="50"/>
      <c r="H135" s="56" t="s">
        <v>122</v>
      </c>
      <c r="I135" s="50"/>
      <c r="K135" s="105"/>
      <c r="L135" s="51"/>
      <c r="Q135" s="50"/>
      <c r="R135" s="50"/>
      <c r="S135" s="50"/>
    </row>
    <row r="136" spans="1:19" ht="15">
      <c r="A136" s="58" t="str">
        <f>CONCATENATE("Ventilatie systeem : ", VentilatieSysteem)</f>
        <v>Ventilatie systeem : geen</v>
      </c>
      <c r="B136" s="172">
        <f>VLOOKUP(VentilatieSysteem,Ventilatie_Tabel,2)</f>
        <v>1395</v>
      </c>
      <c r="D136" s="50"/>
      <c r="E136" s="62">
        <f>B136*Ketel_Rendement/kWh_m3</f>
        <v>120.99489795918366</v>
      </c>
      <c r="G136" s="172">
        <v>279</v>
      </c>
      <c r="H136" s="62">
        <f>G136*Ketel_Rendement/kWh_m3</f>
        <v>24.198979591836732</v>
      </c>
      <c r="I136" s="50"/>
      <c r="K136" s="105"/>
      <c r="L136" s="52"/>
      <c r="Q136" s="50"/>
      <c r="R136" s="50"/>
      <c r="S136" s="50"/>
    </row>
    <row r="137" spans="1:19" ht="15">
      <c r="A137" s="58" t="s">
        <v>170</v>
      </c>
      <c r="B137" s="208" t="b">
        <f>OR(E137&lt;&gt;"",H137&lt;&gt;"")</f>
        <v>0</v>
      </c>
      <c r="D137" s="50"/>
      <c r="E137" s="216"/>
      <c r="G137" s="50"/>
      <c r="H137" s="217"/>
      <c r="I137" s="50"/>
      <c r="K137" s="105"/>
      <c r="L137" s="51"/>
      <c r="Q137" s="50"/>
      <c r="R137" s="50"/>
      <c r="S137" s="50"/>
    </row>
    <row r="138" spans="1:19" ht="15" thickBot="1">
      <c r="E138" s="77">
        <f>IF(ISBLANK(E137),E136,E137)</f>
        <v>120.99489795918366</v>
      </c>
      <c r="G138" s="50"/>
      <c r="H138" s="77">
        <f>IF(ISBLANK(H137),H136,H137)</f>
        <v>24.198979591836732</v>
      </c>
      <c r="I138" s="50"/>
      <c r="J138" s="50" t="s">
        <v>128</v>
      </c>
      <c r="K138" s="52"/>
      <c r="Q138" s="50"/>
      <c r="R138" s="50"/>
      <c r="S138" s="50"/>
    </row>
    <row r="140" spans="1:19" ht="15">
      <c r="A140" s="58" t="s">
        <v>14</v>
      </c>
      <c r="B140" s="172">
        <f ca="1">VLOOKUP(Bouwjaar_BAG,QV10_Corr,2)*2*Vloer_Opp</f>
        <v>295.2</v>
      </c>
      <c r="D140" s="50"/>
      <c r="E140" s="62">
        <f ca="1">1.04*IF(Aangepakt_Kieren="Nee",B140,IF(Aangepakt_Kieren="Ja",G140,(B140+G140)/2))</f>
        <v>307.00799999999998</v>
      </c>
      <c r="G140" s="172">
        <f ca="1">2*Vloer_Opp</f>
        <v>147.6</v>
      </c>
      <c r="H140" s="62">
        <f ca="1">1.04*G140</f>
        <v>153.50399999999999</v>
      </c>
      <c r="I140" s="50"/>
      <c r="K140" s="105"/>
      <c r="L140" s="52"/>
      <c r="Q140" s="50"/>
      <c r="R140" s="50"/>
      <c r="S140" s="50"/>
    </row>
    <row r="141" spans="1:19" ht="15">
      <c r="A141" s="58" t="s">
        <v>170</v>
      </c>
      <c r="B141" s="208" t="b">
        <f>OR(E141&lt;&gt;"",H141&lt;&gt;"")</f>
        <v>0</v>
      </c>
      <c r="D141" s="50"/>
      <c r="E141" s="216"/>
      <c r="G141" s="50"/>
      <c r="H141" s="217"/>
      <c r="I141" s="50"/>
      <c r="K141" s="105"/>
      <c r="L141" s="51"/>
      <c r="Q141" s="50"/>
      <c r="R141" s="50"/>
      <c r="S141" s="50"/>
    </row>
    <row r="142" spans="1:19" ht="15" thickBot="1">
      <c r="E142" s="77">
        <f ca="1">IF(ISBLANK(E141),E140,E141)</f>
        <v>307.00799999999998</v>
      </c>
      <c r="H142" s="77">
        <f ca="1">IF(ISBLANK(H141),H140,H141)</f>
        <v>153.50399999999999</v>
      </c>
    </row>
    <row r="144" spans="1:19" ht="15">
      <c r="A144" s="418" t="s">
        <v>171</v>
      </c>
      <c r="B144" s="315"/>
      <c r="C144" s="315"/>
      <c r="D144" s="315"/>
      <c r="E144" s="315"/>
      <c r="F144" s="315"/>
      <c r="G144" s="315"/>
      <c r="H144" s="315"/>
      <c r="I144" s="50"/>
      <c r="J144" s="50" t="s">
        <v>128</v>
      </c>
      <c r="K144" s="52"/>
      <c r="Q144" s="50"/>
      <c r="R144" s="50"/>
      <c r="S144" s="50"/>
    </row>
    <row r="145" spans="1:19">
      <c r="Q145" s="50"/>
      <c r="R145" s="50"/>
      <c r="S145" s="50"/>
    </row>
    <row r="146" spans="1:19">
      <c r="L146" s="52"/>
      <c r="Q146" s="50"/>
      <c r="R146" s="50"/>
      <c r="S146" s="50"/>
    </row>
    <row r="151" spans="1:19" ht="88.5" customHeight="1">
      <c r="A151" s="405" t="str">
        <f>_xlfn.CONCAT("Binnen Temperatuur = ", Tbinnen," °C", CHAR(10),"Buiten Temperatuur = ", Tbuiten," °C",)</f>
        <v>Binnen Temperatuur = 20 °C
Buiten Temperatuur = 0 °C</v>
      </c>
      <c r="B151" s="405"/>
      <c r="C151" s="405"/>
      <c r="D151" s="405"/>
      <c r="E151" s="405"/>
      <c r="F151" s="405"/>
      <c r="G151" s="405"/>
      <c r="H151" s="405"/>
      <c r="I151" s="405"/>
      <c r="J151" s="405"/>
      <c r="K151" s="405"/>
    </row>
  </sheetData>
  <sheetProtection algorithmName="SHA-512" hashValue="ld/e/xdcUd2msy8cOXAGeSubYdepwWhiLMpEfQegPjf2tRA7xbG7vxKK/O8oHzNisPncPtdIHYzAmuzgOu3a9g==" saltValue="T7IDrZi0hLcAO1FO6Huzmw==" spinCount="100000" sheet="1" objects="1" scenarios="1"/>
  <mergeCells count="51">
    <mergeCell ref="A151:K151"/>
    <mergeCell ref="G133:H133"/>
    <mergeCell ref="D133:E133"/>
    <mergeCell ref="A133:C133"/>
    <mergeCell ref="B118:H118"/>
    <mergeCell ref="A144:H144"/>
    <mergeCell ref="B105:H105"/>
    <mergeCell ref="B98:H98"/>
    <mergeCell ref="A130:C130"/>
    <mergeCell ref="B124:H124"/>
    <mergeCell ref="A116:C116"/>
    <mergeCell ref="D116:E116"/>
    <mergeCell ref="G116:H116"/>
    <mergeCell ref="A112:C112"/>
    <mergeCell ref="U78:Z83"/>
    <mergeCell ref="A72:E72"/>
    <mergeCell ref="A67:E67"/>
    <mergeCell ref="A62:E62"/>
    <mergeCell ref="H62:I62"/>
    <mergeCell ref="K62:O62"/>
    <mergeCell ref="R62:S62"/>
    <mergeCell ref="K67:O67"/>
    <mergeCell ref="K72:O72"/>
    <mergeCell ref="B4:C4"/>
    <mergeCell ref="A3:J3"/>
    <mergeCell ref="M12:T12"/>
    <mergeCell ref="G96:H96"/>
    <mergeCell ref="D96:E96"/>
    <mergeCell ref="A96:C96"/>
    <mergeCell ref="K52:K53"/>
    <mergeCell ref="B50:C50"/>
    <mergeCell ref="E50:F50"/>
    <mergeCell ref="A45:J45"/>
    <mergeCell ref="A60:I60"/>
    <mergeCell ref="K60:S60"/>
    <mergeCell ref="A90:E90"/>
    <mergeCell ref="K90:O90"/>
    <mergeCell ref="B5:C5"/>
    <mergeCell ref="B6:C6"/>
    <mergeCell ref="B7:C7"/>
    <mergeCell ref="B8:C8"/>
    <mergeCell ref="E12:G12"/>
    <mergeCell ref="E13:G13"/>
    <mergeCell ref="L46:Y56"/>
    <mergeCell ref="E19:G19"/>
    <mergeCell ref="E20:G20"/>
    <mergeCell ref="E14:G14"/>
    <mergeCell ref="E15:G15"/>
    <mergeCell ref="E16:G16"/>
    <mergeCell ref="E17:G17"/>
    <mergeCell ref="E18:G18"/>
  </mergeCells>
  <conditionalFormatting sqref="I103">
    <cfRule type="expression" dxfId="19" priority="11">
      <formula>Muur_Detail=""</formula>
    </cfRule>
  </conditionalFormatting>
  <conditionalFormatting sqref="I110">
    <cfRule type="expression" dxfId="18" priority="10">
      <formula>Muur_Detail&lt;&gt;""</formula>
    </cfRule>
  </conditionalFormatting>
  <conditionalFormatting sqref="J52">
    <cfRule type="expression" dxfId="17" priority="17">
      <formula>Vloer_Detail=0</formula>
    </cfRule>
  </conditionalFormatting>
  <conditionalFormatting sqref="J54">
    <cfRule type="expression" dxfId="16" priority="15">
      <formula>Vloer_Detail=1</formula>
    </cfRule>
  </conditionalFormatting>
  <conditionalFormatting sqref="J66 T66">
    <cfRule type="expression" dxfId="15" priority="30">
      <formula>AND($B$69="",$B$74="")</formula>
    </cfRule>
  </conditionalFormatting>
  <conditionalFormatting sqref="J71 T71">
    <cfRule type="expression" dxfId="14" priority="24">
      <formula>AND($B$69&lt;&gt;"", $B$74="")</formula>
    </cfRule>
  </conditionalFormatting>
  <conditionalFormatting sqref="J85 T85">
    <cfRule type="expression" dxfId="13" priority="22">
      <formula>$B$74&lt;&gt;""</formula>
    </cfRule>
  </conditionalFormatting>
  <conditionalFormatting sqref="I122">
    <cfRule type="expression" dxfId="12" priority="9">
      <formula>$D$126=""</formula>
    </cfRule>
  </conditionalFormatting>
  <conditionalFormatting sqref="I128">
    <cfRule type="expression" dxfId="11" priority="8">
      <formula>$D$126&lt;&gt;""</formula>
    </cfRule>
  </conditionalFormatting>
  <conditionalFormatting sqref="A1:Z1048576">
    <cfRule type="expression" dxfId="10" priority="5">
      <formula>CELL("protect",A1)=8</formula>
    </cfRule>
  </conditionalFormatting>
  <conditionalFormatting sqref="J87:J91">
    <cfRule type="expression" dxfId="9" priority="4">
      <formula>AND(Glas_Maat="",$B71="")</formula>
    </cfRule>
  </conditionalFormatting>
  <conditionalFormatting sqref="T87:T89">
    <cfRule type="expression" dxfId="8" priority="3">
      <formula>AND(Glas_Maat="",$B71="")</formula>
    </cfRule>
  </conditionalFormatting>
  <dataValidations disablePrompts="1" count="1">
    <dataValidation type="list" allowBlank="1" showInputMessage="1" showErrorMessage="1" sqref="A74" xr:uid="{006AFD84-5634-42FE-B2C1-DD9189E7D288}">
      <formula1>Kompas</formula1>
    </dataValidation>
  </dataValidations>
  <hyperlinks>
    <hyperlink ref="J12" r:id="rId1" xr:uid="{B553ADE6-C779-4015-8896-EA691C1FB47F}"/>
    <hyperlink ref="J13" r:id="rId2" xr:uid="{2B3F80DE-8EB0-47B9-A298-CD14E190FDB8}"/>
  </hyperlinks>
  <pageMargins left="0.15" right="0.15" top="0.15" bottom="0.15" header="0.3" footer="0.3"/>
  <pageSetup paperSize="9" scale="47" fitToHeight="0" orientation="landscape" horizontalDpi="0" verticalDpi="0"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D6582-98B5-4D2A-9794-7B10686DACE9}">
  <sheetPr codeName="Sheet9"/>
  <dimension ref="A1:E149"/>
  <sheetViews>
    <sheetView zoomScale="106" zoomScaleNormal="106" workbookViewId="0">
      <selection activeCell="C3" sqref="C3"/>
    </sheetView>
  </sheetViews>
  <sheetFormatPr defaultColWidth="8.7109375" defaultRowHeight="15.75"/>
  <cols>
    <col min="1" max="1" width="85" style="242" customWidth="1"/>
    <col min="2" max="2" width="7.85546875" style="243" customWidth="1"/>
    <col min="3" max="3" width="85" style="242" customWidth="1"/>
    <col min="4" max="16384" width="8.7109375" style="243"/>
  </cols>
  <sheetData>
    <row r="1" spans="1:5" ht="30" customHeight="1"/>
    <row r="2" spans="1:5" ht="243.75" customHeight="1"/>
    <row r="3" spans="1:5" ht="39">
      <c r="A3" s="241" t="s">
        <v>1061</v>
      </c>
      <c r="C3" s="244" t="s">
        <v>73</v>
      </c>
    </row>
    <row r="4" spans="1:5" ht="53.25" customHeight="1">
      <c r="A4" s="273"/>
    </row>
    <row r="5" spans="1:5" s="257" customFormat="1" ht="23.25">
      <c r="A5" s="277" t="s">
        <v>1064</v>
      </c>
      <c r="B5" s="255"/>
      <c r="C5" s="256"/>
      <c r="E5" s="255"/>
    </row>
    <row r="6" spans="1:5" ht="63">
      <c r="A6" s="242" t="s">
        <v>1035</v>
      </c>
    </row>
    <row r="7" spans="1:5">
      <c r="C7" s="243"/>
    </row>
    <row r="8" spans="1:5">
      <c r="A8" s="242" t="str">
        <f ca="1">_xlfn.CONCAT("Het betreft de ", WoningType, " woning, aan de "&amp; Adres &amp; ", postcode "&amp; PostCode &amp; " te " &amp; Woonplaats &amp; " bouwjaar ", Bouwjaar_BAG, "  Het woonoppervlakte bedraagt ", Opp, " m2.")</f>
        <v>Het betreft de HoekWoning woning, aan de Middelweg 94, postcode 6584AJ te Molenhoek bouwjaar 1988  Het woonoppervlakte bedraagt 147.6 m2.</v>
      </c>
      <c r="C8" s="243"/>
    </row>
    <row r="9" spans="1:5">
      <c r="A9" s="242" t="str">
        <f ca="1">_xlfn.CONCAT("Het glasoppervlakte beneden is geraamd op ",MROUND(Glas_Onder_Opp,0.1)," m2 en boven op ", MROUND(Glas_Boven_Opp,0.1), " m2." )</f>
        <v>Het glasoppervlakte beneden is geraamd op 10.6 m2 en boven op 7.1 m2.</v>
      </c>
      <c r="C9" s="243"/>
    </row>
    <row r="10" spans="1:5" ht="31.5">
      <c r="A10" s="242" t="str">
        <f>_xlfn.CONCAT( "De bovenverdieping wordt niet actief verwarmd en de woning wordt bewoond door gemiddeld ", MROUND(Personen,0.1), " personen.")</f>
        <v>De bovenverdieping wordt niet actief verwarmd en de woning wordt bewoond door gemiddeld 2 personen.</v>
      </c>
      <c r="C10" s="243"/>
    </row>
    <row r="11" spans="1:5">
      <c r="A11" s="273"/>
    </row>
    <row r="12" spans="1:5">
      <c r="A12" s="242" t="str">
        <f>IF(Energiecoach="Ja","Fijn dat u gebruik wilt maken van het advies van onze energiecoaches. Een van onze energiecoaches zal spoedig met u contact opnemen voor het maken van een vervolg afspraak.", "" )</f>
        <v/>
      </c>
    </row>
    <row r="13" spans="1:5" ht="63">
      <c r="A13" s="273" t="s">
        <v>1063</v>
      </c>
    </row>
    <row r="14" spans="1:5" ht="23.25">
      <c r="A14" s="277" t="s">
        <v>720</v>
      </c>
    </row>
    <row r="15" spans="1:5" ht="189">
      <c r="A15" s="242" t="s">
        <v>940</v>
      </c>
      <c r="C15" s="247" t="s">
        <v>785</v>
      </c>
    </row>
    <row r="16" spans="1:5" ht="16.5" customHeight="1">
      <c r="C16" s="278"/>
    </row>
    <row r="17" spans="3:3">
      <c r="C17" s="278"/>
    </row>
    <row r="18" spans="3:3">
      <c r="C18" s="278"/>
    </row>
    <row r="19" spans="3:3">
      <c r="C19" s="278"/>
    </row>
    <row r="20" spans="3:3">
      <c r="C20" s="278"/>
    </row>
    <row r="21" spans="3:3">
      <c r="C21" s="278"/>
    </row>
    <row r="22" spans="3:3">
      <c r="C22" s="278"/>
    </row>
    <row r="23" spans="3:3">
      <c r="C23" s="278"/>
    </row>
    <row r="24" spans="3:3">
      <c r="C24" s="278"/>
    </row>
    <row r="25" spans="3:3">
      <c r="C25" s="278"/>
    </row>
    <row r="26" spans="3:3">
      <c r="C26" s="278"/>
    </row>
    <row r="27" spans="3:3">
      <c r="C27" s="278"/>
    </row>
    <row r="28" spans="3:3">
      <c r="C28" s="278"/>
    </row>
    <row r="29" spans="3:3">
      <c r="C29" s="278"/>
    </row>
    <row r="34" spans="1:3" ht="78.75">
      <c r="A34" s="273" t="str">
        <f ca="1">C34</f>
        <v>Uw werkelijk gasverbruik komt redelijk overeen met de modelberekening (de afwijking bedraagt 13%), daarmee zijn de conclusies die aan dit model verbonden zijn naar alle waarschijnlijkheid ook correct. Als u twijfels heeft, of andere vragen over energie en duurzaamheid, dan komt een energiecoach van ons graag een keer bij u langs om te bekijken of we het model nog wat nauwkeuriger kunnen invullen.</v>
      </c>
      <c r="B34" s="248" t="s">
        <v>1030</v>
      </c>
      <c r="C34" s="242" t="str">
        <f ca="1">SUBSTITUTE(IF(Afwijking_Gasverbruik=0,INDEX(Text_Gasverbruik,1),   IF(Afwijking_Gasverbruik&lt;20,INDEX(Text_Gasverbruik,2),INDEX(Text_Gasverbruik,3)) ),"%a%",Afwijking_Gasverbruik)</f>
        <v>Uw werkelijk gasverbruik komt redelijk overeen met de modelberekening (de afwijking bedraagt 13%), daarmee zijn de conclusies die aan dit model verbonden zijn naar alle waarschijnlijkheid ook correct. Als u twijfels heeft, of andere vragen over energie en duurzaamheid, dan komt een energiecoach van ons graag een keer bij u langs om te bekijken of we het model nog wat nauwkeuriger kunnen invullen.</v>
      </c>
    </row>
    <row r="35" spans="1:3">
      <c r="A35" s="273"/>
    </row>
    <row r="36" spans="1:3" ht="94.5">
      <c r="A36" s="273" t="str">
        <f ca="1">C36</f>
        <v>Als u alle maatregelen uitvoert, kunt u per jaar 1140 m3 gas besparen.
De grootste besparing valt te behalen met het verbeteren van de Glas isolatie. Deze verbetering laat u 490 m3 gas per jaar besparen.
Achtereenvolgens zullen we de verschillende elementen van uw woning bespreken, helaas niet in de volgorde van de meeste besparing want dat kan het model nog niet aan.</v>
      </c>
      <c r="B36" s="248" t="s">
        <v>1030</v>
      </c>
      <c r="C36" s="242" t="str">
        <f ca="1">SUBSTITUTE(SUBSTITUTE(SUBSTITUTE(CONCATENATE("Als u alle maatregelen uitvoert, kunt u per jaar %a% m3 gas besparen.
","De grootste besparing valt te behalen met het verbeteren van de %b% isolatie. Deze verbetering laat u %c% m3 gas per jaar besparen.
","Achtereenvolgens zullen we de verschillende elementen van uw woning bespreken, helaas niet in de volgorde van de meeste besparing want dat kan het model nog niet aan."),"%a%",Besparing),"%b%",Besparing_Element_Name),"%c%",Besparing_Element)</f>
        <v>Als u alle maatregelen uitvoert, kunt u per jaar 1140 m3 gas besparen.
De grootste besparing valt te behalen met het verbeteren van de Glas isolatie. Deze verbetering laat u 490 m3 gas per jaar besparen.
Achtereenvolgens zullen we de verschillende elementen van uw woning bespreken, helaas niet in de volgorde van de meeste besparing want dat kan het model nog niet aan.</v>
      </c>
    </row>
    <row r="37" spans="1:3" ht="31.5">
      <c r="A37" s="273" t="str">
        <f ca="1">C37</f>
        <v>Wist u dat u 144 m3 gas per jaar kunt besparen door gemiddeld een graadje lager te stoken?</v>
      </c>
      <c r="B37" s="248" t="s">
        <v>1030</v>
      </c>
      <c r="C37" s="242" t="str">
        <f ca="1">SUBSTITUTE("Wist u dat u %a% m3 gas per jaar kunt besparen door gemiddeld een graadje lager te stoken?","%a%",MROUND(Graadje_Lager,1))</f>
        <v>Wist u dat u 144 m3 gas per jaar kunt besparen door gemiddeld een graadje lager te stoken?</v>
      </c>
    </row>
    <row r="38" spans="1:3">
      <c r="A38" s="273" t="str">
        <f>_xlfn.TEXTJOIN(" ",TRUE,Text_Sel_1)</f>
        <v/>
      </c>
      <c r="C38" s="249" t="s">
        <v>936</v>
      </c>
    </row>
    <row r="39" spans="1:3">
      <c r="A39" s="273" t="str">
        <f>_xlfn.TEXTJOIN(CHAR(10),TRUE,Text_Sel_1)</f>
        <v/>
      </c>
      <c r="C39" s="249" t="s">
        <v>937</v>
      </c>
    </row>
    <row r="40" spans="1:3" ht="23.25">
      <c r="A40" s="277" t="s">
        <v>1001</v>
      </c>
    </row>
    <row r="41" spans="1:3" ht="110.25">
      <c r="A41" s="242" t="s">
        <v>1066</v>
      </c>
    </row>
    <row r="44" spans="1:3">
      <c r="C44" s="249" t="s">
        <v>1012</v>
      </c>
    </row>
    <row r="45" spans="1:3">
      <c r="A45" s="279" t="s">
        <v>1010</v>
      </c>
      <c r="C45" s="249" t="s">
        <v>1014</v>
      </c>
    </row>
    <row r="48" spans="1:3">
      <c r="A48" s="279" t="s">
        <v>1009</v>
      </c>
    </row>
    <row r="50" spans="1:1">
      <c r="A50" s="279" t="s">
        <v>1008</v>
      </c>
    </row>
    <row r="52" spans="1:1">
      <c r="A52" s="279" t="s">
        <v>1005</v>
      </c>
    </row>
    <row r="53" spans="1:1">
      <c r="A53" s="279" t="s">
        <v>1007</v>
      </c>
    </row>
    <row r="56" spans="1:1">
      <c r="A56" s="279" t="s">
        <v>1004</v>
      </c>
    </row>
    <row r="58" spans="1:1">
      <c r="A58" s="279" t="s">
        <v>1002</v>
      </c>
    </row>
    <row r="60" spans="1:1">
      <c r="A60" s="279" t="s">
        <v>1006</v>
      </c>
    </row>
    <row r="61" spans="1:1">
      <c r="A61" s="279" t="s">
        <v>1003</v>
      </c>
    </row>
    <row r="64" spans="1:1">
      <c r="A64" s="279" t="s">
        <v>1011</v>
      </c>
    </row>
    <row r="65" spans="1:5">
      <c r="C65" s="249" t="s">
        <v>1013</v>
      </c>
    </row>
    <row r="66" spans="1:5" ht="31.5">
      <c r="A66" s="273" t="str">
        <f ca="1">C66</f>
        <v>U ziet bijvoorbeeld in het plaatje dat de temperatuur van de vloer 1.2 graden stijgt als u de alle mogelijke maatregelen neemt.</v>
      </c>
      <c r="B66" s="248" t="s">
        <v>1030</v>
      </c>
      <c r="C66" s="242" t="str">
        <f ca="1">IF(T_Vloer_b-T_Vloer&gt;1,SUBSTITUTE("U ziet bijvoorbeeld in het plaatje dat de temperatuur van de vloer %a% graden stijgt als u de alle mogelijke maatregelen neemt.","%a%",MROUND(T_Vloer_b-T_Vloer,0.1)), "")</f>
        <v>U ziet bijvoorbeeld in het plaatje dat de temperatuur van de vloer 1.2 graden stijgt als u de alle mogelijke maatregelen neemt.</v>
      </c>
    </row>
    <row r="67" spans="1:5">
      <c r="A67" s="273"/>
    </row>
    <row r="68" spans="1:5" ht="23.25">
      <c r="A68" s="277" t="s">
        <v>24</v>
      </c>
      <c r="B68" s="250"/>
      <c r="C68" s="246"/>
      <c r="E68" s="245"/>
    </row>
    <row r="69" spans="1:5">
      <c r="A69" s="273" t="str">
        <f>IF(ISBLANK(Text_Opm_Dak),"",Text_Opm_Dak)</f>
        <v/>
      </c>
      <c r="B69" s="245"/>
      <c r="E69" s="245"/>
    </row>
    <row r="70" spans="1:5" ht="94.5">
      <c r="A70" s="275" t="str">
        <f ca="1">C70</f>
        <v>Het dak is slecht geïsoleerd. Ondanks dat u niet bewust stookt op de bovenverdieping gaat er behoorlijk wat energie verloren door het dak. Per jaar verdwijnt er %a% m3 gas per jaar door het dak.
Het aanbrengen van dakisolatie kan zowel aan de binnenkant als aan de buitenkant worden uitgevoerd. Laat u zich wel informeren in verband met mogelijke condensophoping.</v>
      </c>
      <c r="B70" s="248" t="s">
        <v>1030</v>
      </c>
      <c r="C70" s="242" t="str">
        <f ca="1">IF(Verwarming_1= "Ja",IF(Afw_Dak&gt;2,INDEX(Text_Dak,3),IF(Afw_Dak&gt;1.5,INDEX(Text_Dak,2),INDEX(Text_Dak,1))),
IF(Afw_Dak&gt;2,INDEX(Text_Dak,6),IF(Afw_Dak&gt;1.5,INDEX(Text_Dak,5),INDEX(Text_Dak,4))))</f>
        <v>Het dak is slecht geïsoleerd. Ondanks dat u niet bewust stookt op de bovenverdieping gaat er behoorlijk wat energie verloren door het dak. Per jaar verdwijnt er %a% m3 gas per jaar door het dak.
Het aanbrengen van dakisolatie kan zowel aan de binnenkant als aan de buitenkant worden uitgevoerd. Laat u zich wel informeren in verband met mogelijke condensophoping.</v>
      </c>
      <c r="E70" s="245"/>
    </row>
    <row r="71" spans="1:5">
      <c r="A71" s="273"/>
    </row>
    <row r="72" spans="1:5" ht="23.25">
      <c r="A72" s="277" t="s">
        <v>23</v>
      </c>
    </row>
    <row r="73" spans="1:5">
      <c r="A73" s="273" t="str">
        <f>IF(ISBLANK(Text_Opm_Glas),"",Text_Opm_Glas)</f>
        <v/>
      </c>
    </row>
    <row r="74" spans="1:5">
      <c r="A74" s="273" t="str">
        <f ca="1">C74</f>
        <v>GlasWrite-3</v>
      </c>
      <c r="B74" s="248" t="s">
        <v>1030</v>
      </c>
      <c r="C74" s="242" t="str">
        <f ca="1">IF(Afw_Glas_0&gt;2,INDEX(Text_Glas_0,3),IF(Afw_Glas_0&gt;1.5,INDEX(Text_Glas_0,2),INDEX(Text_Glas_0,1)))</f>
        <v>GlasWrite-3</v>
      </c>
    </row>
    <row r="75" spans="1:5">
      <c r="A75" s="273" t="str">
        <f ca="1">C75</f>
        <v>GlasBWrite-3</v>
      </c>
      <c r="B75" s="248" t="s">
        <v>1030</v>
      </c>
      <c r="C75" s="242" t="str">
        <f ca="1">IF(Afw_Glas_1&gt;2,INDEX(Text_Glas_1,3),IF(Afw_Glas_1&gt;1.5,INDEX(Text_Glas_1,2),INDEX(Text_Glas_1,1)))</f>
        <v>GlasBWrite-3</v>
      </c>
    </row>
    <row r="76" spans="1:5" ht="393.75">
      <c r="A76" s="273" t="str">
        <f>C76</f>
        <v>Het verbeteren van het glas kan op een aantal manieren gebeuren. Het prijsverschil tussen de verschillende methoden kan erg groot zijn.
De eerste vraag die je jezelf moet stellen is, zijn de kozijnen nog goed (of goed te herstellen).
Als de kozijnen nog goed zijn, kun je ruwweg het volgende vervangingsplan opstellen:
- ramen met enkel of dubbelglas vervangen door HR++ dubbelglas, ga daarbij voor een zo laag mogelijke U-waarde, 0.8 is haalbaar
- grote ramen zijn onzetend duur omdat daarbij een tilwerktuig moeten worden gebruikt.
- Ramen die tot op de grond reiken, zijn ook duur, omdat deze tegenwoordig verplicht in gelaagd glas moeten worden uitgevoerd
Vervang je de kozijnen dat wordt altijd geadviseerd om triple glas te nemen (de meerprijs is slechts een fractie van de totale kosten). Over de keuze van hardhouten houten of kunststof kozijnen is veel discussie. Qua milieuimpact en circulariteit scoren beide ongeveer gelijk.De belangrijkste verschillen zijn dus uiterlijk/uitstraling en onderhoud. Europese zachthouten kozijnen scoren milieutechnisch wel beter (bijvoorbeeld Finti en Accoya, beide met een levensduur gelijk aan hardhout).
Verder zijn er nog een aantal belangrijke keuzen bij glas:
- Beter glas laat ook iets minder zon door en zal daardoor iets anders van kleur zijn (dus plaats nooit 2 verschillende glassoorten naast elkaar)
- Als het glas erg op de zon is geörienteert, kunt u overwegen om zonwerend glas te nemen (bevat een extra coating op de buitenruit)
- Bij dubbelglas, neem 2 verschillende dikten, want dat geeft een betere geluidsdemping
- Vindt u geluidsdemping belangrijk, ga dan voor triple glas
Onze energiecoaches kunnen u adviseren over het optimaal vervangen van glas.</v>
      </c>
      <c r="B76" s="248" t="s">
        <v>1030</v>
      </c>
      <c r="C76" s="242" t="s">
        <v>1067</v>
      </c>
    </row>
    <row r="77" spans="1:5" ht="23.25">
      <c r="A77" s="277" t="s">
        <v>21</v>
      </c>
    </row>
    <row r="78" spans="1:5">
      <c r="A78" s="273" t="str">
        <f>IF(ISBLANK(Text_Opm_Muren),"",Text_Opm_Muren)</f>
        <v/>
      </c>
    </row>
    <row r="79" spans="1:5">
      <c r="A79" s="273" t="str">
        <f ca="1">C79</f>
        <v>De muren zijn matig geïsoleerd, de  isolatiewaarde bedraagt Rc = %a%, daardoor wordt ongeveer %c% m3 gas per jaar verbruikt. Als u de spouw gaat bij-isoleren, dan wordt de isolatiewaarde Rc = %b%, waardoor het gasverbruik door de muur daalt naar %d% m3 gas per jaar. De besparing bedraagt dus %e% m3 gas per jaar.
Gezien de geringe besparing en het geringe gasverbruik door de muur, adviseren wij om nu niet de spouw te laten na-isoleren. U moet zich ook realiseren dat u pas subsidie krijgt als de toename van de Rc waarde groter is dan 1.1. Deze anaylse is gemaakt op de gemiddlde spouwbreedte, het kan zijn dat de spouw van uw muren groter is, in dat geval kan het wel zinvol zijn. Een energiecoach kan bepalen hoe breed uw spouw is.</v>
      </c>
      <c r="B79" s="248" t="s">
        <v>1030</v>
      </c>
      <c r="C79" s="242" t="str">
        <f ca="1">Rapport_Muren</f>
        <v>De muren zijn matig geïsoleerd, de  isolatiewaarde bedraagt Rc = %a%, daardoor wordt ongeveer %c% m3 gas per jaar verbruikt. Als u de spouw gaat bij-isoleren, dan wordt de isolatiewaarde Rc = %b%, waardoor het gasverbruik door de muur daalt naar %d% m3 gas per jaar. De besparing bedraagt dus %e% m3 gas per jaar.
Gezien de geringe besparing en het geringe gasverbruik door de muur, adviseren wij om nu niet de spouw te laten na-isoleren. U moet zich ook realiseren dat u pas subsidie krijgt als de toename van de Rc waarde groter is dan 1.1. Deze anaylse is gemaakt op de gemiddlde spouwbreedte, het kan zijn dat de spouw van uw muren groter is, in dat geval kan het wel zinvol zijn. Een energiecoach kan bepalen hoe breed uw spouw is.</v>
      </c>
    </row>
    <row r="80" spans="1:5">
      <c r="A80" s="273"/>
    </row>
    <row r="81" spans="1:3" ht="23.25">
      <c r="A81" s="277" t="s">
        <v>17</v>
      </c>
    </row>
    <row r="82" spans="1:3">
      <c r="A82" s="273" t="str">
        <f>IF(ISBLANK(Text_Opm_Vloer),"",Text_Opm_Vloer)</f>
        <v/>
      </c>
    </row>
    <row r="83" spans="1:3" ht="78.75">
      <c r="A83" s="273" t="str">
        <f ca="1">C83</f>
        <v>De vloer is slecht geïsoleerd, na-isoleren wordt sterk aanbevolen. De huidige Rc-waarde = 1.3, waarmee 290 m3 gas per jaar verloren gaat. Als u geen vloerverwarming overweegt kunt u volstaan met een minimale Rc van 3.7, overweegt u vloerverwarming dan adviseren wij om minstens Rc&gt;6 te nemen. Door het na-isoleren van de vloer met een minimale Rc = 3.7, kunt u ongeveer 190 m3 gas per jaar besparen.</v>
      </c>
      <c r="B83" s="248" t="s">
        <v>1030</v>
      </c>
      <c r="C83" s="242" t="str">
        <f ca="1">Rapport_Vloer</f>
        <v>De vloer is slecht geïsoleerd, na-isoleren wordt sterk aanbevolen. De huidige Rc-waarde = 1.3, waarmee 290 m3 gas per jaar verloren gaat. Als u geen vloerverwarming overweegt kunt u volstaan met een minimale Rc van 3.7, overweegt u vloerverwarming dan adviseren wij om minstens Rc&gt;6 te nemen. Door het na-isoleren van de vloer met een minimale Rc = 3.7, kunt u ongeveer 190 m3 gas per jaar besparen.</v>
      </c>
    </row>
    <row r="84" spans="1:3" ht="110.25">
      <c r="A84" s="273" t="str">
        <f>C84</f>
        <v>Er zijn een aantal manieren om uw vloer te isoleren, isolatie materiaal tegen de onderkant aan spuiten, glaswol of steenwol dekens tegen de onderkant monteren, biobased matten tegen de onderkant monteren of Tonzon thermofolie plaatsen. Eén misverstand willen we hierbij uit de weg ruimen en dat is dat Tonzon, vanwege het aluminium, slecht zou zijn voor het milieu. Echter Tonzon gebruikt zo weinig aluminium dat het de laagtste milieu-impact heeft en zelfs alle biobased naterialen verslaat (zie de MPG database).</v>
      </c>
      <c r="B84" s="248" t="s">
        <v>1030</v>
      </c>
      <c r="C84" s="242" t="s">
        <v>1053</v>
      </c>
    </row>
    <row r="85" spans="1:3">
      <c r="A85" s="273"/>
    </row>
    <row r="86" spans="1:3" ht="23.25">
      <c r="A86" s="277" t="s">
        <v>14</v>
      </c>
    </row>
    <row r="87" spans="1:3">
      <c r="A87" s="273" t="str">
        <f>IF(ISBLANK(Text_Opm_Kieren),"",Text_Opm_Kieren)</f>
        <v/>
      </c>
    </row>
    <row r="88" spans="1:3" ht="47.25">
      <c r="A88" s="273" t="str">
        <f ca="1">C88</f>
        <v>Door kieren gaat in uw woning naar schatting 310 m3 gas per jaar verloren. Helemaal kierdicht zult u het nooit krijgen, maar door nog een aantal kieren te dichten zou u nog 150 m3 gas per jaar extra kunnen besparen.</v>
      </c>
      <c r="B88" s="248" t="s">
        <v>1030</v>
      </c>
      <c r="C88" s="242" t="str">
        <f ca="1">SUBSTITUTE(SUBSTITUTE("Door kieren gaat in uw woning naar schatting %a% m3 gas per jaar verloren. Helemaal kierdicht zult u het nooit krijgen, maar door nog een aantal kieren te dichten zou u nog %b% m3 gas per jaar extra kunnen besparen.","%a%",MROUND(Kieren_Verbruik,10)),"%b%",MROUND(Kieren_Verbruik-Kieren_Verbruik_b,10))</f>
        <v>Door kieren gaat in uw woning naar schatting 310 m3 gas per jaar verloren. Helemaal kierdicht zult u het nooit krijgen, maar door nog een aantal kieren te dichten zou u nog 150 m3 gas per jaar extra kunnen besparen.</v>
      </c>
    </row>
    <row r="89" spans="1:3" ht="47.25">
      <c r="A89" s="273" t="str">
        <f>C89</f>
        <v>Kieren dichten wil niet zeggen dat er niet geventileerd moet worden. Daarom is het belangrijk om na het dichten van de kieren een CO2 meting te laten uitvoeren of op een andere manier vast te stellen dat de ventilatie in de woning voldoende is.</v>
      </c>
      <c r="B89" s="248" t="s">
        <v>1030</v>
      </c>
      <c r="C89" s="242" t="s">
        <v>1068</v>
      </c>
    </row>
    <row r="90" spans="1:3">
      <c r="A90" s="273"/>
    </row>
    <row r="91" spans="1:3" ht="23.25">
      <c r="A91" s="277" t="s">
        <v>11</v>
      </c>
    </row>
    <row r="92" spans="1:3">
      <c r="A92" s="273" t="str">
        <f>IF(ISBLANK(Text_Opm_Ventilatie),"",Text_Opm_Ventilatie)</f>
        <v/>
      </c>
    </row>
    <row r="93" spans="1:3" ht="78.75">
      <c r="A93" s="273" t="str">
        <f>C93</f>
        <v>Als ventilatie heeft u op dit moment  geen.De ventilatie verbruikt momenteel 120 m3 gas per jaar. Met een gestuurd ventilatiesysteem met Warmte Terug Winning (WTW), kunt u 100 m3 gas per jaar besparen, waarbij de luchtkwaliteit in huis altijd op orde is. Het is echter niet eenvoudig en niet goedkoop om in een bestaande woning de ventilatie optimaal te maken. Bespreek dit eens met een van onze energiecoaches.</v>
      </c>
      <c r="B93" s="248" t="s">
        <v>1030</v>
      </c>
      <c r="C93" s="242" t="str">
        <f>CONCATENATE(SUBSTITUTE("Als ventilatie heeft u op dit moment  %a%.","%a%",VentilatieSysteem),SUBSTITUTE(SUBSTITUTE("De ventilatie verbruikt momenteel %a% m3 gas per jaar. Met een gestuurd ventilatiesysteem met Warmte Terug Winning (WTW), kunt u %b% m3 gas per jaar besparen, waarbij de luchtkwaliteit in huis altijd op orde is.","%a%",MROUND(Ventilatie_Verbruik,10)),"%b%",MROUND(Ventilatie_Verbruik-Ventilatie_Verbruik_b,10))," Het is echter niet eenvoudig en niet goedkoop om in een bestaande woning de ventilatie optimaal te maken. Bespreek dit eens met een van onze energiecoaches.")</f>
        <v>Als ventilatie heeft u op dit moment  geen.De ventilatie verbruikt momenteel 120 m3 gas per jaar. Met een gestuurd ventilatiesysteem met Warmte Terug Winning (WTW), kunt u 100 m3 gas per jaar besparen, waarbij de luchtkwaliteit in huis altijd op orde is. Het is echter niet eenvoudig en niet goedkoop om in een bestaande woning de ventilatie optimaal te maken. Bespreek dit eens met een van onze energiecoaches.</v>
      </c>
    </row>
    <row r="94" spans="1:3">
      <c r="A94" s="273"/>
    </row>
    <row r="95" spans="1:3" ht="23.25">
      <c r="A95" s="277" t="s">
        <v>1056</v>
      </c>
    </row>
    <row r="96" spans="1:3">
      <c r="A96" s="273" t="str">
        <f>IF(ISBLANK(Text_Opm_Tapwater),"",Text_Opm_Tapwater)</f>
        <v/>
      </c>
    </row>
    <row r="97" spans="1:5" ht="31.5">
      <c r="A97" s="273" t="str">
        <f>C97</f>
        <v>U gebruikt momenteel naar schatting 120 m3 gas voor de verwarming van water. Door een zuinigere douchekop en korter douchen kunt u nog 60 m3 gas per jaar besparen</v>
      </c>
      <c r="B97" s="248" t="s">
        <v>1030</v>
      </c>
      <c r="C97" s="242" t="str">
        <f>_xlfn.TEXTJOIN(" ",TRUE,SUBSTITUTE("U gebruikt momenteel naar schatting %a% m3 gas voor de verwarming van water.", "%a%", WarmWater_Verbruik),IF(WarmWater_Gebruik="Weinig","Dat is heel zuinig, onze complimenten", SUBSTITUTE("Door een zuinigere douchekop en korter douchen kunt u nog %a% m3 gas per jaar besparen","%a%",WarmWater_Verbruik-WarmWater_Verbruik_b)) )</f>
        <v>U gebruikt momenteel naar schatting 120 m3 gas voor de verwarming van water. Door een zuinigere douchekop en korter douchen kunt u nog 60 m3 gas per jaar besparen</v>
      </c>
    </row>
    <row r="98" spans="1:5">
      <c r="A98" s="273"/>
    </row>
    <row r="99" spans="1:5" ht="63">
      <c r="A99" s="273" t="str">
        <f>C99</f>
        <v>U kunt eenvoudig bepalen hoeveel gas u verbruikt voor warm tapwater. Omdat koken relatief zeer weinig gas verbruikt, kunt u het gasverbruik over de maanden mei, juni, juli, en augustus (minus de vakantieperiode) te middelen en vervolgens met 12 te vermenigvuldigen om het jaarverbruik te krijgen.</v>
      </c>
      <c r="B99" s="248" t="s">
        <v>1030</v>
      </c>
      <c r="C99" s="242" t="s">
        <v>1057</v>
      </c>
    </row>
    <row r="100" spans="1:5">
      <c r="A100" s="273"/>
    </row>
    <row r="101" spans="1:5" ht="63">
      <c r="A101" s="273" t="str">
        <f>C101</f>
        <v>Om te bepalen hoeveel uw douchekop verbruikt: pak een keukenweegschaal, zet de douche zover open als u normaal ook doet en meet hoeveel water er in 10 seconden uit de douchekop komt. Stel er komt 1200 gram water uit, dan levert de douchekop dus 6 * 1200 = 7.2 liter/minuut. Een spaardouchekop gebruikt minder dan 5 liter/minuut.</v>
      </c>
      <c r="B101" s="248" t="s">
        <v>1030</v>
      </c>
      <c r="C101" s="242" t="s">
        <v>1069</v>
      </c>
      <c r="E101" s="243" t="s">
        <v>1070</v>
      </c>
    </row>
    <row r="102" spans="1:5">
      <c r="A102" s="273"/>
    </row>
    <row r="103" spans="1:5" ht="23.25">
      <c r="A103" s="277" t="s">
        <v>739</v>
      </c>
      <c r="B103" s="251">
        <f ca="1">Totaal_Verbruik/Totaal_Verbruik_b</f>
        <v>3.0727272727272728</v>
      </c>
    </row>
    <row r="104" spans="1:5" ht="47.25">
      <c r="A104" s="273" t="str">
        <f ca="1">C104</f>
        <v>Uw energieverbruik per m2 vloeroppervlakte bedraagt 89 kWh/m2. Om optimaal van een warmtepomp gebruik te kunnen maken moet enerzijds het energieverbruik lager zijn dan 50 kWh/m2 en anderzijds uw afgifte systeem geschikt zijn (of gemaakt worden).</v>
      </c>
      <c r="B104" s="248" t="s">
        <v>1030</v>
      </c>
      <c r="C104" s="242" t="str">
        <f ca="1">SUBSTITUTE("Uw energieverbruik per m2 vloeroppervlakte bedraagt %a% kWh/m2. Om optimaal van een warmtepomp gebruik te kunnen maken moet enerzijds het energieverbruik lager zijn dan 50 kWh/m2 en anderzijds uw afgifte systeem geschikt zijn (of gemaakt worden).","%a%",MROUND(Energie_m2,1))</f>
        <v>Uw energieverbruik per m2 vloeroppervlakte bedraagt 89 kWh/m2. Om optimaal van een warmtepomp gebruik te kunnen maken moet enerzijds het energieverbruik lager zijn dan 50 kWh/m2 en anderzijds uw afgifte systeem geschikt zijn (of gemaakt worden).</v>
      </c>
    </row>
    <row r="105" spans="1:5" ht="78.75">
      <c r="A105" s="273" t="str">
        <f t="shared" ref="A105:A113" ca="1" si="0">C105</f>
        <v>TRUEU wordt geadviseerd eerst nog extra isolatie maatregelen te nemen, alvorens over te gaan tot de aanschaf van een warmtepomp.Verder raden wij u sterk aan om de aankomende winter een 50-graden-test uit te voeren, zodat u een goed beeld krijgt waar eventuele zwakke plekken in uw afgifte systeem zitten, hier moet dus nog een link komen</v>
      </c>
      <c r="B105" s="248" t="s">
        <v>1030</v>
      </c>
      <c r="C105" s="242" t="str">
        <f ca="1">IF(Energie_m2&lt;50, "Uw energieverbruik is laag genoeg om over te kunnen schakelen op een volledig elektrische warmtepomp",CONCATENATE("",TRUE,"U wordt geadviseerd eerst nog extra isolatie maatregelen te nemen, alvorens over te gaan tot de aanschaf van een warmtepomp.","Verder raden wij u sterk aan om de aankomende winter een 50-graden-test uit te voeren, zodat u een goed beeld krijgt waar eventuele zwakke plekken in uw afgifte systeem zitten, hier moet dus nog een link komen"))</f>
        <v>TRUEU wordt geadviseerd eerst nog extra isolatie maatregelen te nemen, alvorens over te gaan tot de aanschaf van een warmtepomp.Verder raden wij u sterk aan om de aankomende winter een 50-graden-test uit te voeren, zodat u een goed beeld krijgt waar eventuele zwakke plekken in uw afgifte systeem zitten, hier moet dus nog een link komen</v>
      </c>
    </row>
    <row r="106" spans="1:5" ht="47.25">
      <c r="A106" s="273" t="str">
        <f t="shared" ca="1" si="0"/>
        <v>Als u alle voorgestelde isolatiemaatregelen heeft genomen, heeft u voldoende aan een warmtepomp van 2.45 kW. Deze warmtepomp kan met 3.8 zonnepanelen (van elk 270 Wp) alle benodigde warmte opwekken.</v>
      </c>
      <c r="B106" s="248" t="s">
        <v>1030</v>
      </c>
      <c r="C106" s="242" t="str">
        <f ca="1">SUBSTITUTE(SUBSTITUTE(SUBSTITUTE("Als u alle voorgestelde isolatiemaatregelen heeft genomen, heeft u voldoende aan een warmtepomp van %a% kW. Deze warmtepomp kan met %b% zonnepanelen (van elk %c% Wp) alle benodigde warmte opwekken.","%a%",Warmtepomp_kW_b),"%b%",MROUND(Warmtepomp_Zon_b,0.1)),"%c%",Zonnepaneel_Opbrengst)</f>
        <v>Als u alle voorgestelde isolatiemaatregelen heeft genomen, heeft u voldoende aan een warmtepomp van 2.45 kW. Deze warmtepomp kan met 3.8 zonnepanelen (van elk 270 Wp) alle benodigde warmte opwekken.</v>
      </c>
    </row>
    <row r="107" spans="1:5" ht="31.5">
      <c r="A107" s="273" t="str">
        <f t="shared" si="0"/>
        <v>Zelfs als u geen zonnepanelen (over) hebt, is een warmtepomp financieel en mileutechnisch voordelig.</v>
      </c>
      <c r="B107" s="248" t="s">
        <v>1030</v>
      </c>
      <c r="C107" s="242" t="s">
        <v>1059</v>
      </c>
    </row>
    <row r="108" spans="1:5" ht="47.25">
      <c r="A108" s="273" t="str">
        <f t="shared" ca="1" si="0"/>
        <v>Als u alle voorgestelde isolatiemaatregelen heeft uitgevoerd, bespaart u met een warmtepomp
     550 m3 gas en bij een kostprijs van 1.45 bespaart u jaarlijks 800 Euro</v>
      </c>
      <c r="B108" s="248" t="s">
        <v>1030</v>
      </c>
      <c r="C108" s="242" t="str">
        <f ca="1">SUBSTITUTE(SUBSTITUTE(SUBSTITUTE("Als u alle voorgestelde isolatiemaatregelen heeft uitgevoerd, bespaart u met een warmtepomp
     %a% m3 gas en bij een kostprijs van %b% bespaart u jaarlijks %c% Euro","%a%",Totaal_Verbruik_b),"%b%",Prijs_m3),"%c%",MROUND(Totaal_Verbruik_b*Prijs_m3,10))</f>
        <v>Als u alle voorgestelde isolatiemaatregelen heeft uitgevoerd, bespaart u met een warmtepomp
     550 m3 gas en bij een kostprijs van 1.45 bespaart u jaarlijks 800 Euro</v>
      </c>
    </row>
    <row r="109" spans="1:5" ht="31.5">
      <c r="A109" s="273" t="str">
        <f t="shared" ca="1" si="0"/>
        <v>Als u geen zonnepanelen hebt, moet u extra elektriciteit inkopen, te weten:
    1020 kWh, bij een kostprijs van 0.4 Euro, moet u extra uitgeven 410 Euro.</v>
      </c>
      <c r="B109" s="248" t="s">
        <v>1030</v>
      </c>
      <c r="C109" s="242" t="str">
        <f ca="1">SUBSTITUTE(SUBSTITUTE(SUBSTITUTE("Als u geen zonnepanelen hebt, moet u extra elektriciteit inkopen, te weten:
    %a% kWh, bij een kostprijs van %b% Euro, moet u extra uitgeven %c% Euro.","%a%",Warmtepomp_kWh_b),"%b%",Prijs_kWh),"%c%",MROUND(Warmtepomp_kWh_b*Prijs_kWh,10))</f>
        <v>Als u geen zonnepanelen hebt, moet u extra elektriciteit inkopen, te weten:
    1020 kWh, bij een kostprijs van 0.4 Euro, moet u extra uitgeven 410 Euro.</v>
      </c>
    </row>
    <row r="110" spans="1:5" ht="31.5">
      <c r="A110" s="273" t="str">
        <f t="shared" ca="1" si="0"/>
        <v>Inclusief het vervallen van het vastrecht, geeft u dat een jaarlijkse besparing van 590 Euro. Met eigen zonnepanelen is de besparing aanzienlijk hoger.</v>
      </c>
      <c r="B110" s="248" t="s">
        <v>1030</v>
      </c>
      <c r="C110" s="242" t="str">
        <f ca="1">SUBSTITUTE("Inclusief het vervallen van het vastrecht, geeft u dat een jaarlijkse besparing van %a% Euro. Met eigen zonnepanelen is de besparing aanzienlijk hoger.","%a%",MROUND(Totaal_Verbruik_b*Prijs_m3-Warmtepomp_kWh_b*Prijs_kWh+200,10))</f>
        <v>Inclusief het vervallen van het vastrecht, geeft u dat een jaarlijkse besparing van 590 Euro. Met eigen zonnepanelen is de besparing aanzienlijk hoger.</v>
      </c>
    </row>
    <row r="111" spans="1:5" ht="31.5">
      <c r="A111" s="273" t="str">
        <f t="shared" si="0"/>
        <v>We kunnen deze besparing natuurlijk ook uitdrukken in besparing CO2 en hoeveelheid bomen om die bespaarde CO2 op te nemen:</v>
      </c>
      <c r="B111" s="248" t="s">
        <v>1030</v>
      </c>
      <c r="C111" s="242" t="s">
        <v>1060</v>
      </c>
    </row>
    <row r="112" spans="1:5">
      <c r="A112" s="273" t="str">
        <f t="shared" ca="1" si="0"/>
        <v>De bespaarde CO2 bedraagt 680 kg per jaar</v>
      </c>
      <c r="B112" s="248" t="s">
        <v>1030</v>
      </c>
      <c r="C112" s="242" t="str">
        <f ca="1">SUBSTITUTE("De bespaarde CO2 bedraagt %a% kg per jaar", "%a%",MROUND(Totaal_Verbruik_b*CO2_m3-Warmtepomp_kWh_b*CO2_kWh,10))</f>
        <v>De bespaarde CO2 bedraagt 680 kg per jaar</v>
      </c>
    </row>
    <row r="113" spans="1:5">
      <c r="A113" s="273" t="str">
        <f t="shared" ca="1" si="0"/>
        <v>Om deze hoeveelheid CO2 jaarlijks op te kunnen nemen, zijn 27 bomen nodig.</v>
      </c>
      <c r="B113" s="248" t="s">
        <v>1030</v>
      </c>
      <c r="C113" s="242" t="str">
        <f ca="1">SUBSTITUTE("Om deze hoeveelheid CO2 jaarlijks op te kunnen nemen, zijn %a% bomen nodig.", "%a%",MROUND((Totaal_Verbruik_b*CO2_m3-Warmtepomp_kWh_b*CO2_kWh)/25,1))</f>
        <v>Om deze hoeveelheid CO2 jaarlijks op te kunnen nemen, zijn 27 bomen nodig.</v>
      </c>
    </row>
    <row r="114" spans="1:5">
      <c r="A114" s="273"/>
    </row>
    <row r="115" spans="1:5" ht="23.25">
      <c r="A115" s="277" t="s">
        <v>787</v>
      </c>
    </row>
    <row r="116" spans="1:5" ht="141.75">
      <c r="A116" s="273" t="str">
        <f>C116</f>
        <v>Niet direct van invloed op uw energierekening, maar wel heel goed voor het milieu, het afkoppelen van daken en terassen van het riool. Dank zij de hoge subsidie die hiervoor wordt gegeven is het ook interesaant voor uw portemonee. 
Waterschap Limburg en 15 gemeenten in Noord- en Midden-Limburg zijn gestart met de Waterklaarcampagne: ‘Het regent pijpestelen; koppel je regenpijp af en ontvang subsidie’. De regeling is bedoeld als extra stimulans voor onze inwoners, bedrijven en woningbouwverenigingen om zo bij te dragen aan het voorkomen van wateroverlast en duurzaam waterbeheer te bevorderen. Klimaatverandering zorgt voor steeds meer uitersten. Hevige regenval en droge periodes komen steeds vaker voor.</v>
      </c>
      <c r="B116" s="248" t="s">
        <v>1030</v>
      </c>
      <c r="C116" s="242" t="s">
        <v>788</v>
      </c>
    </row>
    <row r="117" spans="1:5">
      <c r="A117" s="276" t="s">
        <v>789</v>
      </c>
    </row>
    <row r="118" spans="1:5">
      <c r="A118" s="273"/>
    </row>
    <row r="119" spans="1:5">
      <c r="A119" s="273"/>
    </row>
    <row r="120" spans="1:5" ht="23.25">
      <c r="A120" s="274" t="s">
        <v>1065</v>
      </c>
    </row>
    <row r="121" spans="1:5" ht="393.75">
      <c r="A121" s="273" t="s">
        <v>1071</v>
      </c>
    </row>
    <row r="122" spans="1:5" ht="267.75">
      <c r="A122" s="273" t="s">
        <v>1072</v>
      </c>
    </row>
    <row r="123" spans="1:5">
      <c r="A123" s="276"/>
    </row>
    <row r="124" spans="1:5">
      <c r="A124" s="273"/>
    </row>
    <row r="125" spans="1:5" ht="23.25">
      <c r="A125" s="277" t="s">
        <v>752</v>
      </c>
    </row>
    <row r="126" spans="1:5">
      <c r="A126" s="242" t="s">
        <v>1058</v>
      </c>
    </row>
    <row r="127" spans="1:5">
      <c r="A127" s="252" t="s">
        <v>753</v>
      </c>
      <c r="B127" s="253" t="s">
        <v>786</v>
      </c>
      <c r="C127" s="246"/>
      <c r="E127" s="245"/>
    </row>
    <row r="128" spans="1:5">
      <c r="A128" s="252" t="s">
        <v>790</v>
      </c>
    </row>
    <row r="129" spans="1:3">
      <c r="A129" s="252" t="s">
        <v>791</v>
      </c>
    </row>
    <row r="130" spans="1:3">
      <c r="A130" s="252" t="s">
        <v>789</v>
      </c>
    </row>
    <row r="131" spans="1:3" s="254" customFormat="1">
      <c r="A131" s="252" t="s">
        <v>792</v>
      </c>
      <c r="C131" s="252"/>
    </row>
    <row r="132" spans="1:3">
      <c r="A132" s="252" t="s">
        <v>793</v>
      </c>
    </row>
    <row r="133" spans="1:3">
      <c r="A133" s="252" t="s">
        <v>794</v>
      </c>
    </row>
    <row r="134" spans="1:3">
      <c r="A134" s="252" t="s">
        <v>795</v>
      </c>
    </row>
    <row r="135" spans="1:3" s="254" customFormat="1">
      <c r="A135" s="252" t="s">
        <v>796</v>
      </c>
      <c r="C135" s="252"/>
    </row>
    <row r="136" spans="1:3">
      <c r="A136" s="252" t="s">
        <v>797</v>
      </c>
    </row>
    <row r="137" spans="1:3">
      <c r="A137" s="252"/>
    </row>
    <row r="138" spans="1:3">
      <c r="A138" s="252" t="s">
        <v>798</v>
      </c>
    </row>
    <row r="139" spans="1:3">
      <c r="A139" s="252" t="s">
        <v>799</v>
      </c>
    </row>
    <row r="140" spans="1:3">
      <c r="A140" s="252" t="s">
        <v>800</v>
      </c>
    </row>
    <row r="141" spans="1:3" s="254" customFormat="1">
      <c r="A141" s="252" t="s">
        <v>801</v>
      </c>
      <c r="C141" s="252"/>
    </row>
    <row r="142" spans="1:3" s="254" customFormat="1">
      <c r="A142" s="252" t="s">
        <v>802</v>
      </c>
      <c r="C142" s="252"/>
    </row>
    <row r="143" spans="1:3">
      <c r="A143" s="252" t="s">
        <v>803</v>
      </c>
    </row>
    <row r="144" spans="1:3">
      <c r="A144" s="252" t="s">
        <v>804</v>
      </c>
    </row>
    <row r="145" spans="1:1">
      <c r="A145" s="252" t="s">
        <v>805</v>
      </c>
    </row>
    <row r="148" spans="1:1">
      <c r="A148" s="280" t="str">
        <f>"versie "&amp; Versie</f>
        <v>versie V 3.1</v>
      </c>
    </row>
    <row r="149" spans="1:1">
      <c r="A149" s="273"/>
    </row>
  </sheetData>
  <sheetProtection algorithmName="SHA-512" hashValue="DgnaUL1d+6s2kdFqylwMqiuHpWwByYuOnRlxTyzosAKNB3u80egiZtYRr2aKstciScY1FOcaUs2sEyzUSlwO+A==" saltValue="u73ehiDCMkho3hae9HtkRA==" spinCount="100000" sheet="1" objects="1" scenarios="1"/>
  <conditionalFormatting sqref="A1:E1048576">
    <cfRule type="expression" dxfId="7" priority="1">
      <formula>CELL("protect",A1)=18</formula>
    </cfRule>
  </conditionalFormatting>
  <hyperlinks>
    <hyperlink ref="A129" r:id="rId1" display="Alle subsidies op jouw locatie" xr:uid="{E611D7D1-B125-4D96-93AF-275C91476662}"/>
    <hyperlink ref="A128" r:id="rId2" xr:uid="{0CF7D40C-F8D4-4289-A081-94684E1FB233}"/>
    <hyperlink ref="A132" r:id="rId3" xr:uid="{1F04F68E-F4E0-4F3C-B5DA-08311ADDBA2B}"/>
    <hyperlink ref="A131:XFD131" r:id="rId4" display="Renteloze lening warmtefonds" xr:uid="{2F6629FB-EE32-4AC6-91A5-BEBEB9C9E6B0}"/>
    <hyperlink ref="A117" r:id="rId5" xr:uid="{4C802D62-918D-40A0-B109-7D30811DEA29}"/>
    <hyperlink ref="A130" r:id="rId6" xr:uid="{A4AB1482-B05D-4871-91BF-7BA1D2166141}"/>
    <hyperlink ref="A133" r:id="rId7" xr:uid="{47A78E50-CA27-4C7F-9B49-A07D264C6219}"/>
    <hyperlink ref="A134" r:id="rId8" xr:uid="{832435DF-2B3B-4055-88D8-CA768F31CF8F}"/>
    <hyperlink ref="A136" r:id="rId9" xr:uid="{BEF9454C-31F5-41B2-914A-F100A230A9D3}"/>
    <hyperlink ref="A135:XFD135" r:id="rId10" display="Aanvragen EnergieCoach" xr:uid="{908FDB1E-438E-4704-849A-B310332ABE49}"/>
    <hyperlink ref="A139" r:id="rId11" xr:uid="{FC40DD8B-C6D6-4456-9D98-483E00016DA4}"/>
    <hyperlink ref="A140" r:id="rId12" xr:uid="{AB4FF3FB-2097-4FB4-B2E8-2396E0BC9E91}"/>
    <hyperlink ref="A138" r:id="rId13" xr:uid="{8D81C760-AC9F-4229-895C-1A8E45FDDA92}"/>
    <hyperlink ref="A144" r:id="rId14" xr:uid="{830A8CA1-581B-41A4-B015-18F881D46FCE}"/>
    <hyperlink ref="A145" r:id="rId15" xr:uid="{6AE03AAC-65E1-4E2B-9281-8C905166C014}"/>
    <hyperlink ref="A143" r:id="rId16" xr:uid="{F8AF522D-BD12-45CE-BF8C-C1F902AECBBA}"/>
    <hyperlink ref="A142:XFD142" r:id="rId17" display="Presentatie Warmtepompen 2022" xr:uid="{66077D6B-F301-46CC-B2E7-3AE333E51837}"/>
    <hyperlink ref="A141:XFD141" r:id="rId18" display="Presentatie Zonnepanelen 2022" xr:uid="{F8AD569D-9C0F-49D1-BF6B-999328A537D1}"/>
    <hyperlink ref="A127" r:id="rId19" xr:uid="{694F0E24-872D-4AB8-B889-FAD560180017}"/>
  </hyperlinks>
  <pageMargins left="0.7" right="0.7" top="0.75" bottom="0.75" header="0.3" footer="0.3"/>
  <pageSetup paperSize="9" orientation="portrait" r:id="rId20"/>
  <headerFooter>
    <oddFooter>&amp;LEnergieCafé Mook en Middelaar&amp;CPagina &amp;P&amp;R&amp;D</oddFooter>
  </headerFooter>
  <rowBreaks count="3" manualBreakCount="3">
    <brk id="13" max="16383" man="1"/>
    <brk id="67" max="16383" man="1"/>
    <brk id="124" max="16383" man="1"/>
  </rowBreaks>
  <drawing r:id="rId21"/>
  <legacyDrawing r:id="rId22"/>
  <extLst>
    <ext xmlns:x14="http://schemas.microsoft.com/office/spreadsheetml/2009/9/main" uri="{CCE6A557-97BC-4b89-ADB6-D9C93CAAB3DF}">
      <x14:dataValidations xmlns:xm="http://schemas.microsoft.com/office/excel/2006/main" count="1">
        <x14:dataValidation type="list" allowBlank="1" showInputMessage="1" showErrorMessage="1" xr:uid="{E09ADFAB-5BC2-4955-BE94-11B716641218}">
          <x14:formula1>
            <xm:f>_Text!$A$4:$A$8</xm:f>
          </x14:formula1>
          <xm:sqref>C16:C29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54B5-78DA-44EA-858F-468537BBACCC}">
  <dimension ref="A1:G50"/>
  <sheetViews>
    <sheetView workbookViewId="0">
      <selection activeCell="B50" sqref="B50"/>
    </sheetView>
  </sheetViews>
  <sheetFormatPr defaultColWidth="8.7109375" defaultRowHeight="15"/>
  <cols>
    <col min="1" max="1" width="39.5703125" style="227" customWidth="1"/>
    <col min="2" max="2" width="72.140625" style="227" customWidth="1"/>
    <col min="3" max="4" width="8.7109375" style="227"/>
    <col min="5" max="16384" width="8.7109375" style="230"/>
  </cols>
  <sheetData>
    <row r="1" spans="1:7">
      <c r="A1" s="226" t="s">
        <v>941</v>
      </c>
      <c r="D1" s="228" t="s">
        <v>942</v>
      </c>
      <c r="E1" s="229" t="s">
        <v>943</v>
      </c>
      <c r="F1" s="229">
        <v>111</v>
      </c>
      <c r="G1" s="229" t="s">
        <v>944</v>
      </c>
    </row>
    <row r="2" spans="1:7">
      <c r="A2" s="231" t="s">
        <v>945</v>
      </c>
      <c r="B2" s="227" t="s">
        <v>946</v>
      </c>
      <c r="D2" s="228" t="s">
        <v>938</v>
      </c>
      <c r="E2" s="229" t="s">
        <v>947</v>
      </c>
      <c r="F2" s="229">
        <v>222</v>
      </c>
      <c r="G2" s="229" t="s">
        <v>948</v>
      </c>
    </row>
    <row r="3" spans="1:7">
      <c r="B3" s="227">
        <f>MATCH("Test",D1:D10,0)</f>
        <v>1</v>
      </c>
      <c r="D3" s="228" t="s">
        <v>949</v>
      </c>
      <c r="E3" s="229" t="s">
        <v>950</v>
      </c>
      <c r="F3" s="229">
        <v>333</v>
      </c>
      <c r="G3" s="229" t="s">
        <v>951</v>
      </c>
    </row>
    <row r="4" spans="1:7">
      <c r="A4" s="231" t="s">
        <v>952</v>
      </c>
      <c r="B4" s="227" t="s">
        <v>953</v>
      </c>
      <c r="D4" s="228" t="s">
        <v>942</v>
      </c>
      <c r="E4" s="229" t="s">
        <v>954</v>
      </c>
      <c r="F4" s="229">
        <v>444</v>
      </c>
      <c r="G4" s="229" t="s">
        <v>955</v>
      </c>
    </row>
    <row r="5" spans="1:7">
      <c r="B5" s="227" t="str">
        <f ca="1">INDIRECT("E"&amp;B3)</f>
        <v>Eerste</v>
      </c>
      <c r="D5" s="228" t="s">
        <v>956</v>
      </c>
      <c r="E5" s="229" t="s">
        <v>957</v>
      </c>
      <c r="F5" s="229">
        <v>555</v>
      </c>
      <c r="G5" s="229" t="s">
        <v>958</v>
      </c>
    </row>
    <row r="6" spans="1:7">
      <c r="A6" s="231" t="s">
        <v>959</v>
      </c>
      <c r="B6" s="227" t="s">
        <v>960</v>
      </c>
      <c r="D6" s="228" t="s">
        <v>938</v>
      </c>
      <c r="E6" s="229" t="s">
        <v>961</v>
      </c>
      <c r="F6" s="229">
        <v>666</v>
      </c>
      <c r="G6" s="229" t="s">
        <v>962</v>
      </c>
    </row>
    <row r="7" spans="1:7">
      <c r="B7" s="227">
        <f ca="1">MATCH("Test",     INDIRECT("D"&amp;(B3+1))    :D10,0)</f>
        <v>3</v>
      </c>
      <c r="D7" s="228" t="s">
        <v>942</v>
      </c>
      <c r="E7" s="229" t="s">
        <v>963</v>
      </c>
      <c r="F7" s="229">
        <v>777</v>
      </c>
      <c r="G7" s="229" t="s">
        <v>964</v>
      </c>
    </row>
    <row r="8" spans="1:7">
      <c r="A8" s="231" t="s">
        <v>965</v>
      </c>
      <c r="B8" s="227" t="s">
        <v>966</v>
      </c>
      <c r="D8" s="228" t="s">
        <v>942</v>
      </c>
      <c r="E8" s="229" t="s">
        <v>967</v>
      </c>
      <c r="F8" s="229">
        <v>888</v>
      </c>
      <c r="G8" s="229" t="s">
        <v>968</v>
      </c>
    </row>
    <row r="9" spans="1:7">
      <c r="B9" s="227">
        <f ca="1">B3 + MATCH("Test",     INDIRECT("D"&amp;(B3+1))    :D10,0)</f>
        <v>4</v>
      </c>
      <c r="D9" s="228" t="s">
        <v>938</v>
      </c>
      <c r="E9" s="229" t="s">
        <v>969</v>
      </c>
      <c r="F9" s="229">
        <v>999</v>
      </c>
      <c r="G9" s="229" t="s">
        <v>970</v>
      </c>
    </row>
    <row r="10" spans="1:7">
      <c r="A10" s="231" t="s">
        <v>971</v>
      </c>
    </row>
    <row r="11" spans="1:7">
      <c r="A11" s="227" t="s">
        <v>972</v>
      </c>
      <c r="B11" s="227">
        <f>MATCH("Test",D1:D10,0)</f>
        <v>1</v>
      </c>
      <c r="C11" s="227" t="str">
        <f ca="1">INDIRECT("E"&amp;B11)</f>
        <v>Eerste</v>
      </c>
    </row>
    <row r="12" spans="1:7">
      <c r="A12" s="227" t="s">
        <v>973</v>
      </c>
      <c r="B12" s="227">
        <f ca="1">B11 + MATCH("Test",     INDIRECT("D"&amp;(B11+1))    :D10,0)</f>
        <v>4</v>
      </c>
      <c r="C12" s="227" t="str">
        <f t="shared" ref="C12:C15" ca="1" si="0">INDIRECT("E"&amp;B12)</f>
        <v>Vierde</v>
      </c>
    </row>
    <row r="13" spans="1:7">
      <c r="A13" s="227" t="s">
        <v>974</v>
      </c>
      <c r="B13" s="227">
        <f ca="1">B12 + MATCH("Test",     INDIRECT("D"&amp;(B12+1))    :D10,0)</f>
        <v>7</v>
      </c>
      <c r="C13" s="227" t="str">
        <f t="shared" ca="1" si="0"/>
        <v>Zevende</v>
      </c>
    </row>
    <row r="14" spans="1:7">
      <c r="A14" s="227" t="s">
        <v>975</v>
      </c>
      <c r="B14" s="227">
        <f ca="1">B13 + MATCH("Test",     INDIRECT("D"&amp;(B13+1))    :D10,0)</f>
        <v>8</v>
      </c>
      <c r="C14" s="227" t="str">
        <f t="shared" ca="1" si="0"/>
        <v>Achtste</v>
      </c>
    </row>
    <row r="15" spans="1:7">
      <c r="A15" s="227" t="s">
        <v>976</v>
      </c>
      <c r="B15" s="227" t="e">
        <f ca="1">B14 + MATCH("Test",     INDIRECT("D"&amp;(B14+1))    :D10,0)</f>
        <v>#N/A</v>
      </c>
      <c r="C15" s="227" t="e">
        <f t="shared" ca="1" si="0"/>
        <v>#N/A</v>
      </c>
    </row>
    <row r="16" spans="1:7">
      <c r="A16" s="227" t="s">
        <v>977</v>
      </c>
      <c r="B16" s="227" t="s">
        <v>978</v>
      </c>
    </row>
    <row r="18" spans="1:3">
      <c r="A18" s="226" t="s">
        <v>979</v>
      </c>
    </row>
    <row r="19" spans="1:3">
      <c r="A19" s="231" t="s">
        <v>980</v>
      </c>
      <c r="B19" s="227" t="s">
        <v>981</v>
      </c>
    </row>
    <row r="20" spans="1:3">
      <c r="B20" s="227" t="str">
        <f>VLOOKUP("aap",D1:G9,2)</f>
        <v>Tweede</v>
      </c>
    </row>
    <row r="21" spans="1:3">
      <c r="A21" s="231" t="s">
        <v>982</v>
      </c>
      <c r="B21" s="227" t="s">
        <v>981</v>
      </c>
    </row>
    <row r="22" spans="1:3">
      <c r="B22" s="227">
        <f>VLOOKUP("aap",D1:G9,3)</f>
        <v>222</v>
      </c>
    </row>
    <row r="24" spans="1:3" ht="15.75">
      <c r="A24" s="226" t="s">
        <v>983</v>
      </c>
      <c r="B24" s="232"/>
      <c r="C24" s="232" t="s">
        <v>984</v>
      </c>
    </row>
    <row r="25" spans="1:3">
      <c r="A25" s="227" t="s">
        <v>985</v>
      </c>
      <c r="B25" s="227" t="str">
        <f>LEFT(C24, FIND(" ",C24)-1)</f>
        <v>0</v>
      </c>
      <c r="C25" s="227" t="str">
        <f>RIGHT(C24, LEN(C24)-FIND(" ",C24))</f>
        <v>64.000000 -64.097686 32.223286 4013.482422 0.602495 44.915873 END</v>
      </c>
    </row>
    <row r="26" spans="1:3">
      <c r="A26" s="227" t="s">
        <v>986</v>
      </c>
      <c r="B26" s="227" t="str">
        <f t="shared" ref="B26:B32" si="1">LEFT(C25, FIND(" ",C25)-1)</f>
        <v>64.000000</v>
      </c>
      <c r="C26" s="227" t="str">
        <f t="shared" ref="C26:C31" si="2">RIGHT(C25, LEN(C25)-FIND(" ",C25))</f>
        <v>-64.097686 32.223286 4013.482422 0.602495 44.915873 END</v>
      </c>
    </row>
    <row r="27" spans="1:3">
      <c r="B27" s="227" t="str">
        <f t="shared" si="1"/>
        <v>-64.097686</v>
      </c>
      <c r="C27" s="227" t="str">
        <f t="shared" si="2"/>
        <v>32.223286 4013.482422 0.602495 44.915873 END</v>
      </c>
    </row>
    <row r="28" spans="1:3">
      <c r="B28" s="227" t="str">
        <f t="shared" si="1"/>
        <v>32.223286</v>
      </c>
      <c r="C28" s="227" t="str">
        <f t="shared" si="2"/>
        <v>4013.482422 0.602495 44.915873 END</v>
      </c>
    </row>
    <row r="29" spans="1:3">
      <c r="B29" s="227" t="str">
        <f t="shared" si="1"/>
        <v>4013.482422</v>
      </c>
      <c r="C29" s="227" t="str">
        <f t="shared" si="2"/>
        <v>0.602495 44.915873 END</v>
      </c>
    </row>
    <row r="30" spans="1:3">
      <c r="B30" s="227" t="str">
        <f t="shared" si="1"/>
        <v>0.602495</v>
      </c>
      <c r="C30" s="227" t="str">
        <f t="shared" si="2"/>
        <v>44.915873 END</v>
      </c>
    </row>
    <row r="31" spans="1:3">
      <c r="B31" s="227" t="str">
        <f t="shared" si="1"/>
        <v>44.915873</v>
      </c>
      <c r="C31" s="227" t="str">
        <f t="shared" si="2"/>
        <v>END</v>
      </c>
    </row>
    <row r="32" spans="1:3">
      <c r="B32" s="227" t="e">
        <f t="shared" si="1"/>
        <v>#VALUE!</v>
      </c>
      <c r="C32" s="227" t="e">
        <f>RIGHT(C31, LEN(C31)-FIND(" ",C31))</f>
        <v>#VALUE!</v>
      </c>
    </row>
    <row r="33" spans="1:3">
      <c r="A33" s="227" t="s">
        <v>987</v>
      </c>
    </row>
    <row r="35" spans="1:3">
      <c r="A35" s="231" t="s">
        <v>988</v>
      </c>
    </row>
    <row r="36" spans="1:3">
      <c r="A36" s="227" t="s">
        <v>989</v>
      </c>
      <c r="B36" s="227">
        <f>FIND(" ",C24,FIND(" ",C24)+1)</f>
        <v>12</v>
      </c>
    </row>
    <row r="37" spans="1:3">
      <c r="A37" s="227" t="s">
        <v>990</v>
      </c>
      <c r="B37" s="227" t="str">
        <f>RIGHT(C24,LEN(C24)-B36)</f>
        <v>-64.097686 32.223286 4013.482422 0.602495 44.915873 END</v>
      </c>
    </row>
    <row r="38" spans="1:3">
      <c r="A38" s="231" t="s">
        <v>991</v>
      </c>
      <c r="B38" s="227" t="str">
        <f>LEFT(B37,FIND(" ",B37))</f>
        <v xml:space="preserve">-64.097686 </v>
      </c>
    </row>
    <row r="40" spans="1:3">
      <c r="A40" s="227" t="s">
        <v>992</v>
      </c>
      <c r="B40" s="227">
        <f>FIND(" ",B37,FIND(" ",B37)+1)</f>
        <v>21</v>
      </c>
    </row>
    <row r="41" spans="1:3">
      <c r="A41" s="227" t="s">
        <v>993</v>
      </c>
      <c r="B41" s="227" t="str">
        <f>RIGHT(B37,LEN(B37)-B40)</f>
        <v>4013.482422 0.602495 44.915873 END</v>
      </c>
    </row>
    <row r="42" spans="1:3">
      <c r="A42" s="231" t="s">
        <v>994</v>
      </c>
      <c r="B42" s="227" t="str">
        <f>LEFT(B41,FIND(" ",B41))</f>
        <v xml:space="preserve">4013.482422 </v>
      </c>
    </row>
    <row r="44" spans="1:3">
      <c r="A44" s="226" t="s">
        <v>995</v>
      </c>
      <c r="C44" s="227" t="s">
        <v>938</v>
      </c>
    </row>
    <row r="45" spans="1:3">
      <c r="A45" s="227" t="s">
        <v>997</v>
      </c>
      <c r="B45" s="227" t="str">
        <f>_xlfn.CONCAT( Truc_Range )</f>
        <v>aapbeercoaladonky</v>
      </c>
      <c r="C45" s="227" t="s">
        <v>949</v>
      </c>
    </row>
    <row r="46" spans="1:3">
      <c r="A46" s="227" t="s">
        <v>998</v>
      </c>
      <c r="B46" s="227" t="str">
        <f>_xlfn.TEXTJOIN( " ", TRUE, Truc_Range )</f>
        <v>aap beer coala donky</v>
      </c>
      <c r="C46" s="227" t="s">
        <v>939</v>
      </c>
    </row>
    <row r="47" spans="1:3" ht="60">
      <c r="A47" s="227" t="s">
        <v>999</v>
      </c>
      <c r="B47" s="233" t="str">
        <f>_xlfn.TEXTJOIN(" "&amp;CHAR(10), TRUE, Truc_Range )</f>
        <v>aap 
beer 
coala 
donky</v>
      </c>
      <c r="C47" s="227" t="s">
        <v>996</v>
      </c>
    </row>
    <row r="49" spans="1:2" ht="15.75">
      <c r="A49" s="235" t="s">
        <v>1032</v>
      </c>
      <c r="B49" s="236"/>
    </row>
    <row r="50" spans="1:2" ht="15.75">
      <c r="A50" s="236" t="s">
        <v>1033</v>
      </c>
      <c r="B50" s="236" t="str">
        <f ca="1">LEFT(CELL("filename",$A$1),FIND("[",CELL("filename",$A$1))-1)</f>
        <v>C:\E\NextCloud_Stef\Data\_Energie_Cafe\Warmtepomp\</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T34"/>
  <sheetViews>
    <sheetView workbookViewId="0">
      <selection activeCell="S20" sqref="S20"/>
    </sheetView>
  </sheetViews>
  <sheetFormatPr defaultColWidth="8.7109375" defaultRowHeight="14.25"/>
  <cols>
    <col min="1" max="1" width="23.42578125" style="16" customWidth="1"/>
    <col min="2" max="2" width="8.7109375" style="16"/>
    <col min="3" max="3" width="3.42578125" style="16" customWidth="1"/>
    <col min="4" max="4" width="11.5703125" style="16" customWidth="1"/>
    <col min="5" max="5" width="8.7109375" style="30"/>
    <col min="6" max="6" width="3.42578125" style="30" customWidth="1"/>
    <col min="7" max="8" width="8.7109375" style="16"/>
    <col min="9" max="9" width="3.28515625" style="16" customWidth="1"/>
    <col min="10" max="11" width="8.7109375" style="16"/>
    <col min="12" max="12" width="3.140625" style="16" customWidth="1"/>
    <col min="13" max="13" width="8.7109375" style="16"/>
    <col min="14" max="14" width="9.42578125" style="16" customWidth="1"/>
    <col min="15" max="15" width="3.28515625" style="16" customWidth="1"/>
    <col min="16" max="17" width="8.7109375" style="16"/>
    <col min="18" max="18" width="2.85546875" style="16" customWidth="1"/>
    <col min="19" max="16384" width="8.7109375" style="16"/>
  </cols>
  <sheetData>
    <row r="1" spans="1:20" ht="15">
      <c r="A1" s="10" t="s">
        <v>754</v>
      </c>
      <c r="B1" s="10" t="s">
        <v>755</v>
      </c>
      <c r="C1" s="10"/>
      <c r="D1" s="11" t="s">
        <v>756</v>
      </c>
      <c r="E1" s="12" t="s">
        <v>757</v>
      </c>
      <c r="F1" s="13"/>
      <c r="G1" s="14" t="s">
        <v>756</v>
      </c>
      <c r="H1" s="15" t="s">
        <v>757</v>
      </c>
      <c r="I1" s="10"/>
      <c r="J1" s="11" t="s">
        <v>756</v>
      </c>
      <c r="K1" s="12" t="s">
        <v>757</v>
      </c>
      <c r="L1" s="13"/>
      <c r="M1" s="14" t="s">
        <v>756</v>
      </c>
      <c r="N1" s="15" t="s">
        <v>757</v>
      </c>
      <c r="O1" s="10"/>
      <c r="P1" s="11" t="s">
        <v>756</v>
      </c>
      <c r="Q1" s="12" t="s">
        <v>757</v>
      </c>
      <c r="R1" s="13"/>
      <c r="S1" s="14" t="s">
        <v>756</v>
      </c>
      <c r="T1" s="15" t="s">
        <v>757</v>
      </c>
    </row>
    <row r="2" spans="1:20">
      <c r="A2" s="119" t="s">
        <v>73</v>
      </c>
      <c r="B2" s="17"/>
      <c r="C2" s="17"/>
      <c r="D2" s="18"/>
      <c r="E2" s="19"/>
      <c r="F2" s="20"/>
      <c r="G2" s="21"/>
      <c r="H2" s="22"/>
      <c r="I2" s="23"/>
      <c r="J2" s="18"/>
      <c r="K2" s="19"/>
      <c r="L2" s="20"/>
      <c r="M2" s="21"/>
      <c r="N2" s="22"/>
      <c r="O2" s="23"/>
      <c r="P2" s="18"/>
      <c r="Q2" s="19"/>
      <c r="R2" s="20"/>
      <c r="S2" s="21"/>
      <c r="T2" s="22"/>
    </row>
    <row r="3" spans="1:20">
      <c r="A3" s="17" t="s">
        <v>758</v>
      </c>
      <c r="B3" s="17">
        <v>0.6</v>
      </c>
      <c r="C3" s="17"/>
      <c r="D3" s="32">
        <v>10</v>
      </c>
      <c r="E3" s="19">
        <f>IF(ISBLANK(D3),"",0.01*D3/$B3)</f>
        <v>0.16666666666666669</v>
      </c>
      <c r="F3" s="20"/>
      <c r="G3" s="34">
        <v>10</v>
      </c>
      <c r="H3" s="22">
        <f>IF(ISBLANK(G3),"",0.01*G3/$B3)</f>
        <v>0.16666666666666669</v>
      </c>
      <c r="I3" s="23"/>
      <c r="J3" s="32">
        <v>10</v>
      </c>
      <c r="K3" s="19">
        <f>IF(ISBLANK(J3),"",0.01*J3/$B3)</f>
        <v>0.16666666666666669</v>
      </c>
      <c r="L3" s="20"/>
      <c r="M3" s="34">
        <v>10</v>
      </c>
      <c r="N3" s="22">
        <f>IF(ISBLANK(M3),"",0.01*M3/$B3)</f>
        <v>0.16666666666666669</v>
      </c>
      <c r="O3" s="23"/>
      <c r="P3" s="32"/>
      <c r="Q3" s="19" t="str">
        <f>IF(ISBLANK(P3),"",0.01*P3/$B3)</f>
        <v/>
      </c>
      <c r="R3" s="20"/>
      <c r="S3" s="34"/>
      <c r="T3" s="22" t="str">
        <f>IF(ISBLANK(S3),"",0.01*S3/$B3)</f>
        <v/>
      </c>
    </row>
    <row r="4" spans="1:20">
      <c r="A4" s="17" t="s">
        <v>759</v>
      </c>
      <c r="B4" s="17">
        <v>0.8</v>
      </c>
      <c r="C4" s="17"/>
      <c r="D4" s="32"/>
      <c r="E4" s="19" t="str">
        <f t="shared" ref="E4:H28" si="0">IF(ISBLANK(D4),"",0.01*D4/$B4)</f>
        <v/>
      </c>
      <c r="F4" s="20"/>
      <c r="G4" s="34"/>
      <c r="H4" s="22" t="str">
        <f t="shared" si="0"/>
        <v/>
      </c>
      <c r="I4" s="23"/>
      <c r="J4" s="32"/>
      <c r="K4" s="19" t="str">
        <f t="shared" ref="K4:K16" si="1">IF(ISBLANK(J4),"",0.01*J4/$B4)</f>
        <v/>
      </c>
      <c r="L4" s="20"/>
      <c r="M4" s="34"/>
      <c r="N4" s="22" t="str">
        <f t="shared" ref="N4:N16" si="2">IF(ISBLANK(M4),"",0.01*M4/$B4)</f>
        <v/>
      </c>
      <c r="O4" s="23"/>
      <c r="P4" s="32"/>
      <c r="Q4" s="19" t="str">
        <f t="shared" ref="Q4:Q16" si="3">IF(ISBLANK(P4),"",0.01*P4/$B4)</f>
        <v/>
      </c>
      <c r="R4" s="20"/>
      <c r="S4" s="34"/>
      <c r="T4" s="22" t="str">
        <f t="shared" ref="T4:T16" si="4">IF(ISBLANK(S4),"",0.01*S4/$B4)</f>
        <v/>
      </c>
    </row>
    <row r="5" spans="1:20">
      <c r="A5" s="17" t="s">
        <v>760</v>
      </c>
      <c r="B5" s="17">
        <v>1.3</v>
      </c>
      <c r="C5" s="17"/>
      <c r="D5" s="32"/>
      <c r="E5" s="19" t="str">
        <f t="shared" si="0"/>
        <v/>
      </c>
      <c r="F5" s="20"/>
      <c r="G5" s="34"/>
      <c r="H5" s="22" t="str">
        <f t="shared" si="0"/>
        <v/>
      </c>
      <c r="I5" s="23"/>
      <c r="J5" s="32"/>
      <c r="K5" s="19" t="str">
        <f t="shared" si="1"/>
        <v/>
      </c>
      <c r="L5" s="20"/>
      <c r="M5" s="34"/>
      <c r="N5" s="22" t="str">
        <f t="shared" si="2"/>
        <v/>
      </c>
      <c r="O5" s="23"/>
      <c r="P5" s="32"/>
      <c r="Q5" s="19" t="str">
        <f t="shared" si="3"/>
        <v/>
      </c>
      <c r="R5" s="20"/>
      <c r="S5" s="34"/>
      <c r="T5" s="22" t="str">
        <f t="shared" si="4"/>
        <v/>
      </c>
    </row>
    <row r="6" spans="1:20">
      <c r="A6" s="17" t="s">
        <v>761</v>
      </c>
      <c r="B6" s="17">
        <v>1</v>
      </c>
      <c r="C6" s="17"/>
      <c r="D6" s="32"/>
      <c r="E6" s="19" t="str">
        <f t="shared" si="0"/>
        <v/>
      </c>
      <c r="F6" s="20"/>
      <c r="G6" s="34"/>
      <c r="H6" s="22" t="str">
        <f t="shared" si="0"/>
        <v/>
      </c>
      <c r="I6" s="23"/>
      <c r="J6" s="32"/>
      <c r="K6" s="19" t="str">
        <f t="shared" si="1"/>
        <v/>
      </c>
      <c r="L6" s="20"/>
      <c r="M6" s="34"/>
      <c r="N6" s="22" t="str">
        <f t="shared" si="2"/>
        <v/>
      </c>
      <c r="O6" s="23"/>
      <c r="P6" s="32"/>
      <c r="Q6" s="19" t="str">
        <f t="shared" si="3"/>
        <v/>
      </c>
      <c r="R6" s="20"/>
      <c r="S6" s="34"/>
      <c r="T6" s="22" t="str">
        <f t="shared" si="4"/>
        <v/>
      </c>
    </row>
    <row r="7" spans="1:20">
      <c r="A7" s="17" t="s">
        <v>762</v>
      </c>
      <c r="B7" s="17">
        <v>0.1</v>
      </c>
      <c r="C7" s="17"/>
      <c r="D7" s="32"/>
      <c r="E7" s="19" t="str">
        <f t="shared" si="0"/>
        <v/>
      </c>
      <c r="F7" s="20"/>
      <c r="G7" s="34"/>
      <c r="H7" s="22" t="str">
        <f t="shared" si="0"/>
        <v/>
      </c>
      <c r="I7" s="23"/>
      <c r="J7" s="32"/>
      <c r="K7" s="19" t="str">
        <f t="shared" si="1"/>
        <v/>
      </c>
      <c r="L7" s="20"/>
      <c r="M7" s="34"/>
      <c r="N7" s="22" t="str">
        <f t="shared" si="2"/>
        <v/>
      </c>
      <c r="O7" s="23"/>
      <c r="P7" s="32"/>
      <c r="Q7" s="19" t="str">
        <f t="shared" si="3"/>
        <v/>
      </c>
      <c r="R7" s="20"/>
      <c r="S7" s="34"/>
      <c r="T7" s="22" t="str">
        <f t="shared" si="4"/>
        <v/>
      </c>
    </row>
    <row r="8" spans="1:20">
      <c r="A8" s="17" t="s">
        <v>763</v>
      </c>
      <c r="B8" s="17">
        <v>0.16</v>
      </c>
      <c r="C8" s="17"/>
      <c r="D8" s="32"/>
      <c r="E8" s="19" t="str">
        <f t="shared" si="0"/>
        <v/>
      </c>
      <c r="F8" s="20"/>
      <c r="G8" s="34"/>
      <c r="H8" s="22" t="str">
        <f t="shared" si="0"/>
        <v/>
      </c>
      <c r="I8" s="23"/>
      <c r="J8" s="32">
        <v>1</v>
      </c>
      <c r="K8" s="19">
        <f t="shared" si="1"/>
        <v>6.25E-2</v>
      </c>
      <c r="L8" s="20"/>
      <c r="M8" s="34"/>
      <c r="N8" s="22" t="str">
        <f t="shared" si="2"/>
        <v/>
      </c>
      <c r="O8" s="23"/>
      <c r="P8" s="32"/>
      <c r="Q8" s="19" t="str">
        <f t="shared" si="3"/>
        <v/>
      </c>
      <c r="R8" s="20"/>
      <c r="S8" s="34"/>
      <c r="T8" s="22" t="str">
        <f t="shared" si="4"/>
        <v/>
      </c>
    </row>
    <row r="9" spans="1:20">
      <c r="A9" s="17" t="s">
        <v>764</v>
      </c>
      <c r="B9" s="17">
        <v>3.5000000000000003E-2</v>
      </c>
      <c r="C9" s="17"/>
      <c r="D9" s="32">
        <v>10</v>
      </c>
      <c r="E9" s="19">
        <f t="shared" si="0"/>
        <v>2.8571428571428572</v>
      </c>
      <c r="F9" s="20"/>
      <c r="G9" s="34">
        <v>10</v>
      </c>
      <c r="H9" s="22">
        <f t="shared" si="0"/>
        <v>2.8571428571428572</v>
      </c>
      <c r="I9" s="23"/>
      <c r="J9" s="32"/>
      <c r="K9" s="19" t="str">
        <f t="shared" si="1"/>
        <v/>
      </c>
      <c r="L9" s="20"/>
      <c r="M9" s="34">
        <v>10</v>
      </c>
      <c r="N9" s="22">
        <f t="shared" si="2"/>
        <v>2.8571428571428572</v>
      </c>
      <c r="O9" s="23"/>
      <c r="P9" s="32"/>
      <c r="Q9" s="19" t="str">
        <f t="shared" si="3"/>
        <v/>
      </c>
      <c r="R9" s="20"/>
      <c r="S9" s="34"/>
      <c r="T9" s="22" t="str">
        <f t="shared" si="4"/>
        <v/>
      </c>
    </row>
    <row r="10" spans="1:20">
      <c r="A10" s="17" t="s">
        <v>765</v>
      </c>
      <c r="B10" s="17">
        <v>3.5000000000000003E-2</v>
      </c>
      <c r="C10" s="17"/>
      <c r="D10" s="32"/>
      <c r="E10" s="19" t="str">
        <f>IF(ISBLANK(D10),"",0.01*D10/$B10)</f>
        <v/>
      </c>
      <c r="F10" s="20"/>
      <c r="G10" s="34"/>
      <c r="H10" s="22" t="str">
        <f>IF(ISBLANK(G10),"",0.01*G10/$B10)</f>
        <v/>
      </c>
      <c r="I10" s="23"/>
      <c r="J10" s="32"/>
      <c r="K10" s="19" t="str">
        <f>IF(ISBLANK(J10),"",0.01*J10/$B10)</f>
        <v/>
      </c>
      <c r="L10" s="20"/>
      <c r="M10" s="34"/>
      <c r="N10" s="22" t="str">
        <f>IF(ISBLANK(M10),"",0.01*M10/$B10)</f>
        <v/>
      </c>
      <c r="O10" s="23"/>
      <c r="P10" s="32"/>
      <c r="Q10" s="19" t="str">
        <f>IF(ISBLANK(P10),"",0.01*P10/$B10)</f>
        <v/>
      </c>
      <c r="R10" s="20"/>
      <c r="S10" s="34"/>
      <c r="T10" s="22" t="str">
        <f>IF(ISBLANK(S10),"",0.01*S10/$B10)</f>
        <v/>
      </c>
    </row>
    <row r="11" spans="1:20">
      <c r="A11" s="219" t="s">
        <v>859</v>
      </c>
      <c r="B11" s="17">
        <v>3.5999999999999997E-2</v>
      </c>
      <c r="C11" s="17"/>
      <c r="D11" s="32"/>
      <c r="E11" s="19" t="str">
        <f>IF(ISBLANK(D11),"",0.01*D11/$B11)</f>
        <v/>
      </c>
      <c r="F11" s="20"/>
      <c r="G11" s="34"/>
      <c r="H11" s="22" t="str">
        <f>IF(ISBLANK(G11),"",0.01*G11/$B11)</f>
        <v/>
      </c>
      <c r="I11" s="23"/>
      <c r="J11" s="32"/>
      <c r="K11" s="19" t="str">
        <f>IF(ISBLANK(J11),"",0.01*J11/$B11)</f>
        <v/>
      </c>
      <c r="L11" s="20"/>
      <c r="M11" s="34"/>
      <c r="N11" s="22" t="str">
        <f>IF(ISBLANK(M11),"",0.01*M11/$B11)</f>
        <v/>
      </c>
      <c r="O11" s="23"/>
      <c r="P11" s="32"/>
      <c r="Q11" s="19" t="str">
        <f>IF(ISBLANK(P11),"",0.01*P11/$B11)</f>
        <v/>
      </c>
      <c r="R11" s="20"/>
      <c r="S11" s="34"/>
      <c r="T11" s="22" t="str">
        <f>IF(ISBLANK(S11),"",0.01*S11/$B11)</f>
        <v/>
      </c>
    </row>
    <row r="12" spans="1:20">
      <c r="A12" s="219" t="s">
        <v>860</v>
      </c>
      <c r="B12" s="17">
        <v>3.7999999999999999E-2</v>
      </c>
      <c r="C12" s="17"/>
      <c r="D12" s="32"/>
      <c r="E12" s="19" t="str">
        <f t="shared" ref="E12:E13" si="5">IF(ISBLANK(D12),"",0.01*D12/$B12)</f>
        <v/>
      </c>
      <c r="F12" s="20"/>
      <c r="G12" s="34"/>
      <c r="H12" s="22" t="str">
        <f>IF(ISBLANK(G12),"",0.01*G12/$B12)</f>
        <v/>
      </c>
      <c r="I12" s="23"/>
      <c r="J12" s="32"/>
      <c r="K12" s="19" t="str">
        <f>IF(ISBLANK(J12),"",0.01*J12/$B12)</f>
        <v/>
      </c>
      <c r="L12" s="20"/>
      <c r="M12" s="34"/>
      <c r="N12" s="22" t="str">
        <f>IF(ISBLANK(M12),"",0.01*M12/$B12)</f>
        <v/>
      </c>
      <c r="O12" s="23"/>
      <c r="P12" s="32"/>
      <c r="Q12" s="19" t="str">
        <f>IF(ISBLANK(P12),"",0.01*P12/$B12)</f>
        <v/>
      </c>
      <c r="R12" s="20"/>
      <c r="S12" s="34"/>
      <c r="T12" s="22" t="str">
        <f>IF(ISBLANK(S12),"",0.01*S12/$B12)</f>
        <v/>
      </c>
    </row>
    <row r="13" spans="1:20">
      <c r="A13" s="219" t="s">
        <v>861</v>
      </c>
      <c r="B13" s="17">
        <v>0.04</v>
      </c>
      <c r="C13" s="17"/>
      <c r="D13" s="32"/>
      <c r="E13" s="19" t="str">
        <f t="shared" si="5"/>
        <v/>
      </c>
      <c r="F13" s="20"/>
      <c r="G13" s="34"/>
      <c r="H13" s="22" t="str">
        <f>IF(ISBLANK(G13),"",0.01*G13/$B13)</f>
        <v/>
      </c>
      <c r="I13" s="23"/>
      <c r="J13" s="32"/>
      <c r="K13" s="19" t="str">
        <f>IF(ISBLANK(J13),"",0.01*J13/$B13)</f>
        <v/>
      </c>
      <c r="L13" s="20"/>
      <c r="M13" s="34"/>
      <c r="N13" s="22" t="str">
        <f>IF(ISBLANK(M13),"",0.01*M13/$B13)</f>
        <v/>
      </c>
      <c r="O13" s="23"/>
      <c r="P13" s="32"/>
      <c r="Q13" s="19" t="str">
        <f>IF(ISBLANK(P13),"",0.01*P13/$B13)</f>
        <v/>
      </c>
      <c r="R13" s="20"/>
      <c r="S13" s="34"/>
      <c r="T13" s="22" t="str">
        <f>IF(ISBLANK(S13),"",0.01*S13/$B13)</f>
        <v/>
      </c>
    </row>
    <row r="14" spans="1:20">
      <c r="A14" s="17" t="s">
        <v>766</v>
      </c>
      <c r="B14" s="17">
        <v>0.13</v>
      </c>
      <c r="C14" s="17"/>
      <c r="D14" s="32">
        <v>2</v>
      </c>
      <c r="E14" s="19">
        <f t="shared" si="0"/>
        <v>0.15384615384615385</v>
      </c>
      <c r="F14" s="20"/>
      <c r="G14" s="34"/>
      <c r="H14" s="22" t="str">
        <f t="shared" si="0"/>
        <v/>
      </c>
      <c r="I14" s="23"/>
      <c r="J14" s="32"/>
      <c r="K14" s="19" t="str">
        <f t="shared" si="1"/>
        <v/>
      </c>
      <c r="L14" s="20"/>
      <c r="M14" s="34"/>
      <c r="N14" s="22" t="str">
        <f t="shared" si="2"/>
        <v/>
      </c>
      <c r="O14" s="23"/>
      <c r="P14" s="32"/>
      <c r="Q14" s="19" t="str">
        <f t="shared" si="3"/>
        <v/>
      </c>
      <c r="R14" s="20"/>
      <c r="S14" s="34"/>
      <c r="T14" s="22" t="str">
        <f t="shared" si="4"/>
        <v/>
      </c>
    </row>
    <row r="15" spans="1:20">
      <c r="A15" s="17" t="s">
        <v>767</v>
      </c>
      <c r="B15" s="17">
        <v>0.19</v>
      </c>
      <c r="C15" s="17"/>
      <c r="D15" s="32"/>
      <c r="E15" s="19" t="str">
        <f t="shared" si="0"/>
        <v/>
      </c>
      <c r="F15" s="20"/>
      <c r="G15" s="34"/>
      <c r="H15" s="22" t="str">
        <f t="shared" si="0"/>
        <v/>
      </c>
      <c r="I15" s="23"/>
      <c r="J15" s="32"/>
      <c r="K15" s="19" t="str">
        <f t="shared" si="1"/>
        <v/>
      </c>
      <c r="L15" s="20"/>
      <c r="M15" s="34"/>
      <c r="N15" s="22" t="str">
        <f t="shared" si="2"/>
        <v/>
      </c>
      <c r="O15" s="23"/>
      <c r="P15" s="32"/>
      <c r="Q15" s="19" t="str">
        <f t="shared" si="3"/>
        <v/>
      </c>
      <c r="R15" s="20"/>
      <c r="S15" s="34"/>
      <c r="T15" s="22" t="str">
        <f t="shared" si="4"/>
        <v/>
      </c>
    </row>
    <row r="16" spans="1:20">
      <c r="A16" s="17" t="s">
        <v>768</v>
      </c>
      <c r="B16" s="17">
        <v>1.4</v>
      </c>
      <c r="C16" s="17"/>
      <c r="D16" s="32">
        <v>10</v>
      </c>
      <c r="E16" s="19">
        <f t="shared" si="0"/>
        <v>7.1428571428571438E-2</v>
      </c>
      <c r="F16" s="20"/>
      <c r="G16" s="34">
        <v>10</v>
      </c>
      <c r="H16" s="22">
        <f t="shared" si="0"/>
        <v>7.1428571428571438E-2</v>
      </c>
      <c r="I16" s="23"/>
      <c r="J16" s="32">
        <v>10</v>
      </c>
      <c r="K16" s="19">
        <f t="shared" si="1"/>
        <v>7.1428571428571438E-2</v>
      </c>
      <c r="L16" s="20"/>
      <c r="M16" s="34">
        <v>10</v>
      </c>
      <c r="N16" s="22">
        <f t="shared" si="2"/>
        <v>7.1428571428571438E-2</v>
      </c>
      <c r="O16" s="23"/>
      <c r="P16" s="32"/>
      <c r="Q16" s="19" t="str">
        <f t="shared" si="3"/>
        <v/>
      </c>
      <c r="R16" s="20"/>
      <c r="S16" s="34"/>
      <c r="T16" s="22" t="str">
        <f t="shared" si="4"/>
        <v/>
      </c>
    </row>
    <row r="17" spans="1:20">
      <c r="A17" s="17" t="s">
        <v>769</v>
      </c>
      <c r="B17" s="17"/>
      <c r="C17" s="17"/>
      <c r="D17" s="32"/>
      <c r="E17" s="19" t="str">
        <f>IF(ISBLANK(D17),"",0.18)</f>
        <v/>
      </c>
      <c r="F17" s="20"/>
      <c r="G17" s="34"/>
      <c r="H17" s="22" t="str">
        <f>IF(ISBLANK(G17),"",0.18)</f>
        <v/>
      </c>
      <c r="I17" s="23"/>
      <c r="J17" s="32" t="s">
        <v>446</v>
      </c>
      <c r="K17" s="19">
        <f>IF(ISBLANK(J17),"",0.18)</f>
        <v>0.18</v>
      </c>
      <c r="L17" s="20"/>
      <c r="M17" s="34"/>
      <c r="N17" s="22" t="str">
        <f>IF(ISBLANK(M17),"",0.18)</f>
        <v/>
      </c>
      <c r="O17" s="23"/>
      <c r="P17" s="32"/>
      <c r="Q17" s="19" t="str">
        <f>IF(ISBLANK(P17),"",0.18)</f>
        <v/>
      </c>
      <c r="R17" s="20"/>
      <c r="S17" s="34"/>
      <c r="T17" s="22" t="str">
        <f>IF(ISBLANK(S17),"",0.18)</f>
        <v/>
      </c>
    </row>
    <row r="18" spans="1:20">
      <c r="A18" s="17" t="s">
        <v>770</v>
      </c>
      <c r="B18" s="17">
        <v>3.5999999999999997E-2</v>
      </c>
      <c r="C18" s="17"/>
      <c r="D18" s="32"/>
      <c r="E18" s="19" t="str">
        <f t="shared" si="0"/>
        <v/>
      </c>
      <c r="F18" s="20"/>
      <c r="G18" s="34"/>
      <c r="H18" s="22" t="str">
        <f t="shared" si="0"/>
        <v/>
      </c>
      <c r="I18" s="23"/>
      <c r="J18" s="32"/>
      <c r="K18" s="19" t="str">
        <f t="shared" ref="K18:K28" si="6">IF(ISBLANK(J18),"",0.01*J18/$B18)</f>
        <v/>
      </c>
      <c r="L18" s="20"/>
      <c r="M18" s="34"/>
      <c r="N18" s="22" t="str">
        <f t="shared" ref="N18:N28" si="7">IF(ISBLANK(M18),"",0.01*M18/$B18)</f>
        <v/>
      </c>
      <c r="O18" s="23"/>
      <c r="P18" s="32"/>
      <c r="Q18" s="19" t="str">
        <f t="shared" ref="Q18:Q28" si="8">IF(ISBLANK(P18),"",0.01*P18/$B18)</f>
        <v/>
      </c>
      <c r="R18" s="20"/>
      <c r="S18" s="34"/>
      <c r="T18" s="22" t="str">
        <f t="shared" ref="T18:T28" si="9">IF(ISBLANK(S18),"",0.01*S18/$B18)</f>
        <v/>
      </c>
    </row>
    <row r="19" spans="1:20">
      <c r="A19" s="17" t="s">
        <v>771</v>
      </c>
      <c r="B19" s="17">
        <v>2.1999999999999999E-2</v>
      </c>
      <c r="C19" s="17"/>
      <c r="D19" s="32"/>
      <c r="E19" s="19" t="str">
        <f t="shared" si="0"/>
        <v/>
      </c>
      <c r="F19" s="20"/>
      <c r="G19" s="34"/>
      <c r="H19" s="22" t="str">
        <f t="shared" si="0"/>
        <v/>
      </c>
      <c r="I19" s="23"/>
      <c r="J19" s="32"/>
      <c r="K19" s="19" t="str">
        <f t="shared" si="6"/>
        <v/>
      </c>
      <c r="L19" s="20"/>
      <c r="M19" s="34"/>
      <c r="N19" s="22" t="str">
        <f t="shared" si="7"/>
        <v/>
      </c>
      <c r="O19" s="23"/>
      <c r="P19" s="32"/>
      <c r="Q19" s="19" t="str">
        <f t="shared" si="8"/>
        <v/>
      </c>
      <c r="R19" s="20"/>
      <c r="S19" s="34">
        <v>8</v>
      </c>
      <c r="T19" s="22">
        <f t="shared" si="9"/>
        <v>3.6363636363636367</v>
      </c>
    </row>
    <row r="20" spans="1:20">
      <c r="A20" s="17" t="s">
        <v>772</v>
      </c>
      <c r="B20" s="17">
        <v>2.7E-2</v>
      </c>
      <c r="C20" s="17"/>
      <c r="D20" s="32"/>
      <c r="E20" s="19" t="str">
        <f t="shared" si="0"/>
        <v/>
      </c>
      <c r="F20" s="20"/>
      <c r="G20" s="34"/>
      <c r="H20" s="22" t="str">
        <f t="shared" si="0"/>
        <v/>
      </c>
      <c r="I20" s="23"/>
      <c r="J20" s="32"/>
      <c r="K20" s="19" t="str">
        <f t="shared" si="6"/>
        <v/>
      </c>
      <c r="L20" s="20"/>
      <c r="M20" s="34"/>
      <c r="N20" s="22" t="str">
        <f t="shared" si="7"/>
        <v/>
      </c>
      <c r="O20" s="23"/>
      <c r="P20" s="32"/>
      <c r="Q20" s="19" t="str">
        <f t="shared" si="8"/>
        <v/>
      </c>
      <c r="R20" s="20"/>
      <c r="S20" s="34"/>
      <c r="T20" s="22" t="str">
        <f t="shared" si="9"/>
        <v/>
      </c>
    </row>
    <row r="21" spans="1:20">
      <c r="A21" s="17" t="s">
        <v>773</v>
      </c>
      <c r="B21" s="17">
        <v>3.5999999999999997E-2</v>
      </c>
      <c r="C21" s="17"/>
      <c r="D21" s="32"/>
      <c r="E21" s="19" t="str">
        <f t="shared" si="0"/>
        <v/>
      </c>
      <c r="F21" s="20"/>
      <c r="G21" s="34"/>
      <c r="H21" s="22" t="str">
        <f t="shared" si="0"/>
        <v/>
      </c>
      <c r="I21" s="23"/>
      <c r="J21" s="32"/>
      <c r="K21" s="19" t="str">
        <f t="shared" si="6"/>
        <v/>
      </c>
      <c r="L21" s="20"/>
      <c r="M21" s="34"/>
      <c r="N21" s="22" t="str">
        <f t="shared" si="7"/>
        <v/>
      </c>
      <c r="O21" s="23"/>
      <c r="P21" s="32"/>
      <c r="Q21" s="19" t="str">
        <f t="shared" si="8"/>
        <v/>
      </c>
      <c r="R21" s="20"/>
      <c r="S21" s="34"/>
      <c r="T21" s="22" t="str">
        <f t="shared" si="9"/>
        <v/>
      </c>
    </row>
    <row r="22" spans="1:20">
      <c r="A22" s="17" t="s">
        <v>774</v>
      </c>
      <c r="B22" s="17">
        <v>1.35E-2</v>
      </c>
      <c r="C22" s="17"/>
      <c r="D22" s="32"/>
      <c r="E22" s="19" t="str">
        <f t="shared" si="0"/>
        <v/>
      </c>
      <c r="F22" s="20"/>
      <c r="G22" s="34"/>
      <c r="H22" s="22" t="str">
        <f t="shared" si="0"/>
        <v/>
      </c>
      <c r="I22" s="23"/>
      <c r="J22" s="32"/>
      <c r="K22" s="19" t="str">
        <f t="shared" si="6"/>
        <v/>
      </c>
      <c r="L22" s="20"/>
      <c r="M22" s="34"/>
      <c r="N22" s="22" t="str">
        <f t="shared" si="7"/>
        <v/>
      </c>
      <c r="O22" s="23"/>
      <c r="P22" s="32"/>
      <c r="Q22" s="19" t="str">
        <f t="shared" si="8"/>
        <v/>
      </c>
      <c r="R22" s="20"/>
      <c r="S22" s="34"/>
      <c r="T22" s="22" t="str">
        <f t="shared" si="9"/>
        <v/>
      </c>
    </row>
    <row r="23" spans="1:20">
      <c r="A23" s="33"/>
      <c r="B23" s="33"/>
      <c r="C23" s="17"/>
      <c r="D23" s="32"/>
      <c r="E23" s="19" t="str">
        <f t="shared" si="0"/>
        <v/>
      </c>
      <c r="F23" s="20"/>
      <c r="G23" s="34"/>
      <c r="H23" s="22" t="str">
        <f t="shared" si="0"/>
        <v/>
      </c>
      <c r="I23" s="23"/>
      <c r="J23" s="32"/>
      <c r="K23" s="19" t="str">
        <f t="shared" si="6"/>
        <v/>
      </c>
      <c r="L23" s="20"/>
      <c r="M23" s="34"/>
      <c r="N23" s="22" t="str">
        <f t="shared" si="7"/>
        <v/>
      </c>
      <c r="O23" s="23"/>
      <c r="P23" s="32"/>
      <c r="Q23" s="19" t="str">
        <f t="shared" si="8"/>
        <v/>
      </c>
      <c r="R23" s="20"/>
      <c r="S23" s="34"/>
      <c r="T23" s="22" t="str">
        <f t="shared" si="9"/>
        <v/>
      </c>
    </row>
    <row r="24" spans="1:20">
      <c r="A24" s="33"/>
      <c r="B24" s="33"/>
      <c r="C24" s="17"/>
      <c r="D24" s="32"/>
      <c r="E24" s="19" t="str">
        <f t="shared" si="0"/>
        <v/>
      </c>
      <c r="F24" s="20"/>
      <c r="G24" s="34"/>
      <c r="H24" s="22" t="str">
        <f t="shared" si="0"/>
        <v/>
      </c>
      <c r="I24" s="23"/>
      <c r="J24" s="32"/>
      <c r="K24" s="19" t="str">
        <f t="shared" si="6"/>
        <v/>
      </c>
      <c r="L24" s="20"/>
      <c r="M24" s="34"/>
      <c r="N24" s="22" t="str">
        <f t="shared" si="7"/>
        <v/>
      </c>
      <c r="O24" s="23"/>
      <c r="P24" s="32"/>
      <c r="Q24" s="19" t="str">
        <f t="shared" si="8"/>
        <v/>
      </c>
      <c r="R24" s="20"/>
      <c r="S24" s="34"/>
      <c r="T24" s="22" t="str">
        <f t="shared" si="9"/>
        <v/>
      </c>
    </row>
    <row r="25" spans="1:20">
      <c r="A25" s="33"/>
      <c r="B25" s="33"/>
      <c r="C25" s="17"/>
      <c r="D25" s="32"/>
      <c r="E25" s="19" t="str">
        <f t="shared" si="0"/>
        <v/>
      </c>
      <c r="F25" s="20"/>
      <c r="G25" s="34"/>
      <c r="H25" s="22" t="str">
        <f t="shared" si="0"/>
        <v/>
      </c>
      <c r="I25" s="23"/>
      <c r="J25" s="32"/>
      <c r="K25" s="19" t="str">
        <f t="shared" si="6"/>
        <v/>
      </c>
      <c r="L25" s="20"/>
      <c r="M25" s="34"/>
      <c r="N25" s="22" t="str">
        <f t="shared" si="7"/>
        <v/>
      </c>
      <c r="O25" s="23"/>
      <c r="P25" s="32"/>
      <c r="Q25" s="19" t="str">
        <f t="shared" si="8"/>
        <v/>
      </c>
      <c r="R25" s="20"/>
      <c r="S25" s="34"/>
      <c r="T25" s="22" t="str">
        <f t="shared" si="9"/>
        <v/>
      </c>
    </row>
    <row r="26" spans="1:20">
      <c r="A26" s="33"/>
      <c r="B26" s="33"/>
      <c r="C26" s="17"/>
      <c r="D26" s="32"/>
      <c r="E26" s="19" t="str">
        <f t="shared" si="0"/>
        <v/>
      </c>
      <c r="F26" s="20"/>
      <c r="G26" s="34"/>
      <c r="H26" s="22" t="str">
        <f t="shared" si="0"/>
        <v/>
      </c>
      <c r="I26" s="23"/>
      <c r="J26" s="32"/>
      <c r="K26" s="19" t="str">
        <f t="shared" si="6"/>
        <v/>
      </c>
      <c r="L26" s="20"/>
      <c r="M26" s="34"/>
      <c r="N26" s="22" t="str">
        <f t="shared" si="7"/>
        <v/>
      </c>
      <c r="O26" s="23"/>
      <c r="P26" s="32"/>
      <c r="Q26" s="19" t="str">
        <f t="shared" si="8"/>
        <v/>
      </c>
      <c r="R26" s="20"/>
      <c r="S26" s="34"/>
      <c r="T26" s="22" t="str">
        <f t="shared" si="9"/>
        <v/>
      </c>
    </row>
    <row r="27" spans="1:20">
      <c r="A27" s="33"/>
      <c r="B27" s="33"/>
      <c r="C27" s="17"/>
      <c r="D27" s="32"/>
      <c r="E27" s="19" t="str">
        <f t="shared" si="0"/>
        <v/>
      </c>
      <c r="F27" s="20"/>
      <c r="G27" s="34"/>
      <c r="H27" s="22" t="str">
        <f t="shared" si="0"/>
        <v/>
      </c>
      <c r="I27" s="23"/>
      <c r="J27" s="32"/>
      <c r="K27" s="19" t="str">
        <f t="shared" si="6"/>
        <v/>
      </c>
      <c r="L27" s="20"/>
      <c r="M27" s="34"/>
      <c r="N27" s="22" t="str">
        <f t="shared" si="7"/>
        <v/>
      </c>
      <c r="O27" s="23"/>
      <c r="P27" s="32"/>
      <c r="Q27" s="19" t="str">
        <f t="shared" si="8"/>
        <v/>
      </c>
      <c r="R27" s="20"/>
      <c r="S27" s="34"/>
      <c r="T27" s="22" t="str">
        <f t="shared" si="9"/>
        <v/>
      </c>
    </row>
    <row r="28" spans="1:20">
      <c r="A28" s="33"/>
      <c r="B28" s="33"/>
      <c r="C28" s="17"/>
      <c r="D28" s="32"/>
      <c r="E28" s="19" t="str">
        <f t="shared" si="0"/>
        <v/>
      </c>
      <c r="F28" s="20"/>
      <c r="G28" s="34"/>
      <c r="H28" s="22" t="str">
        <f t="shared" si="0"/>
        <v/>
      </c>
      <c r="I28" s="23"/>
      <c r="J28" s="32"/>
      <c r="K28" s="19" t="str">
        <f t="shared" si="6"/>
        <v/>
      </c>
      <c r="L28" s="20"/>
      <c r="M28" s="34"/>
      <c r="N28" s="22" t="str">
        <f t="shared" si="7"/>
        <v/>
      </c>
      <c r="O28" s="23"/>
      <c r="P28" s="32"/>
      <c r="Q28" s="19" t="str">
        <f t="shared" si="8"/>
        <v/>
      </c>
      <c r="R28" s="20"/>
      <c r="S28" s="34"/>
      <c r="T28" s="22" t="str">
        <f t="shared" si="9"/>
        <v/>
      </c>
    </row>
    <row r="29" spans="1:20">
      <c r="A29" s="17" t="s">
        <v>775</v>
      </c>
      <c r="B29" s="17"/>
      <c r="C29" s="17"/>
      <c r="D29" s="35" t="s">
        <v>76</v>
      </c>
      <c r="E29" s="24">
        <f>VLOOKUP(D29,Rsie_T,4)</f>
        <v>0.17</v>
      </c>
      <c r="F29" s="25"/>
      <c r="G29" s="34" t="s">
        <v>76</v>
      </c>
      <c r="H29" s="186">
        <f>VLOOKUP(G29,Rsie_T,4)</f>
        <v>0.17</v>
      </c>
      <c r="I29" s="23"/>
      <c r="J29" s="35" t="s">
        <v>24</v>
      </c>
      <c r="K29" s="24">
        <f>VLOOKUP(J29,Rsie_T,4)</f>
        <v>0.14000000000000001</v>
      </c>
      <c r="L29" s="25"/>
      <c r="M29" s="34" t="s">
        <v>76</v>
      </c>
      <c r="N29" s="186">
        <f>VLOOKUP(M29,Rsie_T,4)</f>
        <v>0.17</v>
      </c>
      <c r="O29" s="23"/>
      <c r="P29" s="35" t="s">
        <v>76</v>
      </c>
      <c r="Q29" s="24">
        <f>VLOOKUP(P29,Rsie_T,4)</f>
        <v>0.17</v>
      </c>
      <c r="R29" s="25"/>
      <c r="S29" s="34" t="s">
        <v>17</v>
      </c>
      <c r="T29" s="186">
        <f>VLOOKUP(S29,Rsie_T,4)</f>
        <v>0.34</v>
      </c>
    </row>
    <row r="30" spans="1:20" ht="15">
      <c r="A30" s="26" t="s">
        <v>776</v>
      </c>
      <c r="B30" s="26"/>
      <c r="C30" s="26"/>
      <c r="D30" s="26">
        <f>SUM(D2:D29)</f>
        <v>32</v>
      </c>
      <c r="E30" s="27">
        <f>SUM(E2:E29)</f>
        <v>3.419084249084249</v>
      </c>
      <c r="F30" s="27"/>
      <c r="G30" s="26">
        <f>SUM(G2:G29)</f>
        <v>30</v>
      </c>
      <c r="H30" s="27">
        <f>SUM(H2:H29)</f>
        <v>3.2652380952380953</v>
      </c>
      <c r="I30" s="26"/>
      <c r="J30" s="26">
        <f>SUM(J2:J29)</f>
        <v>21</v>
      </c>
      <c r="K30" s="27">
        <f>SUM(K2:K29)</f>
        <v>0.6205952380952382</v>
      </c>
      <c r="L30" s="27"/>
      <c r="M30" s="26">
        <f>SUM(M2:M29)</f>
        <v>30</v>
      </c>
      <c r="N30" s="27">
        <f>SUM(N2:N29)</f>
        <v>3.2652380952380953</v>
      </c>
      <c r="O30" s="26"/>
      <c r="P30" s="26">
        <f>SUM(P2:P29)</f>
        <v>0</v>
      </c>
      <c r="Q30" s="27">
        <f>SUM(Q2:Q29)</f>
        <v>0.17</v>
      </c>
      <c r="R30" s="27"/>
      <c r="S30" s="26">
        <f>SUM(S2:S29)</f>
        <v>8</v>
      </c>
      <c r="T30" s="27">
        <f>SUM(T2:T29)</f>
        <v>3.9763636363636365</v>
      </c>
    </row>
    <row r="31" spans="1:20" s="29" customFormat="1" ht="15">
      <c r="A31" s="10" t="s">
        <v>777</v>
      </c>
      <c r="B31" s="10"/>
      <c r="C31" s="10"/>
      <c r="D31" s="419" t="s">
        <v>778</v>
      </c>
      <c r="E31" s="419"/>
      <c r="F31" s="28"/>
      <c r="G31" s="419" t="s">
        <v>779</v>
      </c>
      <c r="H31" s="419"/>
      <c r="I31" s="10"/>
      <c r="J31" s="419" t="s">
        <v>780</v>
      </c>
      <c r="K31" s="419"/>
      <c r="L31" s="10"/>
      <c r="M31" s="419" t="s">
        <v>781</v>
      </c>
      <c r="N31" s="419"/>
      <c r="O31" s="10"/>
      <c r="P31" s="419" t="s">
        <v>782</v>
      </c>
      <c r="Q31" s="419"/>
      <c r="R31" s="10"/>
      <c r="S31" s="419" t="s">
        <v>783</v>
      </c>
      <c r="T31" s="419"/>
    </row>
    <row r="33" spans="1:1">
      <c r="A33" s="16" t="s">
        <v>862</v>
      </c>
    </row>
    <row r="34" spans="1:1">
      <c r="A34" s="16" t="s">
        <v>784</v>
      </c>
    </row>
  </sheetData>
  <sheetProtection algorithmName="SHA-512" hashValue="6hJ6hAWDhz1fJwSL41Sv75G7dVp1LEtzrd1lExoFPi+HpSkwkXVI6wOr1/Jw5xGvIZ0m+HVbGj5U0nQcuqZ6iA==" saltValue="p6ZCTejgSJ/wBAm7J0LNqw==" spinCount="100000" sheet="1" objects="1" scenarios="1"/>
  <mergeCells count="6">
    <mergeCell ref="S31:T31"/>
    <mergeCell ref="D31:E31"/>
    <mergeCell ref="G31:H31"/>
    <mergeCell ref="J31:K31"/>
    <mergeCell ref="M31:N31"/>
    <mergeCell ref="P31:Q31"/>
  </mergeCells>
  <conditionalFormatting sqref="A1:Z1048576">
    <cfRule type="expression" dxfId="6" priority="1">
      <formula>CELL("protect",A1)=18</formula>
    </cfRule>
  </conditionalFormatting>
  <dataValidations count="2">
    <dataValidation showInputMessage="1" showErrorMessage="1" sqref="E29:F29 N29 Q29:R29 H29 K29:L29 T29" xr:uid="{00000000-0002-0000-0300-000000000000}"/>
    <dataValidation type="list" showInputMessage="1" showErrorMessage="1" sqref="D29 G29 M29 J29 S29 P29" xr:uid="{2114698C-2414-4E82-A2D0-3C8B2B92EE6E}">
      <formula1>Rsie_L</formula1>
    </dataValidation>
  </dataValidations>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9A4A7-7861-47A0-8254-F7158815E625}">
  <dimension ref="A1:H12"/>
  <sheetViews>
    <sheetView workbookViewId="0">
      <selection activeCell="I18" sqref="I18"/>
    </sheetView>
  </sheetViews>
  <sheetFormatPr defaultRowHeight="12.75"/>
  <cols>
    <col min="1" max="1" width="19" customWidth="1"/>
  </cols>
  <sheetData>
    <row r="1" spans="1:8" ht="21" thickBot="1">
      <c r="A1" s="421" t="s">
        <v>840</v>
      </c>
      <c r="B1" s="421"/>
      <c r="C1" s="421"/>
      <c r="D1" s="421"/>
      <c r="E1" s="421"/>
      <c r="F1" s="421"/>
    </row>
    <row r="3" spans="1:8" ht="15.75">
      <c r="A3" s="281" t="s">
        <v>841</v>
      </c>
      <c r="B3" s="286">
        <v>860</v>
      </c>
      <c r="D3" s="422" t="s">
        <v>833</v>
      </c>
      <c r="E3" s="422"/>
      <c r="F3" s="422"/>
      <c r="H3" s="244" t="s">
        <v>73</v>
      </c>
    </row>
    <row r="4" spans="1:8">
      <c r="A4" s="281" t="s">
        <v>842</v>
      </c>
      <c r="B4" s="286">
        <v>1125</v>
      </c>
      <c r="D4" s="423" t="s">
        <v>843</v>
      </c>
      <c r="E4" s="423"/>
      <c r="F4" s="423"/>
    </row>
    <row r="5" spans="1:8">
      <c r="A5" s="281" t="s">
        <v>844</v>
      </c>
      <c r="B5" s="286">
        <v>40</v>
      </c>
      <c r="D5" s="424" t="s">
        <v>164</v>
      </c>
      <c r="E5" s="424"/>
      <c r="F5" s="424"/>
    </row>
    <row r="6" spans="1:8">
      <c r="A6" s="281" t="s">
        <v>845</v>
      </c>
      <c r="B6" s="286">
        <v>3</v>
      </c>
    </row>
    <row r="8" spans="1:8">
      <c r="A8" s="420" t="s">
        <v>846</v>
      </c>
      <c r="B8" s="420"/>
      <c r="C8" s="283">
        <v>1</v>
      </c>
      <c r="D8" s="282">
        <v>2</v>
      </c>
      <c r="E8" s="282">
        <v>3</v>
      </c>
      <c r="F8" s="282">
        <v>4</v>
      </c>
      <c r="G8" s="282">
        <v>6</v>
      </c>
      <c r="H8" s="282">
        <v>8</v>
      </c>
    </row>
    <row r="9" spans="1:8">
      <c r="A9" s="420" t="s">
        <v>847</v>
      </c>
      <c r="B9" s="420"/>
      <c r="C9" s="284">
        <f t="shared" ref="C9:H9" si="0">$B$6*$B$5*800/(($B$4-$B$3)*60*C8)</f>
        <v>6.0377358490566042</v>
      </c>
      <c r="D9" s="284">
        <f t="shared" si="0"/>
        <v>3.0188679245283021</v>
      </c>
      <c r="E9" s="284">
        <f t="shared" si="0"/>
        <v>2.0125786163522013</v>
      </c>
      <c r="F9" s="284">
        <f t="shared" si="0"/>
        <v>1.5094339622641511</v>
      </c>
      <c r="G9" s="284">
        <f t="shared" si="0"/>
        <v>1.0062893081761006</v>
      </c>
      <c r="H9" s="284">
        <f t="shared" si="0"/>
        <v>0.75471698113207553</v>
      </c>
    </row>
    <row r="11" spans="1:8">
      <c r="A11" s="285" t="s">
        <v>848</v>
      </c>
      <c r="B11" s="285"/>
    </row>
    <row r="12" spans="1:8">
      <c r="A12" s="285" t="s">
        <v>849</v>
      </c>
      <c r="B12" s="285"/>
    </row>
  </sheetData>
  <sheetProtection algorithmName="SHA-512" hashValue="6KXl7DOxeJiPtht8i0KVfHPSs0Zrtcsvde89zF1nbS6gycyXN8NktUgU26gLpHEAscMaPuB8F+Yv5yn6RDJcig==" saltValue="6nxZOZUeo8ABvHGfKZ+g6A==" spinCount="100000" sheet="1" objects="1" scenarios="1"/>
  <mergeCells count="6">
    <mergeCell ref="A9:B9"/>
    <mergeCell ref="A1:F1"/>
    <mergeCell ref="D3:F3"/>
    <mergeCell ref="D4:F4"/>
    <mergeCell ref="D5:F5"/>
    <mergeCell ref="A8:B8"/>
  </mergeCells>
  <conditionalFormatting sqref="A1:H1048576">
    <cfRule type="expression" dxfId="5" priority="1">
      <formula>CELL("protect",A1)=18</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81AF-71E3-4E4C-8D26-5C70DA62D977}">
  <sheetPr codeName="Sheet11"/>
  <dimension ref="A1:C46"/>
  <sheetViews>
    <sheetView topLeftCell="A33" workbookViewId="0">
      <selection activeCell="C40" sqref="C40"/>
    </sheetView>
  </sheetViews>
  <sheetFormatPr defaultRowHeight="12.75"/>
  <cols>
    <col min="1" max="1" width="9.140625" style="9"/>
    <col min="2" max="2" width="12.5703125" style="31" customWidth="1"/>
    <col min="3" max="3" width="81.28515625" customWidth="1"/>
  </cols>
  <sheetData>
    <row r="1" spans="1:3" s="45" customFormat="1" ht="21" customHeight="1" thickBot="1">
      <c r="A1" s="177"/>
      <c r="B1" s="425" t="s">
        <v>832</v>
      </c>
      <c r="C1" s="426"/>
    </row>
    <row r="2" spans="1:3" s="45" customFormat="1">
      <c r="A2" s="177"/>
      <c r="B2" s="287" t="s">
        <v>836</v>
      </c>
      <c r="C2" s="288" t="s">
        <v>835</v>
      </c>
    </row>
    <row r="3" spans="1:3" s="45" customFormat="1">
      <c r="A3" s="177"/>
      <c r="B3" s="289"/>
      <c r="C3" s="290" t="s">
        <v>833</v>
      </c>
    </row>
    <row r="4" spans="1:3">
      <c r="B4" s="291"/>
      <c r="C4" s="281" t="s">
        <v>834</v>
      </c>
    </row>
    <row r="5" spans="1:3">
      <c r="B5" s="258">
        <v>23</v>
      </c>
      <c r="C5" s="281" t="s">
        <v>837</v>
      </c>
    </row>
    <row r="7" spans="1:3">
      <c r="A7" s="431" t="s">
        <v>918</v>
      </c>
      <c r="B7" s="431"/>
      <c r="C7" s="221" t="s">
        <v>284</v>
      </c>
    </row>
    <row r="8" spans="1:3">
      <c r="A8" s="431" t="s">
        <v>919</v>
      </c>
      <c r="B8" s="431"/>
      <c r="C8" s="221" t="s">
        <v>285</v>
      </c>
    </row>
    <row r="9" spans="1:3">
      <c r="A9" s="431" t="s">
        <v>920</v>
      </c>
      <c r="B9" s="431"/>
      <c r="C9" s="221" t="s">
        <v>914</v>
      </c>
    </row>
    <row r="10" spans="1:3">
      <c r="A10" s="431" t="s">
        <v>923</v>
      </c>
      <c r="B10" s="431"/>
      <c r="C10" s="221" t="s">
        <v>915</v>
      </c>
    </row>
    <row r="11" spans="1:3">
      <c r="A11" s="431" t="s">
        <v>921</v>
      </c>
      <c r="B11" s="431"/>
      <c r="C11" s="221" t="s">
        <v>916</v>
      </c>
    </row>
    <row r="12" spans="1:3">
      <c r="A12" s="431" t="s">
        <v>922</v>
      </c>
      <c r="B12" s="431"/>
      <c r="C12" s="221" t="s">
        <v>917</v>
      </c>
    </row>
    <row r="13" spans="1:3" ht="13.5" thickBot="1"/>
    <row r="14" spans="1:3" ht="16.5" thickBot="1">
      <c r="B14" s="429" t="s">
        <v>856</v>
      </c>
      <c r="C14" s="430"/>
    </row>
    <row r="15" spans="1:3" ht="165" customHeight="1" thickBot="1">
      <c r="B15" s="427" t="s">
        <v>1075</v>
      </c>
      <c r="C15" s="428"/>
    </row>
    <row r="17" spans="1:3" s="45" customFormat="1" ht="38.25">
      <c r="A17" s="177" t="s">
        <v>806</v>
      </c>
      <c r="B17" s="46" t="s">
        <v>807</v>
      </c>
      <c r="C17" s="292" t="s">
        <v>808</v>
      </c>
    </row>
    <row r="18" spans="1:3" s="45" customFormat="1">
      <c r="A18" s="177" t="s">
        <v>806</v>
      </c>
      <c r="B18" s="46" t="s">
        <v>809</v>
      </c>
      <c r="C18" s="293" t="s">
        <v>810</v>
      </c>
    </row>
    <row r="19" spans="1:3" s="45" customFormat="1">
      <c r="A19" s="294" t="s">
        <v>811</v>
      </c>
      <c r="B19" s="46"/>
    </row>
    <row r="20" spans="1:3" s="45" customFormat="1">
      <c r="A20" s="177" t="s">
        <v>812</v>
      </c>
      <c r="B20" s="46" t="s">
        <v>813</v>
      </c>
    </row>
    <row r="21" spans="1:3" s="45" customFormat="1">
      <c r="A21" s="177">
        <v>0.1</v>
      </c>
      <c r="B21" s="295">
        <v>44896</v>
      </c>
    </row>
    <row r="22" spans="1:3" s="45" customFormat="1" ht="25.5">
      <c r="A22" s="177">
        <v>0.2</v>
      </c>
      <c r="B22" s="295">
        <v>45005</v>
      </c>
      <c r="C22" s="292" t="s">
        <v>814</v>
      </c>
    </row>
    <row r="23" spans="1:3" s="45" customFormat="1">
      <c r="A23" s="177">
        <v>0.3</v>
      </c>
      <c r="B23" s="295">
        <v>45008</v>
      </c>
      <c r="C23" s="293" t="s">
        <v>815</v>
      </c>
    </row>
    <row r="24" spans="1:3" s="45" customFormat="1" ht="25.5">
      <c r="A24" s="177">
        <v>0.4</v>
      </c>
      <c r="B24" s="295">
        <v>45009</v>
      </c>
      <c r="C24" s="292" t="s">
        <v>816</v>
      </c>
    </row>
    <row r="25" spans="1:3" s="45" customFormat="1">
      <c r="A25" s="177">
        <v>0.5</v>
      </c>
      <c r="B25" s="46"/>
      <c r="C25" s="45" t="s">
        <v>817</v>
      </c>
    </row>
    <row r="26" spans="1:3" s="45" customFormat="1" ht="25.5">
      <c r="A26" s="177">
        <v>0.8</v>
      </c>
      <c r="B26" s="295">
        <v>45013</v>
      </c>
      <c r="C26" s="42" t="s">
        <v>818</v>
      </c>
    </row>
    <row r="27" spans="1:3" s="45" customFormat="1" ht="63.75">
      <c r="A27" s="177">
        <v>0.9</v>
      </c>
      <c r="B27" s="295">
        <v>45015</v>
      </c>
      <c r="C27" s="292" t="s">
        <v>819</v>
      </c>
    </row>
    <row r="28" spans="1:3" s="45" customFormat="1">
      <c r="A28" s="177">
        <v>1</v>
      </c>
      <c r="B28" s="46"/>
      <c r="C28" s="292" t="s">
        <v>820</v>
      </c>
    </row>
    <row r="29" spans="1:3" s="45" customFormat="1">
      <c r="A29" s="177">
        <v>1.1000000000000001</v>
      </c>
      <c r="B29" s="295">
        <v>45018</v>
      </c>
      <c r="C29" s="292" t="s">
        <v>821</v>
      </c>
    </row>
    <row r="30" spans="1:3" s="45" customFormat="1" ht="38.25">
      <c r="A30" s="177">
        <v>1.2</v>
      </c>
      <c r="B30" s="46"/>
      <c r="C30" s="292" t="s">
        <v>822</v>
      </c>
    </row>
    <row r="31" spans="1:3" s="45" customFormat="1" ht="114.75">
      <c r="A31" s="177">
        <v>1.3</v>
      </c>
      <c r="B31" s="295">
        <v>45021</v>
      </c>
      <c r="C31" s="292" t="s">
        <v>823</v>
      </c>
    </row>
    <row r="32" spans="1:3" s="45" customFormat="1" ht="63.75">
      <c r="A32" s="177">
        <v>1.5</v>
      </c>
      <c r="B32" s="295">
        <v>45028</v>
      </c>
      <c r="C32" s="292" t="s">
        <v>824</v>
      </c>
    </row>
    <row r="33" spans="1:3" s="45" customFormat="1" ht="89.25">
      <c r="A33" s="177">
        <v>1.6</v>
      </c>
      <c r="B33" s="46"/>
      <c r="C33" s="292" t="s">
        <v>839</v>
      </c>
    </row>
    <row r="34" spans="1:3" s="45" customFormat="1" ht="63.75">
      <c r="A34" s="177">
        <v>1.7</v>
      </c>
      <c r="B34" s="46"/>
      <c r="C34" s="292" t="s">
        <v>838</v>
      </c>
    </row>
    <row r="35" spans="1:3" s="45" customFormat="1" ht="25.5">
      <c r="A35" s="177">
        <v>2.2000000000000002</v>
      </c>
      <c r="B35" s="46"/>
      <c r="C35" s="292" t="s">
        <v>855</v>
      </c>
    </row>
    <row r="36" spans="1:3" s="45" customFormat="1" ht="178.5">
      <c r="A36" s="296">
        <v>2.2999999999999998</v>
      </c>
      <c r="B36" s="295">
        <v>45074</v>
      </c>
      <c r="C36" s="292" t="s">
        <v>1073</v>
      </c>
    </row>
    <row r="37" spans="1:3" s="45" customFormat="1">
      <c r="A37" s="177">
        <v>2.4</v>
      </c>
      <c r="B37" s="46"/>
      <c r="C37" s="292" t="s">
        <v>1089</v>
      </c>
    </row>
    <row r="38" spans="1:3" s="45" customFormat="1" ht="165.75">
      <c r="A38" s="177">
        <v>3</v>
      </c>
      <c r="B38" s="46"/>
      <c r="C38" s="292" t="s">
        <v>1090</v>
      </c>
    </row>
    <row r="39" spans="1:3" s="45" customFormat="1" ht="153.75" customHeight="1">
      <c r="A39" s="177">
        <v>3.1</v>
      </c>
      <c r="B39" s="46"/>
      <c r="C39" s="292" t="s">
        <v>1092</v>
      </c>
    </row>
    <row r="40" spans="1:3" s="45" customFormat="1">
      <c r="A40" s="177"/>
      <c r="B40" s="46"/>
    </row>
    <row r="41" spans="1:3" s="45" customFormat="1" ht="63.75">
      <c r="A41" s="177" t="s">
        <v>164</v>
      </c>
      <c r="B41" s="46" t="s">
        <v>164</v>
      </c>
      <c r="C41" s="292" t="s">
        <v>1088</v>
      </c>
    </row>
    <row r="42" spans="1:3" s="45" customFormat="1">
      <c r="A42" s="177"/>
      <c r="B42" s="46"/>
    </row>
    <row r="43" spans="1:3" s="45" customFormat="1">
      <c r="A43" s="177"/>
      <c r="B43" s="46"/>
    </row>
    <row r="44" spans="1:3" s="45" customFormat="1">
      <c r="A44" s="177"/>
      <c r="B44" s="46"/>
    </row>
    <row r="45" spans="1:3" s="45" customFormat="1">
      <c r="A45" s="177"/>
      <c r="B45" s="46"/>
    </row>
    <row r="46" spans="1:3" s="45" customFormat="1" ht="13.5" customHeight="1">
      <c r="A46" s="177"/>
      <c r="B46" s="46"/>
    </row>
  </sheetData>
  <sheetProtection algorithmName="SHA-512" hashValue="ZuzyF+JYAklS3uovUEbn6mS1ytFpDaSZkxCHTfjRbV4rB9HEh79ApwN0bOwvMiYihN98v163tItNRgNF5no/QQ==" saltValue="osl/bx1Eg7Ep5ox4yrsJBw==" spinCount="100000" sheet="1" objects="1" scenarios="1"/>
  <mergeCells count="9">
    <mergeCell ref="B1:C1"/>
    <mergeCell ref="B15:C15"/>
    <mergeCell ref="B14:C14"/>
    <mergeCell ref="A12:B12"/>
    <mergeCell ref="A7:B7"/>
    <mergeCell ref="A8:B8"/>
    <mergeCell ref="A9:B9"/>
    <mergeCell ref="A10:B10"/>
    <mergeCell ref="A11:B11"/>
  </mergeCells>
  <conditionalFormatting sqref="A1:D1048576">
    <cfRule type="expression" dxfId="4" priority="5">
      <formula>CELL("protect",A1)=18</formula>
    </cfRule>
  </conditionalFormatting>
  <hyperlinks>
    <hyperlink ref="C9" r:id="rId1" xr:uid="{E5F4DE56-2E5C-4FA5-A5AC-691A0B5CA117}"/>
    <hyperlink ref="C10" r:id="rId2" xr:uid="{A949D245-65B0-40BE-89BC-6BC65E44B0D9}"/>
    <hyperlink ref="C11" r:id="rId3" xr:uid="{6916D486-7EEC-487A-B7C2-82FDF6ED274B}"/>
    <hyperlink ref="C12" r:id="rId4" xr:uid="{35E5160E-9089-47DC-8EA4-FDDED9508F68}"/>
    <hyperlink ref="C7" r:id="rId5" xr:uid="{773AD417-A74E-48E1-A362-384FFBB30021}"/>
    <hyperlink ref="C8" r:id="rId6" xr:uid="{DAB19AC8-1F35-4ADD-B3DD-BD48B5C598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9AE6-BC99-4390-B15F-055266E1D1DA}">
  <sheetPr codeName="Sheet8"/>
  <dimension ref="A1:E64"/>
  <sheetViews>
    <sheetView workbookViewId="0">
      <selection activeCell="Q33" sqref="Q33"/>
    </sheetView>
  </sheetViews>
  <sheetFormatPr defaultRowHeight="12.75"/>
  <cols>
    <col min="1" max="1" width="57.42578125" style="42" customWidth="1"/>
    <col min="2" max="2" width="9.5703125" style="223" customWidth="1"/>
    <col min="3" max="3" width="49.42578125" style="42" customWidth="1"/>
    <col min="4" max="4" width="60.85546875" style="42" customWidth="1"/>
  </cols>
  <sheetData>
    <row r="1" spans="1:4" s="40" customFormat="1">
      <c r="A1" s="43" t="s">
        <v>717</v>
      </c>
      <c r="B1" s="222" t="s">
        <v>718</v>
      </c>
      <c r="C1" s="43" t="s">
        <v>719</v>
      </c>
      <c r="D1" s="43" t="s">
        <v>720</v>
      </c>
    </row>
    <row r="3" spans="1:4" ht="26.25">
      <c r="A3" s="44" t="s">
        <v>745</v>
      </c>
    </row>
    <row r="4" spans="1:4" ht="25.5">
      <c r="A4" s="42" t="s">
        <v>746</v>
      </c>
      <c r="B4" s="223" t="s">
        <v>747</v>
      </c>
    </row>
    <row r="5" spans="1:4" ht="25.5">
      <c r="A5" s="42" t="s">
        <v>748</v>
      </c>
    </row>
    <row r="6" spans="1:4">
      <c r="A6" s="42" t="s">
        <v>749</v>
      </c>
    </row>
    <row r="7" spans="1:4" ht="38.25">
      <c r="A7" s="42" t="s">
        <v>750</v>
      </c>
    </row>
    <row r="8" spans="1:4" ht="25.5">
      <c r="A8" s="42" t="s">
        <v>751</v>
      </c>
    </row>
    <row r="10" spans="1:4">
      <c r="A10" s="224" t="s">
        <v>931</v>
      </c>
      <c r="B10" s="225" t="s">
        <v>933</v>
      </c>
      <c r="C10" s="224" t="s">
        <v>932</v>
      </c>
    </row>
    <row r="12" spans="1:4" ht="26.25">
      <c r="A12" s="44" t="s">
        <v>836</v>
      </c>
    </row>
    <row r="13" spans="1:4" ht="102">
      <c r="A13" s="42" t="s">
        <v>928</v>
      </c>
      <c r="B13" s="223">
        <f ca="1">MROUND(IFERROR(ABS(100*(Totaal_Verbruik-Huidig_Gasverbruik)/Huidig_Gasverbruik),0),1)</f>
        <v>13</v>
      </c>
      <c r="C13" s="42" t="s">
        <v>1000</v>
      </c>
    </row>
    <row r="14" spans="1:4" ht="102">
      <c r="A14" s="42" t="s">
        <v>929</v>
      </c>
      <c r="C14" s="42" t="s">
        <v>934</v>
      </c>
    </row>
    <row r="15" spans="1:4" ht="114.75">
      <c r="A15" s="42" t="s">
        <v>930</v>
      </c>
      <c r="C15" s="42" t="s">
        <v>935</v>
      </c>
    </row>
    <row r="17" spans="1:5" ht="26.25">
      <c r="A17" s="44" t="s">
        <v>24</v>
      </c>
      <c r="B17" s="234">
        <f ca="1">Dak_Rc_b/Dak_Rc</f>
        <v>4.8461538461538458</v>
      </c>
    </row>
    <row r="18" spans="1:5">
      <c r="A18" s="42" t="s">
        <v>1015</v>
      </c>
      <c r="C18" s="42" t="s">
        <v>1027</v>
      </c>
    </row>
    <row r="19" spans="1:5">
      <c r="A19" s="42" t="s">
        <v>1016</v>
      </c>
      <c r="C19" s="42" t="s">
        <v>1028</v>
      </c>
    </row>
    <row r="20" spans="1:5">
      <c r="A20" s="42" t="s">
        <v>1017</v>
      </c>
      <c r="C20" s="42" t="s">
        <v>1029</v>
      </c>
    </row>
    <row r="21" spans="1:5" ht="25.5">
      <c r="A21" s="42" t="s">
        <v>1018</v>
      </c>
      <c r="C21" s="42" t="s">
        <v>1020</v>
      </c>
      <c r="D21" s="42" t="s">
        <v>1021</v>
      </c>
    </row>
    <row r="22" spans="1:5" ht="102">
      <c r="A22" s="42" t="s">
        <v>1019</v>
      </c>
      <c r="C22" s="42" t="s">
        <v>1024</v>
      </c>
      <c r="D22" s="42" t="s">
        <v>1022</v>
      </c>
    </row>
    <row r="23" spans="1:5" ht="102">
      <c r="A23" s="42" t="s">
        <v>1026</v>
      </c>
      <c r="C23" s="42" t="s">
        <v>1025</v>
      </c>
      <c r="D23" s="42" t="s">
        <v>1023</v>
      </c>
    </row>
    <row r="25" spans="1:5" ht="26.25">
      <c r="A25" s="44" t="s">
        <v>23</v>
      </c>
      <c r="B25" s="223">
        <f ca="1">Glas_Verbruik_0/Glas_Verbruik_0_b</f>
        <v>5.7999999999999989</v>
      </c>
      <c r="C25" s="42" t="str">
        <f ca="1">IF(Afw_Glas_0&gt;2,INDEX(Text_Glas_0,3),IF(Afw_Glas_0&gt;1.5,INDEX(Text_Glas_0,2),INDEX(Text_Glas_0,1)))</f>
        <v>GlasWrite-3</v>
      </c>
      <c r="D25" s="42" t="str">
        <f ca="1">IF(Afw_Glas_1&gt;2,INDEX(Text_Glas_1,3),IF(Afw_Glas_1&gt;1.5,INDEX(Text_Glas_1,2),INDEX(Text_Glas_1,1)))</f>
        <v>GlasBWrite-3</v>
      </c>
      <c r="E25" s="234">
        <f ca="1">Glas_Verbruik_1/Glas_Verbruik_1_b</f>
        <v>4.0971457197551251</v>
      </c>
    </row>
    <row r="26" spans="1:5">
      <c r="A26" s="42" t="s">
        <v>1036</v>
      </c>
      <c r="C26" s="42" t="e">
        <f ca="1">SUBSTITUTE(SUBSTITUTE("Op de benedenverdieping gaat er %a% m3 gas per jaar door het glas naar buiten. Dit glas is dus goed, u kunt met verbetering van dit glas slechts %b% m3 gas besparen.","%a%",MROUND(Glas_Verbruik_0,1)),"%b%",MROUND(Glas_Verbruik_0_b-Glas_Verbruik_0,1))</f>
        <v>#NUM!</v>
      </c>
    </row>
    <row r="27" spans="1:5">
      <c r="A27" s="42" t="s">
        <v>1037</v>
      </c>
      <c r="C27" s="42" t="s">
        <v>1042</v>
      </c>
    </row>
    <row r="28" spans="1:5">
      <c r="A28" s="42" t="s">
        <v>1038</v>
      </c>
      <c r="C28" s="42" t="s">
        <v>1043</v>
      </c>
    </row>
    <row r="29" spans="1:5">
      <c r="A29" s="42" t="s">
        <v>1039</v>
      </c>
      <c r="C29" s="42" t="e">
        <f ca="1">SUBSTITUTE(SUBSTITUTE("Op de bovenverdieping gaat er %a% m3 gas per jaar door het glas naar buiten. Dit glas is dus goed, u kunt met verbetering van dit glas slechts %b% m3 gas besparen.","%a%",MROUND(Glas_Verbruik_1,1)),"%b%",MROUND(Glas_Verbruik_1_b-Glas_Verbruik_1,1))</f>
        <v>#NUM!</v>
      </c>
    </row>
    <row r="30" spans="1:5">
      <c r="A30" s="42" t="s">
        <v>1040</v>
      </c>
      <c r="C30" s="42" t="s">
        <v>1044</v>
      </c>
    </row>
    <row r="31" spans="1:5">
      <c r="A31" s="42" t="s">
        <v>1041</v>
      </c>
      <c r="C31" s="42" t="s">
        <v>1045</v>
      </c>
    </row>
    <row r="33" spans="1:4" ht="178.5">
      <c r="A33" s="44" t="s">
        <v>21</v>
      </c>
      <c r="B33" s="234">
        <f ca="1">Muur_Onder_Rc_b-Muur_Onder_Rc</f>
        <v>0.8</v>
      </c>
      <c r="C33" s="42" t="str">
        <f ca="1">IF(Afw_Muur&gt;1.1,INDEX(Text_Muren,3),IF(Afw_Muur&gt;0.1,INDEX(Text_Muren,2),INDEX(Text_Muren,1)))</f>
        <v>De muren zijn matig geïsoleerd, de  isolatiewaarde bedraagt Rc = %a%, daardoor wordt ongeveer %c% m3 gas per jaar verbruikt. Als u de spouw gaat bij-isoleren, dan wordt de isolatiewaarde Rc = %b%, waardoor het gasverbruik door de muur daalt naar %d% m3 gas per jaar. De besparing bedraagt dus %e% m3 gas per jaar.
Gezien de geringe besparing en het geringe gasverbruik door de muur, adviseren wij om nu niet de spouw te laten na-isoleren. U moet zich ook realiseren dat u pas subsidie krijgt als de toename van de Rc waarde groter is dan 1.1. Deze anaylse is gemaakt op de gemiddlde spouwbreedte, het kan zijn dat de spouw van uw muren groter is, in dat geval kan het wel zinvol zijn. Een energiecoach kan bepalen hoe breed uw spouw is.</v>
      </c>
    </row>
    <row r="34" spans="1:4" ht="127.5">
      <c r="A34" s="42" t="s">
        <v>721</v>
      </c>
      <c r="C34" s="42" t="str">
        <f ca="1">_xlfn.TEXTJOIN(" ",TRUE,SUBSTITUTE("Muren zijn voldoende geïsoleerd. Het verlies door de muren bedraagt %a% m3 gas per jaar.","%a%",MROUND(Muur_Verbruik,10)),
SUBSTITUTE( "De huidige isolatiewaarde bedraagt Rc = %a%.", "%a%", Muur_Onder_Rc ),
SUBSTITUTE("De maximale isolatiewaarde die u kunt bereiken is Rc = %a%.","%a%",Muur_Onder_Rc_b ),
"U moet zich ook realiseren dat u pas subsidie krijgt als de toename van de Rc waarde groter is dan 1.1. ",
"Deze analyse is gemaakt op de gemiddelde spouwbreedte, het kan zijn dat de spouw van uw muren groter is, in dat geval kan het wel zinvol zijn. Een energiecoach kan bepalen hoe breed uw spouw is.")</f>
        <v>Muren zijn voldoende geïsoleerd. Het verlies door de muren bedraagt 460 m3 gas per jaar. De huidige isolatiewaarde bedraagt Rc = 1.3. De maximale isolatiewaarde die u kunt bereiken is Rc = 2.1. U moet zich ook realiseren dat u pas subsidie krijgt als de toename van de Rc waarde groter is dan 1.1.  Deze analyse is gemaakt op de gemiddelde spouwbreedte, het kan zijn dat de spouw van uw muren groter is, in dat geval kan het wel zinvol zijn. Een energiecoach kan bepalen hoe breed uw spouw is.</v>
      </c>
      <c r="D34" s="42" t="s">
        <v>722</v>
      </c>
    </row>
    <row r="35" spans="1:4" ht="178.5">
      <c r="A35" s="42" t="s">
        <v>1047</v>
      </c>
      <c r="C35" s="42" t="s">
        <v>1062</v>
      </c>
      <c r="D35" s="42" t="s">
        <v>1049</v>
      </c>
    </row>
    <row r="36" spans="1:4" ht="25.5">
      <c r="A36" s="42" t="s">
        <v>1048</v>
      </c>
      <c r="C36" s="42" t="s">
        <v>723</v>
      </c>
      <c r="D36" s="42" t="s">
        <v>723</v>
      </c>
    </row>
    <row r="38" spans="1:4" ht="102">
      <c r="A38" s="44" t="s">
        <v>17</v>
      </c>
      <c r="B38" s="234">
        <f ca="1">Vloer_Verbruik/Vloer_Verbruik_b</f>
        <v>2.8461538461538463</v>
      </c>
      <c r="C38" s="42" t="str">
        <f ca="1">IF(Afw_Vloer&gt;2,INDEX(Text_Vloer,3),IF(Afw_Vloer&gt;1.5,INDEX(Text_Vloer,2),INDEX(Text_Vloer,1)))</f>
        <v>De vloer is slecht geïsoleerd, na-isoleren wordt sterk aanbevolen. De huidige Rc-waarde = 1.3, waarmee 290 m3 gas per jaar verloren gaat. Als u geen vloerverwarming overweegt kunt u volstaan met een minimale Rc van 3.7, overweegt u vloerverwarming dan adviseren wij om minstens Rc&gt;6 te nemen. Door het na-isoleren van de vloer met een minimale Rc = 3.7, kunt u ongeveer 190 m3 gas per jaar besparen.</v>
      </c>
    </row>
    <row r="39" spans="1:4">
      <c r="A39" s="42" t="s">
        <v>724</v>
      </c>
      <c r="C39" s="42" t="s">
        <v>725</v>
      </c>
      <c r="D39" s="42" t="s">
        <v>725</v>
      </c>
    </row>
    <row r="40" spans="1:4" ht="25.5">
      <c r="A40" s="42" t="s">
        <v>1050</v>
      </c>
      <c r="C40" s="42" t="s">
        <v>726</v>
      </c>
      <c r="D40" s="42" t="s">
        <v>726</v>
      </c>
    </row>
    <row r="41" spans="1:4" ht="102">
      <c r="A41" s="42" t="s">
        <v>1051</v>
      </c>
      <c r="C41" s="42" t="str">
        <f ca="1">_xlfn.TEXTJOIN(" ",TRUE, C44,IF(Vloerverwarming="Ja",C45,C46),C47)</f>
        <v>De vloer is slecht geïsoleerd, na-isoleren wordt sterk aanbevolen. De huidige Rc-waarde = 1.3, waarmee 290 m3 gas per jaar verloren gaat. Als u geen vloerverwarming overweegt kunt u volstaan met een minimale Rc van 3.7, overweegt u vloerverwarming dan adviseren wij om minstens Rc&gt;6 te nemen. Door het na-isoleren van de vloer met een minimale Rc = 3.7, kunt u ongeveer 190 m3 gas per jaar besparen.</v>
      </c>
      <c r="D41" s="42" t="s">
        <v>727</v>
      </c>
    </row>
    <row r="43" spans="1:4">
      <c r="C43" s="240" t="s">
        <v>1055</v>
      </c>
    </row>
    <row r="44" spans="1:4" ht="38.25">
      <c r="C44" s="42" t="str">
        <f ca="1">SUBSTITUTE(SUBSTITUTE("De vloer is slecht geïsoleerd, na-isoleren wordt sterk aanbevolen. De huidige Rc-waarde = %a%, waarmee %b% m3 gas per jaar verloren gaat.","%a%",MROUND(Vloer_Rc,0.1)),"%b%",MROUND(Vloer_Verbruik,10))</f>
        <v>De vloer is slecht geïsoleerd, na-isoleren wordt sterk aanbevolen. De huidige Rc-waarde = 1.3, waarmee 290 m3 gas per jaar verloren gaat.</v>
      </c>
    </row>
    <row r="45" spans="1:4" ht="38.25">
      <c r="C45" s="42" t="s">
        <v>1054</v>
      </c>
    </row>
    <row r="46" spans="1:4" ht="51">
      <c r="C46" s="42" t="s">
        <v>1052</v>
      </c>
    </row>
    <row r="47" spans="1:4" ht="25.5">
      <c r="C47" s="42" t="str">
        <f ca="1">SUBSTITUTE(SUBSTITUTE("Door het na-isoleren van de vloer met een minimale Rc = %a%, kunt u ongeveer %b% m3 gas per jaar besparen.","%a%",Vloer_Rc_b),"%b%",MROUND(Vloer_Verbruik-Vloer_Verbruik_b,10))</f>
        <v>Door het na-isoleren van de vloer met een minimale Rc = 3.7, kunt u ongeveer 190 m3 gas per jaar besparen.</v>
      </c>
    </row>
    <row r="50" spans="1:4" ht="26.25">
      <c r="A50" s="44" t="s">
        <v>11</v>
      </c>
    </row>
    <row r="51" spans="1:4">
      <c r="A51" s="42" t="s">
        <v>728</v>
      </c>
      <c r="C51" s="42" t="s">
        <v>729</v>
      </c>
      <c r="D51" s="42" t="s">
        <v>729</v>
      </c>
    </row>
    <row r="52" spans="1:4">
      <c r="A52" s="42" t="s">
        <v>730</v>
      </c>
      <c r="C52" s="42" t="s">
        <v>731</v>
      </c>
      <c r="D52" s="42" t="s">
        <v>731</v>
      </c>
    </row>
    <row r="53" spans="1:4">
      <c r="A53" s="42" t="s">
        <v>732</v>
      </c>
      <c r="C53" s="42" t="s">
        <v>733</v>
      </c>
      <c r="D53" s="42" t="s">
        <v>733</v>
      </c>
    </row>
    <row r="54" spans="1:4" ht="165.75">
      <c r="A54" s="42" t="s">
        <v>734</v>
      </c>
      <c r="C54" s="42" t="s">
        <v>735</v>
      </c>
      <c r="D54" s="42" t="s">
        <v>736</v>
      </c>
    </row>
    <row r="55" spans="1:4">
      <c r="A55" s="42" t="s">
        <v>737</v>
      </c>
      <c r="C55" s="42" t="s">
        <v>738</v>
      </c>
      <c r="D55" s="42" t="s">
        <v>738</v>
      </c>
    </row>
    <row r="61" spans="1:4" ht="26.25">
      <c r="A61" s="44" t="s">
        <v>739</v>
      </c>
    </row>
    <row r="62" spans="1:4" ht="242.25">
      <c r="A62" s="42" t="s">
        <v>740</v>
      </c>
      <c r="C62" s="42" t="s">
        <v>741</v>
      </c>
      <c r="D62" s="42" t="s">
        <v>742</v>
      </c>
    </row>
    <row r="63" spans="1:4">
      <c r="A63" s="42" t="s">
        <v>743</v>
      </c>
      <c r="C63" s="42" t="s">
        <v>743</v>
      </c>
      <c r="D63" s="42" t="s">
        <v>743</v>
      </c>
    </row>
    <row r="64" spans="1:4">
      <c r="A64" s="42" t="s">
        <v>744</v>
      </c>
      <c r="C64" s="42" t="s">
        <v>744</v>
      </c>
      <c r="D64" s="42" t="s">
        <v>744</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213</vt:i4>
      </vt:variant>
    </vt:vector>
  </HeadingPairs>
  <TitlesOfParts>
    <vt:vector size="225" baseType="lpstr">
      <vt:lpstr>Basis</vt:lpstr>
      <vt:lpstr>Tabellen</vt:lpstr>
      <vt:lpstr>Details</vt:lpstr>
      <vt:lpstr>Rapport</vt:lpstr>
      <vt:lpstr>Truucs</vt:lpstr>
      <vt:lpstr>Rm</vt:lpstr>
      <vt:lpstr>Ventilatie</vt:lpstr>
      <vt:lpstr>Versie</vt:lpstr>
      <vt:lpstr>_Text</vt:lpstr>
      <vt:lpstr>S_Calc</vt:lpstr>
      <vt:lpstr>Constants</vt:lpstr>
      <vt:lpstr>BAG</vt:lpstr>
      <vt:lpstr>Aangepakt_Dak</vt:lpstr>
      <vt:lpstr>Aangepakt_Glas</vt:lpstr>
      <vt:lpstr>Aangepakt_Kieren</vt:lpstr>
      <vt:lpstr>Aangepakt_Muur</vt:lpstr>
      <vt:lpstr>Aangepakt_Vloer</vt:lpstr>
      <vt:lpstr>Aanwezigheid</vt:lpstr>
      <vt:lpstr>Adres</vt:lpstr>
      <vt:lpstr>AdresTabel</vt:lpstr>
      <vt:lpstr>Afw_Dak</vt:lpstr>
      <vt:lpstr>Afw_Glas_0</vt:lpstr>
      <vt:lpstr>Afw_Glas_1</vt:lpstr>
      <vt:lpstr>Afw_Muur</vt:lpstr>
      <vt:lpstr>Afw_Vloer</vt:lpstr>
      <vt:lpstr>Afwijking_Gasverbruik</vt:lpstr>
      <vt:lpstr>Apparatuur_Productie</vt:lpstr>
      <vt:lpstr>Besparing</vt:lpstr>
      <vt:lpstr>Besparing_Dak</vt:lpstr>
      <vt:lpstr>Besparing_Element</vt:lpstr>
      <vt:lpstr>Besparing_Element_Name</vt:lpstr>
      <vt:lpstr>Besparing_Glas</vt:lpstr>
      <vt:lpstr>Besparing_Muren</vt:lpstr>
      <vt:lpstr>Besparing_Vloer</vt:lpstr>
      <vt:lpstr>Besparings_Tabel</vt:lpstr>
      <vt:lpstr>Bomen_kWh</vt:lpstr>
      <vt:lpstr>Bomen_m3</vt:lpstr>
      <vt:lpstr>Bouwjaar</vt:lpstr>
      <vt:lpstr>Bouwjaar_BAG</vt:lpstr>
      <vt:lpstr>Breedte</vt:lpstr>
      <vt:lpstr>CO2_kWh</vt:lpstr>
      <vt:lpstr>CO2_m3</vt:lpstr>
      <vt:lpstr>Correctie_Bouwjaar</vt:lpstr>
      <vt:lpstr>Correctie_Kruipruimte</vt:lpstr>
      <vt:lpstr>Correctie_Vloerverwarming</vt:lpstr>
      <vt:lpstr>Dak_Detail</vt:lpstr>
      <vt:lpstr>Dak_Opp</vt:lpstr>
      <vt:lpstr>Dak_Rc</vt:lpstr>
      <vt:lpstr>Dak_Rc_b</vt:lpstr>
      <vt:lpstr>Dak_Verbruik</vt:lpstr>
      <vt:lpstr>Dak_Verbruik_b</vt:lpstr>
      <vt:lpstr>Diepte</vt:lpstr>
      <vt:lpstr>Energie_m2</vt:lpstr>
      <vt:lpstr>Energie_m2_b</vt:lpstr>
      <vt:lpstr>Energiecoach</vt:lpstr>
      <vt:lpstr>EnergieLabel_T</vt:lpstr>
      <vt:lpstr>GD</vt:lpstr>
      <vt:lpstr>Glas_Beste_Ug</vt:lpstr>
      <vt:lpstr>Glas_Boven_Opp</vt:lpstr>
      <vt:lpstr>Glas_Boven_Utot</vt:lpstr>
      <vt:lpstr>Glas_Boven_Utot_b</vt:lpstr>
      <vt:lpstr>Glas_Boven_Verbruik</vt:lpstr>
      <vt:lpstr>Glas_Boven_Verbruik_b</vt:lpstr>
      <vt:lpstr>Glas_Detail</vt:lpstr>
      <vt:lpstr>Glas_Instraal</vt:lpstr>
      <vt:lpstr>Glas_m2</vt:lpstr>
      <vt:lpstr>Glas_Maat</vt:lpstr>
      <vt:lpstr>Glas_Maat_L</vt:lpstr>
      <vt:lpstr>Glas_Maat_T</vt:lpstr>
      <vt:lpstr>Glas_Nu_Ug</vt:lpstr>
      <vt:lpstr>Glas_Onder_Opp</vt:lpstr>
      <vt:lpstr>Glas_Onder_Utot</vt:lpstr>
      <vt:lpstr>Glas_Onder_Utot_b</vt:lpstr>
      <vt:lpstr>Glas_Vebruik_b</vt:lpstr>
      <vt:lpstr>Glas_Verbruik</vt:lpstr>
      <vt:lpstr>Glas_Verbruik_0</vt:lpstr>
      <vt:lpstr>Glas_Verbruik_0_b</vt:lpstr>
      <vt:lpstr>Glas_Verbruik_1</vt:lpstr>
      <vt:lpstr>Glas_Verbruik_1_b</vt:lpstr>
      <vt:lpstr>Glas_Verbruik_b</vt:lpstr>
      <vt:lpstr>Glas_ZonIn</vt:lpstr>
      <vt:lpstr>Glas_ZonIn_0</vt:lpstr>
      <vt:lpstr>Glas_ZonIn_0_b</vt:lpstr>
      <vt:lpstr>Glas_ZonIn_1</vt:lpstr>
      <vt:lpstr>Glas_ZonIn_1_b</vt:lpstr>
      <vt:lpstr>Glas_ZonIn_b</vt:lpstr>
      <vt:lpstr>Graadje_Lager</vt:lpstr>
      <vt:lpstr>Graadje_Lager_b</vt:lpstr>
      <vt:lpstr>Huidig_Gasverbruik</vt:lpstr>
      <vt:lpstr>Interne_Warmtelast</vt:lpstr>
      <vt:lpstr>JaNee_L</vt:lpstr>
      <vt:lpstr>JaNee_T</vt:lpstr>
      <vt:lpstr>JaNee2_L</vt:lpstr>
      <vt:lpstr>JaNee2_T</vt:lpstr>
      <vt:lpstr>Ketel_Rendement</vt:lpstr>
      <vt:lpstr>Kieren_Detail</vt:lpstr>
      <vt:lpstr>Kieren_Verbruik</vt:lpstr>
      <vt:lpstr>Kieren_Verbruik_b</vt:lpstr>
      <vt:lpstr>Kompas</vt:lpstr>
      <vt:lpstr>Kompas_1</vt:lpstr>
      <vt:lpstr>Kompas_t</vt:lpstr>
      <vt:lpstr>Kompas2</vt:lpstr>
      <vt:lpstr>kWh_m3</vt:lpstr>
      <vt:lpstr>m3_gas_hout</vt:lpstr>
      <vt:lpstr>Muur_Boven_Opp</vt:lpstr>
      <vt:lpstr>Muur_Boven_Rc</vt:lpstr>
      <vt:lpstr>Muur_Boven_Rc_b</vt:lpstr>
      <vt:lpstr>Muur_Boven_Utot</vt:lpstr>
      <vt:lpstr>Muur_Boven_Verbruik</vt:lpstr>
      <vt:lpstr>Muur_Boven_Verbruik_b</vt:lpstr>
      <vt:lpstr>Muur_Detail</vt:lpstr>
      <vt:lpstr>Muur_Onder_Opp</vt:lpstr>
      <vt:lpstr>Muur_Onder_Rc</vt:lpstr>
      <vt:lpstr>Muur_Onder_Rc_b</vt:lpstr>
      <vt:lpstr>Muur_Verbruik</vt:lpstr>
      <vt:lpstr>Muur_Verbruik_b</vt:lpstr>
      <vt:lpstr>Muur_Zolder_Opp</vt:lpstr>
      <vt:lpstr>Muur_Zolder_Rc</vt:lpstr>
      <vt:lpstr>Muur_Zolder_Rc_b</vt:lpstr>
      <vt:lpstr>Muur_Zolder_Verbruik</vt:lpstr>
      <vt:lpstr>Muur_Zolder_Verbruik_b</vt:lpstr>
      <vt:lpstr>My_Path</vt:lpstr>
      <vt:lpstr>Opp</vt:lpstr>
      <vt:lpstr>Opp_BAG</vt:lpstr>
      <vt:lpstr>Personen</vt:lpstr>
      <vt:lpstr>Plafond_Rc</vt:lpstr>
      <vt:lpstr>PostCode</vt:lpstr>
      <vt:lpstr>Prijs_kWh</vt:lpstr>
      <vt:lpstr>Prijs_m3</vt:lpstr>
      <vt:lpstr>QV10_Corr</vt:lpstr>
      <vt:lpstr>Rapport_Muren</vt:lpstr>
      <vt:lpstr>Rapport_Vloer</vt:lpstr>
      <vt:lpstr>Rc_Bouwbesluit</vt:lpstr>
      <vt:lpstr>Rsie_L</vt:lpstr>
      <vt:lpstr>Rsie_T</vt:lpstr>
      <vt:lpstr>T_Boven</vt:lpstr>
      <vt:lpstr>T_Boven_b</vt:lpstr>
      <vt:lpstr>T_Boven_x</vt:lpstr>
      <vt:lpstr>T_Boven_x_b</vt:lpstr>
      <vt:lpstr>T_Glas_Boven</vt:lpstr>
      <vt:lpstr>T_Glas_Boven_b</vt:lpstr>
      <vt:lpstr>T_Glas_Onder</vt:lpstr>
      <vt:lpstr>T_GLas_Onder_b</vt:lpstr>
      <vt:lpstr>T_Vloer</vt:lpstr>
      <vt:lpstr>T_Vloer_b</vt:lpstr>
      <vt:lpstr>T_Zolder</vt:lpstr>
      <vt:lpstr>T_Zolder_b</vt:lpstr>
      <vt:lpstr>T_Zolder_x</vt:lpstr>
      <vt:lpstr>T_Zolder_x_b</vt:lpstr>
      <vt:lpstr>T_Zolder_x_b_lager</vt:lpstr>
      <vt:lpstr>T_Zolder_x_lager</vt:lpstr>
      <vt:lpstr>Tapwater_Detail</vt:lpstr>
      <vt:lpstr>Tbinnen</vt:lpstr>
      <vt:lpstr>Tboven_set</vt:lpstr>
      <vt:lpstr>Tbuiten</vt:lpstr>
      <vt:lpstr>test22</vt:lpstr>
      <vt:lpstr>Text_Dak</vt:lpstr>
      <vt:lpstr>Text_Gasverbruik</vt:lpstr>
      <vt:lpstr>Text_Glas_0</vt:lpstr>
      <vt:lpstr>Text_Glas_1</vt:lpstr>
      <vt:lpstr>Text_Muren</vt:lpstr>
      <vt:lpstr>Text_Opm_Dak</vt:lpstr>
      <vt:lpstr>Text_Opm_Gas</vt:lpstr>
      <vt:lpstr>Text_Opm_Glas</vt:lpstr>
      <vt:lpstr>Text_Opm_Intern</vt:lpstr>
      <vt:lpstr>Text_Opm_Kieren</vt:lpstr>
      <vt:lpstr>Text_Opm_Muren</vt:lpstr>
      <vt:lpstr>Text_Opm_Tapwater</vt:lpstr>
      <vt:lpstr>Text_Opm_Totaal</vt:lpstr>
      <vt:lpstr>Text_Opm_Ventilatie</vt:lpstr>
      <vt:lpstr>Text_Opm_Vloer</vt:lpstr>
      <vt:lpstr>Text_Sel_1</vt:lpstr>
      <vt:lpstr>Text_Vloer</vt:lpstr>
      <vt:lpstr>Totaal_Verbruik</vt:lpstr>
      <vt:lpstr>Totaal_Verbruik_b</vt:lpstr>
      <vt:lpstr>Truc_Range</vt:lpstr>
      <vt:lpstr>Tzolder_set</vt:lpstr>
      <vt:lpstr>V_m2_Rc</vt:lpstr>
      <vt:lpstr>V_m2_Rc_lager</vt:lpstr>
      <vt:lpstr>Ventilatie_Detail</vt:lpstr>
      <vt:lpstr>Ventilatie_List</vt:lpstr>
      <vt:lpstr>Ventilatie_Tabel</vt:lpstr>
      <vt:lpstr>Ventilatie_Verbruik</vt:lpstr>
      <vt:lpstr>Ventilatie_Verbruik_b</vt:lpstr>
      <vt:lpstr>VentilatieSysteem</vt:lpstr>
      <vt:lpstr>Verbruik_Gevel</vt:lpstr>
      <vt:lpstr>Verbruik_Gevel_1</vt:lpstr>
      <vt:lpstr>Verbruik_Gevel_1_b</vt:lpstr>
      <vt:lpstr>Verbruik_Gevel_b</vt:lpstr>
      <vt:lpstr>Vermogen_Verbruik</vt:lpstr>
      <vt:lpstr>Vermogen_Verbruik_lager</vt:lpstr>
      <vt:lpstr>Versie</vt:lpstr>
      <vt:lpstr>Verwarming_1</vt:lpstr>
      <vt:lpstr>Vloer_Detail</vt:lpstr>
      <vt:lpstr>Vloer_Opp</vt:lpstr>
      <vt:lpstr>Vloer_Rc</vt:lpstr>
      <vt:lpstr>Vloer_Rc_b</vt:lpstr>
      <vt:lpstr>Vloer_Verbruik</vt:lpstr>
      <vt:lpstr>Vloer_Verbruik_b</vt:lpstr>
      <vt:lpstr>Vloerverwarming</vt:lpstr>
      <vt:lpstr>Warmtepomp_beta</vt:lpstr>
      <vt:lpstr>Warmtepomp_beta_hybrid</vt:lpstr>
      <vt:lpstr>Warmtepomp_kW</vt:lpstr>
      <vt:lpstr>Warmtepomp_kW_b</vt:lpstr>
      <vt:lpstr>Warmtepomp_kWh</vt:lpstr>
      <vt:lpstr>Warmtepomp_kWh_b</vt:lpstr>
      <vt:lpstr>Warmtepomp_m3</vt:lpstr>
      <vt:lpstr>Warmtepomp_SCOP</vt:lpstr>
      <vt:lpstr>Warmtepomp_Zon</vt:lpstr>
      <vt:lpstr>Warmtepomp_Zon_b</vt:lpstr>
      <vt:lpstr>WarmteProductie_pp</vt:lpstr>
      <vt:lpstr>WarmWater_Gebruik</vt:lpstr>
      <vt:lpstr>WarmWater_L</vt:lpstr>
      <vt:lpstr>WarmWater_T</vt:lpstr>
      <vt:lpstr>WarmWater_Verbruik</vt:lpstr>
      <vt:lpstr>WarmWater_Verbruik_b</vt:lpstr>
      <vt:lpstr>WoningType</vt:lpstr>
      <vt:lpstr>WoningType_L</vt:lpstr>
      <vt:lpstr>WoningType_T</vt:lpstr>
      <vt:lpstr>WoningType_W</vt:lpstr>
      <vt:lpstr>Woonplaats</vt:lpstr>
      <vt:lpstr>WT</vt:lpstr>
      <vt:lpstr>Zoldervloer_Rc</vt:lpstr>
      <vt:lpstr>Zon_in</vt:lpstr>
      <vt:lpstr>Zonnepaneel_Opbrengst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 Pensioen</dc:creator>
  <cp:keywords/>
  <dc:description/>
  <cp:lastModifiedBy>Stef Mientki</cp:lastModifiedBy>
  <cp:revision/>
  <cp:lastPrinted>2023-08-25T15:12:10Z</cp:lastPrinted>
  <dcterms:created xsi:type="dcterms:W3CDTF">2022-06-02T21:07:40Z</dcterms:created>
  <dcterms:modified xsi:type="dcterms:W3CDTF">2023-09-20T17:18:59Z</dcterms:modified>
  <cp:category/>
  <cp:contentStatus/>
</cp:coreProperties>
</file>