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adu\Articole\Republica\"/>
    </mc:Choice>
  </mc:AlternateContent>
  <xr:revisionPtr revIDLastSave="0" documentId="13_ncr:1_{A423C82F-FA43-44BD-899F-1A59917B5B3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24" sheetId="11" r:id="rId1"/>
    <sheet name="Comparatie taxe 2024" sheetId="12" r:id="rId2"/>
    <sheet name="2023" sheetId="9" r:id="rId3"/>
    <sheet name="Comparatie taxe 2023" sheetId="10" r:id="rId4"/>
  </sheets>
  <calcPr calcId="181029"/>
</workbook>
</file>

<file path=xl/calcChain.xml><?xml version="1.0" encoding="utf-8"?>
<calcChain xmlns="http://schemas.openxmlformats.org/spreadsheetml/2006/main">
  <c r="M9" i="12" l="1"/>
  <c r="N9" i="12"/>
  <c r="O9" i="12"/>
  <c r="P9" i="12"/>
  <c r="L9" i="12"/>
  <c r="H9" i="12"/>
  <c r="I9" i="12"/>
  <c r="J9" i="12"/>
  <c r="K9" i="12"/>
  <c r="G9" i="12"/>
  <c r="C9" i="12"/>
  <c r="D9" i="12"/>
  <c r="E9" i="12"/>
  <c r="F9" i="12"/>
  <c r="B9" i="12"/>
  <c r="I22" i="9"/>
  <c r="F22" i="9"/>
  <c r="C22" i="9"/>
  <c r="I14" i="9"/>
  <c r="I18" i="11"/>
  <c r="P16" i="11"/>
  <c r="P15" i="11"/>
  <c r="S15" i="11" s="1"/>
  <c r="I10" i="11"/>
  <c r="F9" i="11"/>
  <c r="F11" i="11" s="1"/>
  <c r="C9" i="11"/>
  <c r="Q8" i="11"/>
  <c r="C8" i="11"/>
  <c r="C10" i="11" s="1"/>
  <c r="Q7" i="11"/>
  <c r="Q9" i="11" s="1"/>
  <c r="K7" i="11"/>
  <c r="I5" i="11" s="1"/>
  <c r="C20" i="11" l="1"/>
  <c r="C22" i="11" s="1"/>
  <c r="I12" i="11"/>
  <c r="I9" i="11"/>
  <c r="I11" i="11" s="1"/>
  <c r="S16" i="11"/>
  <c r="S17" i="11" s="1"/>
  <c r="F10" i="11"/>
  <c r="F12" i="11" s="1"/>
  <c r="I18" i="9"/>
  <c r="P16" i="9"/>
  <c r="P15" i="9"/>
  <c r="S16" i="9" s="1"/>
  <c r="C9" i="9"/>
  <c r="C8" i="9"/>
  <c r="K7" i="9"/>
  <c r="I5" i="9" s="1"/>
  <c r="Q8" i="9"/>
  <c r="Q7" i="9"/>
  <c r="F9" i="9"/>
  <c r="F11" i="9" s="1"/>
  <c r="I13" i="11" l="1"/>
  <c r="F20" i="11"/>
  <c r="F22" i="11" s="1"/>
  <c r="I9" i="9"/>
  <c r="I10" i="9"/>
  <c r="Q9" i="9"/>
  <c r="S15" i="9"/>
  <c r="I11" i="9"/>
  <c r="S17" i="9"/>
  <c r="F10" i="9"/>
  <c r="C10" i="9"/>
  <c r="C20" i="9" s="1"/>
  <c r="I13" i="9"/>
  <c r="I12" i="9"/>
  <c r="I14" i="11" l="1"/>
  <c r="I15" i="11" s="1"/>
  <c r="I16" i="11" s="1"/>
  <c r="I17" i="11" s="1"/>
  <c r="I20" i="11" s="1"/>
  <c r="I22" i="11" s="1"/>
  <c r="F12" i="9"/>
  <c r="F20" i="9" s="1"/>
  <c r="I15" i="9" l="1"/>
  <c r="I16" i="9" s="1"/>
  <c r="I17" i="9" l="1"/>
  <c r="I20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radug</author>
  </authors>
  <commentList>
    <comment ref="I9" authorId="0" shapeId="0" xr:uid="{4EB7C6C9-81A0-4A9E-9554-7A6F9867E8F2}">
      <text>
        <r>
          <rPr>
            <b/>
            <sz val="9"/>
            <color indexed="81"/>
            <rFont val="Tahoma"/>
            <family val="2"/>
          </rPr>
          <t>radug:</t>
        </r>
        <r>
          <rPr>
            <sz val="9"/>
            <color indexed="81"/>
            <rFont val="Tahoma"/>
            <family val="2"/>
          </rPr>
          <t xml:space="preserve">
CAS calculat la salariul minim
</t>
        </r>
      </text>
    </comment>
    <comment ref="I10" authorId="0" shapeId="0" xr:uid="{CFE92177-1717-4C8D-99CE-91A2EFF0ED21}">
      <text>
        <r>
          <rPr>
            <b/>
            <sz val="9"/>
            <color indexed="81"/>
            <rFont val="Tahoma"/>
            <family val="2"/>
          </rPr>
          <t>radug:</t>
        </r>
        <r>
          <rPr>
            <sz val="9"/>
            <color indexed="81"/>
            <rFont val="Tahoma"/>
            <family val="2"/>
          </rPr>
          <t xml:space="preserve">
CASS calculat la salariul minim</t>
        </r>
      </text>
    </comment>
  </commentList>
</comments>
</file>

<file path=xl/sharedStrings.xml><?xml version="1.0" encoding="utf-8"?>
<sst xmlns="http://schemas.openxmlformats.org/spreadsheetml/2006/main" count="167" uniqueCount="56">
  <si>
    <t>CAS</t>
  </si>
  <si>
    <t>CASS</t>
  </si>
  <si>
    <t>Impozit venit</t>
  </si>
  <si>
    <t>Impozit profit</t>
  </si>
  <si>
    <t>Profit contabil</t>
  </si>
  <si>
    <t>CASS dividend</t>
  </si>
  <si>
    <t>Impozit micro</t>
  </si>
  <si>
    <t>Suma de bani finala primita de persoana fizica</t>
  </si>
  <si>
    <t>Venit lunar</t>
  </si>
  <si>
    <t>Impozit pe dividende</t>
  </si>
  <si>
    <t>Salariat</t>
  </si>
  <si>
    <t>Dividende primite</t>
  </si>
  <si>
    <t>PFA</t>
  </si>
  <si>
    <t>SRL</t>
  </si>
  <si>
    <t>Da</t>
  </si>
  <si>
    <t>Nu</t>
  </si>
  <si>
    <t>Salariu brut lunar</t>
  </si>
  <si>
    <t>Simulare calcul taxe 2023 pentru salariati, PFA-uri si SRL-uri</t>
  </si>
  <si>
    <t>salariu minim brut 2023</t>
  </si>
  <si>
    <t>impozit venit</t>
  </si>
  <si>
    <t>impozit dividende</t>
  </si>
  <si>
    <t>impozit micro</t>
  </si>
  <si>
    <t>impozit pe profit</t>
  </si>
  <si>
    <t>Venit net</t>
  </si>
  <si>
    <t>lei</t>
  </si>
  <si>
    <t>Venit anual peste 500.000 euro</t>
  </si>
  <si>
    <t>Tip SRL</t>
  </si>
  <si>
    <t>curs euro</t>
  </si>
  <si>
    <t>Venituri din consultanta mai mici de 20% din venit</t>
  </si>
  <si>
    <t>Cel puţin un salariat cu norma intreaga ( 8 ore / zi)</t>
  </si>
  <si>
    <t>Asociatul are cel mult 3 firme micro</t>
  </si>
  <si>
    <t>Cheltuieli deductibile diverse: telefonie, leasing, combustibil etc</t>
  </si>
  <si>
    <t>Selectati DA/NU</t>
  </si>
  <si>
    <t>Impozit pe profit</t>
  </si>
  <si>
    <t>Impozit venit salariat</t>
  </si>
  <si>
    <t xml:space="preserve">suma neimpozabila </t>
  </si>
  <si>
    <t>Suma impozabila pentru un salariu brut de 3.000 lei</t>
  </si>
  <si>
    <t>Micro</t>
  </si>
  <si>
    <t>5.000 lei</t>
  </si>
  <si>
    <t>10.000 lei</t>
  </si>
  <si>
    <t>20.000 lei</t>
  </si>
  <si>
    <t>Contributia asiguratorie pentru munca (CAM)</t>
  </si>
  <si>
    <t>Simulare calcul taxe 2024 pentru salariati, PFA-uri si SRL-uri</t>
  </si>
  <si>
    <t>Nota : se completeaza doar in celule care au culoarea galben</t>
  </si>
  <si>
    <t>Firma activeaza in domeniile: IT, stomatologie, medicina, HoReCa</t>
  </si>
  <si>
    <t>Conditii SRL 2024</t>
  </si>
  <si>
    <t>Conditii SRL 2023</t>
  </si>
  <si>
    <t>salariu minim brut 2024</t>
  </si>
  <si>
    <t>Procent Taxe</t>
  </si>
  <si>
    <t>Angajat impozitat normal</t>
  </si>
  <si>
    <t>Venit lunar / norma venit</t>
  </si>
  <si>
    <t>Micro impozit 1%</t>
  </si>
  <si>
    <t>Micro impozit 3%</t>
  </si>
  <si>
    <t>Venit net/ norma de venit</t>
  </si>
  <si>
    <t>Angajat scutit de impozit: IT, constructii, agricultura</t>
  </si>
  <si>
    <t>Alege tipul de angajat in functie de modul de impozitare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</si>
</sst>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  <font>
      <sz val="14"/>
      <color theme="1"/>
      <name val="Arial"/>
      <family val="2"/>
    </font>
    <font>
      <sz val="11"/>
      <color theme="0"/>
      <name val="Arial"/>
      <family val="2"/>
    </font>
    <font>
      <b/>
      <sz val="14"/>
      <color theme="1"/>
      <name val="Arial"/>
      <family val="2"/>
    </font>
    <font>
      <b/>
      <u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Arial"/>
      <family val="2"/>
    </font>
    <font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3" fontId="0" fillId="0" borderId="0" xfId="0" applyNumberFormat="1"/>
    <xf numFmtId="0" fontId="3" fillId="0" borderId="0" xfId="0" applyFont="1"/>
    <xf numFmtId="0" fontId="4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left"/>
    </xf>
    <xf numFmtId="3" fontId="4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9" fontId="3" fillId="0" borderId="0" xfId="1" applyFont="1" applyAlignment="1">
      <alignment horizontal="center"/>
    </xf>
    <xf numFmtId="3" fontId="3" fillId="3" borderId="0" xfId="0" applyNumberFormat="1" applyFont="1" applyFill="1" applyAlignment="1">
      <alignment horizontal="center"/>
    </xf>
    <xf numFmtId="4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3" fillId="0" borderId="3" xfId="0" applyFont="1" applyBorder="1"/>
    <xf numFmtId="3" fontId="3" fillId="3" borderId="4" xfId="0" applyNumberFormat="1" applyFont="1" applyFill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3" fontId="3" fillId="0" borderId="3" xfId="0" applyNumberFormat="1" applyFont="1" applyBorder="1" applyAlignment="1">
      <alignment horizontal="left"/>
    </xf>
    <xf numFmtId="0" fontId="3" fillId="0" borderId="5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1" xfId="0" applyFont="1" applyBorder="1"/>
    <xf numFmtId="0" fontId="4" fillId="0" borderId="3" xfId="0" applyFont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4" fillId="0" borderId="0" xfId="0" applyFont="1" applyAlignment="1">
      <alignment horizontal="center" vertical="center" wrapText="1"/>
    </xf>
    <xf numFmtId="3" fontId="3" fillId="3" borderId="0" xfId="0" applyNumberFormat="1" applyFont="1" applyFill="1" applyAlignment="1">
      <alignment horizontal="center" vertical="center"/>
    </xf>
    <xf numFmtId="4" fontId="3" fillId="0" borderId="0" xfId="0" applyNumberFormat="1" applyFont="1" applyAlignment="1">
      <alignment horizontal="center"/>
    </xf>
    <xf numFmtId="10" fontId="3" fillId="0" borderId="0" xfId="0" applyNumberFormat="1" applyFont="1"/>
    <xf numFmtId="10" fontId="3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9" fontId="12" fillId="0" borderId="0" xfId="0" applyNumberFormat="1" applyFont="1" applyAlignment="1">
      <alignment horizontal="center"/>
    </xf>
    <xf numFmtId="0" fontId="13" fillId="0" borderId="0" xfId="0" applyFont="1"/>
    <xf numFmtId="3" fontId="3" fillId="3" borderId="4" xfId="0" applyNumberFormat="1" applyFont="1" applyFill="1" applyBorder="1" applyAlignment="1">
      <alignment horizontal="center" wrapText="1"/>
    </xf>
    <xf numFmtId="3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3" fontId="7" fillId="4" borderId="1" xfId="0" applyNumberFormat="1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1066800</xdr:colOff>
      <xdr:row>1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822F09-978E-4F4A-8DEC-ACF78AE93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03960" cy="350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60960</xdr:rowOff>
    </xdr:from>
    <xdr:to>
      <xdr:col>0</xdr:col>
      <xdr:colOff>1203960</xdr:colOff>
      <xdr:row>2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8A0DD3-24CA-46FA-934D-63D0AB6798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"/>
          <a:ext cx="1203960" cy="350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1066800</xdr:colOff>
      <xdr:row>1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A2289A-6C1F-4864-B218-94D71F352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03960" cy="350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60960</xdr:rowOff>
    </xdr:from>
    <xdr:to>
      <xdr:col>0</xdr:col>
      <xdr:colOff>1203960</xdr:colOff>
      <xdr:row>2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EA50FF-41FE-4657-B80B-18B66BFE9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"/>
          <a:ext cx="1203960" cy="350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665A2-A183-4ECD-8BA3-78CB2CE592B0}">
  <dimension ref="B2:S25"/>
  <sheetViews>
    <sheetView tabSelected="1" workbookViewId="0">
      <pane xSplit="2" ySplit="6" topLeftCell="C7" activePane="bottomRight" state="frozen"/>
      <selection pane="topRight" activeCell="C1" sqref="C1"/>
      <selection pane="bottomLeft" activeCell="A5" sqref="A5"/>
      <selection pane="bottomRight" activeCell="E4" sqref="E4"/>
    </sheetView>
  </sheetViews>
  <sheetFormatPr defaultRowHeight="14.4" x14ac:dyDescent="0.3"/>
  <cols>
    <col min="1" max="1" width="2" customWidth="1"/>
    <col min="2" max="2" width="34.109375" style="2" customWidth="1"/>
    <col min="3" max="3" width="24.44140625" customWidth="1"/>
    <col min="4" max="4" width="3.77734375" customWidth="1"/>
    <col min="5" max="5" width="26.88671875" customWidth="1"/>
    <col min="6" max="6" width="12" customWidth="1"/>
    <col min="7" max="7" width="4.109375" customWidth="1"/>
    <col min="8" max="8" width="25.5546875" customWidth="1"/>
    <col min="9" max="9" width="18.109375" customWidth="1"/>
    <col min="10" max="10" width="32.6640625" customWidth="1"/>
    <col min="11" max="11" width="8.44140625" customWidth="1"/>
    <col min="12" max="12" width="19.6640625" customWidth="1"/>
    <col min="13" max="13" width="8.88671875" style="2"/>
    <col min="16" max="16" width="8.88671875" style="9"/>
  </cols>
  <sheetData>
    <row r="2" spans="2:19" ht="20.399999999999999" x14ac:dyDescent="0.35">
      <c r="C2" s="41" t="s">
        <v>42</v>
      </c>
      <c r="H2" s="3"/>
    </row>
    <row r="3" spans="2:19" ht="17.399999999999999" x14ac:dyDescent="0.3">
      <c r="C3" s="6"/>
    </row>
    <row r="4" spans="2:19" ht="18" thickBot="1" x14ac:dyDescent="0.35">
      <c r="B4" s="33" t="s">
        <v>43</v>
      </c>
      <c r="C4" s="6"/>
    </row>
    <row r="5" spans="2:19" ht="16.2" thickBot="1" x14ac:dyDescent="0.35">
      <c r="H5" s="29" t="s">
        <v>26</v>
      </c>
      <c r="I5" s="22" t="str">
        <f>IF(OR(K7="Da",K8="Nu",K9="Nu",K10="Nu"),"Impozit pe profit",IF(AND(K11="Nu",I7&lt;60000*P13/12),"Micro impozit 1%","Micro impozit 3%"))</f>
        <v>Micro impozit 1%</v>
      </c>
      <c r="J5" s="5"/>
      <c r="K5" s="5"/>
    </row>
    <row r="6" spans="2:19" s="3" customFormat="1" ht="17.399999999999999" x14ac:dyDescent="0.3">
      <c r="B6" s="21" t="s">
        <v>24</v>
      </c>
      <c r="C6" s="22" t="s">
        <v>10</v>
      </c>
      <c r="D6" s="5"/>
      <c r="E6" s="21" t="s">
        <v>24</v>
      </c>
      <c r="F6" s="22" t="s">
        <v>12</v>
      </c>
      <c r="G6" s="5"/>
      <c r="H6" s="30" t="s">
        <v>24</v>
      </c>
      <c r="I6" s="31" t="s">
        <v>13</v>
      </c>
      <c r="J6" s="32" t="s">
        <v>45</v>
      </c>
      <c r="K6" s="5"/>
      <c r="M6" s="7" t="s">
        <v>47</v>
      </c>
      <c r="P6" s="8">
        <v>3300</v>
      </c>
      <c r="R6" s="7" t="s">
        <v>14</v>
      </c>
      <c r="S6" s="3" t="s">
        <v>49</v>
      </c>
    </row>
    <row r="7" spans="2:19" ht="15" x14ac:dyDescent="0.3">
      <c r="B7" s="23" t="s">
        <v>16</v>
      </c>
      <c r="C7" s="24">
        <v>10000</v>
      </c>
      <c r="D7" s="4"/>
      <c r="E7" s="23" t="s">
        <v>50</v>
      </c>
      <c r="F7" s="24">
        <v>10000</v>
      </c>
      <c r="G7" s="4"/>
      <c r="H7" s="23" t="s">
        <v>8</v>
      </c>
      <c r="I7" s="24">
        <v>10000</v>
      </c>
      <c r="J7" s="34" t="s">
        <v>25</v>
      </c>
      <c r="K7" s="4" t="str">
        <f>IF(I7/P13*12&lt;500000,"Nu","Da")</f>
        <v>Nu</v>
      </c>
      <c r="M7" s="2" t="s">
        <v>0</v>
      </c>
      <c r="P7" s="10">
        <v>0.25</v>
      </c>
      <c r="Q7">
        <f>P6*P7</f>
        <v>825</v>
      </c>
      <c r="R7" s="7" t="s">
        <v>15</v>
      </c>
      <c r="S7" t="s">
        <v>54</v>
      </c>
    </row>
    <row r="8" spans="2:19" ht="51.6" customHeight="1" x14ac:dyDescent="0.3">
      <c r="B8" s="23" t="s">
        <v>0</v>
      </c>
      <c r="C8" s="25">
        <f>C7*P7</f>
        <v>2500</v>
      </c>
      <c r="D8" s="4"/>
      <c r="E8" s="28" t="s">
        <v>31</v>
      </c>
      <c r="F8" s="24"/>
      <c r="G8" s="4"/>
      <c r="H8" s="28" t="s">
        <v>31</v>
      </c>
      <c r="I8" s="24"/>
      <c r="J8" s="34" t="s">
        <v>28</v>
      </c>
      <c r="K8" s="35" t="s">
        <v>14</v>
      </c>
      <c r="L8" s="7" t="s">
        <v>32</v>
      </c>
      <c r="M8" s="2" t="s">
        <v>1</v>
      </c>
      <c r="P8" s="10">
        <v>0.1</v>
      </c>
      <c r="Q8">
        <f>P6*P8</f>
        <v>330</v>
      </c>
    </row>
    <row r="9" spans="2:19" ht="35.4" customHeight="1" x14ac:dyDescent="0.3">
      <c r="B9" s="23" t="s">
        <v>1</v>
      </c>
      <c r="C9" s="25">
        <f>C7*P8</f>
        <v>1000</v>
      </c>
      <c r="D9" s="4"/>
      <c r="E9" s="26" t="s">
        <v>53</v>
      </c>
      <c r="F9" s="25">
        <f>F7-F8</f>
        <v>10000</v>
      </c>
      <c r="G9" s="4"/>
      <c r="H9" s="26" t="s">
        <v>0</v>
      </c>
      <c r="I9" s="25">
        <f>IF(K9="Da",P15*P7,0)</f>
        <v>775</v>
      </c>
      <c r="J9" s="34" t="s">
        <v>29</v>
      </c>
      <c r="K9" s="35" t="s">
        <v>14</v>
      </c>
      <c r="L9" s="7" t="s">
        <v>32</v>
      </c>
      <c r="M9" s="2" t="s">
        <v>19</v>
      </c>
      <c r="P9" s="10">
        <v>0.1</v>
      </c>
      <c r="Q9">
        <f>(P6-Q7-Q8)*P9</f>
        <v>214.5</v>
      </c>
    </row>
    <row r="10" spans="2:19" ht="31.2" customHeight="1" x14ac:dyDescent="0.3">
      <c r="B10" s="26" t="s">
        <v>34</v>
      </c>
      <c r="C10" s="25">
        <f>IF(C12="Angajat impozitat normal",(C7-C8-C9)*10%,IF(C7&lt;10000,0,(C7-6500-C8-C9)*0.1))</f>
        <v>650</v>
      </c>
      <c r="D10" s="4"/>
      <c r="E10" s="26" t="s">
        <v>0</v>
      </c>
      <c r="F10" s="25">
        <f>IF(AND($F$9&gt;=$P$6,$F$9&lt;$P$6*2),$P$6*$P$7,IF($F$9&gt;=$P$6*2,$P$6*$P$7*2,0))</f>
        <v>1650</v>
      </c>
      <c r="G10" s="4"/>
      <c r="H10" s="26" t="s">
        <v>1</v>
      </c>
      <c r="I10" s="25">
        <f>IF(K9="Da",P15*P8,0)</f>
        <v>310</v>
      </c>
      <c r="J10" s="34" t="s">
        <v>30</v>
      </c>
      <c r="K10" s="35" t="s">
        <v>14</v>
      </c>
      <c r="L10" s="7" t="s">
        <v>32</v>
      </c>
      <c r="M10" s="2" t="s">
        <v>20</v>
      </c>
      <c r="P10" s="10">
        <v>0.08</v>
      </c>
    </row>
    <row r="11" spans="2:19" ht="39.6" customHeight="1" x14ac:dyDescent="0.3">
      <c r="B11" s="23"/>
      <c r="C11" s="25"/>
      <c r="D11" s="4"/>
      <c r="E11" s="26" t="s">
        <v>1</v>
      </c>
      <c r="F11" s="25">
        <f>IF(F9&gt;P6*5,P6*5*P8,F9*P8)</f>
        <v>1000</v>
      </c>
      <c r="G11" s="4"/>
      <c r="H11" s="26" t="s">
        <v>34</v>
      </c>
      <c r="I11" s="25">
        <f>IF(K9="Da",(P15-I9-I10)*10%,0)</f>
        <v>201.5</v>
      </c>
      <c r="J11" s="34" t="s">
        <v>44</v>
      </c>
      <c r="K11" s="35" t="s">
        <v>15</v>
      </c>
      <c r="L11" s="7" t="s">
        <v>32</v>
      </c>
      <c r="M11" s="2" t="s">
        <v>21</v>
      </c>
      <c r="P11" s="10">
        <v>0.01</v>
      </c>
    </row>
    <row r="12" spans="2:19" ht="33" customHeight="1" x14ac:dyDescent="0.3">
      <c r="B12" s="28" t="s">
        <v>55</v>
      </c>
      <c r="C12" s="42" t="s">
        <v>49</v>
      </c>
      <c r="D12" s="4"/>
      <c r="E12" s="26" t="s">
        <v>2</v>
      </c>
      <c r="F12" s="25">
        <f>(F9-F10-F11)*P9</f>
        <v>735</v>
      </c>
      <c r="G12" s="4"/>
      <c r="H12" s="23" t="s">
        <v>6</v>
      </c>
      <c r="I12" s="25">
        <f>IF(I5="Micro impozit 1%",I7*1%,IF(I5="Micro impozit 3%",I7*3%,IF(I5="Impozit pe profit",0)))</f>
        <v>100</v>
      </c>
      <c r="J12" s="36"/>
      <c r="K12" s="4"/>
      <c r="M12" s="2" t="s">
        <v>22</v>
      </c>
      <c r="P12" s="10">
        <v>0.16</v>
      </c>
    </row>
    <row r="13" spans="2:19" x14ac:dyDescent="0.3">
      <c r="B13" s="23"/>
      <c r="C13" s="25"/>
      <c r="D13" s="4"/>
      <c r="E13" s="26"/>
      <c r="F13" s="25"/>
      <c r="G13" s="4"/>
      <c r="H13" s="23" t="s">
        <v>33</v>
      </c>
      <c r="I13" s="25">
        <f>IF(I5="Impozit pe profit",(I7-I8)*16%,0)</f>
        <v>0</v>
      </c>
      <c r="J13" s="4"/>
      <c r="K13" s="4"/>
      <c r="M13" s="2" t="s">
        <v>27</v>
      </c>
      <c r="P13" s="12">
        <v>4.9400000000000004</v>
      </c>
    </row>
    <row r="14" spans="2:19" x14ac:dyDescent="0.3">
      <c r="B14" s="23"/>
      <c r="C14" s="25"/>
      <c r="D14" s="4"/>
      <c r="E14" s="26"/>
      <c r="F14" s="25"/>
      <c r="G14" s="4"/>
      <c r="H14" s="23" t="s">
        <v>4</v>
      </c>
      <c r="I14" s="25">
        <f>IF(K9="Da",I7-I8-P6-I12-I13,I7-I8-I12-I13)</f>
        <v>6600</v>
      </c>
      <c r="J14" s="4"/>
      <c r="K14" s="4"/>
      <c r="M14" s="2" t="s">
        <v>35</v>
      </c>
      <c r="P14" s="9">
        <v>200</v>
      </c>
    </row>
    <row r="15" spans="2:19" x14ac:dyDescent="0.3">
      <c r="B15" s="23"/>
      <c r="C15" s="25"/>
      <c r="D15" s="4"/>
      <c r="E15" s="26"/>
      <c r="F15" s="25"/>
      <c r="G15" s="4"/>
      <c r="H15" s="23" t="s">
        <v>9</v>
      </c>
      <c r="I15" s="25">
        <f>I14*P10</f>
        <v>528</v>
      </c>
      <c r="J15" s="4"/>
      <c r="K15" s="4"/>
      <c r="M15" s="2" t="s">
        <v>36</v>
      </c>
      <c r="P15" s="9">
        <f>P6-P14</f>
        <v>3100</v>
      </c>
      <c r="S15">
        <f>P15*P7</f>
        <v>775</v>
      </c>
    </row>
    <row r="16" spans="2:19" x14ac:dyDescent="0.3">
      <c r="B16" s="23"/>
      <c r="C16" s="25"/>
      <c r="D16" s="4"/>
      <c r="E16" s="26"/>
      <c r="F16" s="25"/>
      <c r="G16" s="4"/>
      <c r="H16" s="23" t="s">
        <v>11</v>
      </c>
      <c r="I16" s="25">
        <f>I14-I15</f>
        <v>6072</v>
      </c>
      <c r="J16" s="4"/>
      <c r="K16" s="4"/>
      <c r="M16" s="2" t="s">
        <v>41</v>
      </c>
      <c r="P16" s="9">
        <f>P6*2.25%</f>
        <v>74.25</v>
      </c>
      <c r="S16">
        <f>P15*P8</f>
        <v>310</v>
      </c>
    </row>
    <row r="17" spans="2:19" x14ac:dyDescent="0.3">
      <c r="B17" s="23"/>
      <c r="C17" s="25"/>
      <c r="D17" s="4"/>
      <c r="E17" s="26"/>
      <c r="F17" s="25"/>
      <c r="G17" s="4"/>
      <c r="H17" s="23" t="s">
        <v>5</v>
      </c>
      <c r="I17" s="25">
        <f>IF(AND(I16&gt;=$P$6,I16&lt;$P$6*2),$P$6*$P$8,IF(I16&gt;=$P$6*2,$P$6*$P$8*2,IF(AND(I16&lt;P6,I16&gt;P6/2),P6*P8/2,0)))</f>
        <v>330</v>
      </c>
      <c r="J17" s="4"/>
      <c r="K17" s="4"/>
      <c r="S17">
        <f>(P15-S15-S16)*10%</f>
        <v>201.5</v>
      </c>
    </row>
    <row r="18" spans="2:19" x14ac:dyDescent="0.3">
      <c r="B18" s="23"/>
      <c r="C18" s="25"/>
      <c r="D18" s="4"/>
      <c r="E18" s="26"/>
      <c r="F18" s="25"/>
      <c r="G18" s="4"/>
      <c r="H18" s="2" t="s">
        <v>41</v>
      </c>
      <c r="I18" s="25">
        <f>IF(K9="Da",2.25%*P6,0)</f>
        <v>74.25</v>
      </c>
      <c r="J18" s="4"/>
      <c r="K18" s="4"/>
    </row>
    <row r="19" spans="2:19" x14ac:dyDescent="0.3">
      <c r="B19" s="23"/>
      <c r="C19" s="25"/>
      <c r="D19" s="4"/>
      <c r="E19" s="26"/>
      <c r="F19" s="25"/>
      <c r="G19" s="4"/>
      <c r="H19" s="23"/>
      <c r="I19" s="25"/>
      <c r="J19" s="4"/>
      <c r="K19" s="4"/>
    </row>
    <row r="20" spans="2:19" ht="28.8" customHeight="1" thickBot="1" x14ac:dyDescent="0.35">
      <c r="B20" s="27" t="s">
        <v>7</v>
      </c>
      <c r="C20" s="20">
        <f>C7-SUM(C8:C10)</f>
        <v>5850</v>
      </c>
      <c r="D20" s="4"/>
      <c r="E20" s="27" t="s">
        <v>7</v>
      </c>
      <c r="F20" s="20">
        <f>F9-SUM(F10:F12)</f>
        <v>6615</v>
      </c>
      <c r="G20" s="4"/>
      <c r="H20" s="27" t="s">
        <v>7</v>
      </c>
      <c r="I20" s="20">
        <f>IF(K9="Da",I16-I17-I18-I9-I10-I11+P6,I16-I17-I18)</f>
        <v>7681.25</v>
      </c>
      <c r="J20" s="4"/>
      <c r="K20" s="4"/>
    </row>
    <row r="21" spans="2:19" x14ac:dyDescent="0.3">
      <c r="C21" s="10"/>
      <c r="D21" s="4"/>
      <c r="E21" s="2"/>
      <c r="F21" s="10"/>
      <c r="G21" s="4"/>
      <c r="H21" s="2"/>
      <c r="I21" s="10"/>
      <c r="J21" s="4"/>
      <c r="K21" s="4"/>
    </row>
    <row r="22" spans="2:19" x14ac:dyDescent="0.3">
      <c r="B22" s="2" t="s">
        <v>48</v>
      </c>
      <c r="C22" s="38">
        <f>(C7-C20)/C7</f>
        <v>0.41499999999999998</v>
      </c>
      <c r="D22" s="38"/>
      <c r="E22" s="37" t="s">
        <v>48</v>
      </c>
      <c r="F22" s="38">
        <f>(F7-F20-F8)/F7</f>
        <v>0.33850000000000002</v>
      </c>
      <c r="G22" s="38"/>
      <c r="H22" s="37" t="s">
        <v>48</v>
      </c>
      <c r="I22" s="38">
        <f>(I7-I20-I8)/I7</f>
        <v>0.231875</v>
      </c>
      <c r="J22" s="4"/>
      <c r="K22" s="4"/>
    </row>
    <row r="23" spans="2:19" x14ac:dyDescent="0.3">
      <c r="B23" s="43"/>
      <c r="C23" s="44"/>
      <c r="D23" s="44"/>
      <c r="E23" s="44"/>
      <c r="F23" s="43"/>
      <c r="G23" s="44"/>
      <c r="H23" s="44"/>
      <c r="I23" s="44"/>
      <c r="J23" s="43"/>
      <c r="K23" s="44"/>
      <c r="L23" s="44"/>
      <c r="M23" s="44"/>
      <c r="N23" s="43"/>
      <c r="O23" s="44"/>
      <c r="P23" s="44"/>
      <c r="Q23" s="44"/>
    </row>
    <row r="24" spans="2:19" x14ac:dyDescent="0.3">
      <c r="F24" s="2"/>
      <c r="J24" s="2"/>
      <c r="M24"/>
      <c r="N24" s="2"/>
      <c r="P24"/>
    </row>
    <row r="25" spans="2:19" x14ac:dyDescent="0.3">
      <c r="C25" s="1"/>
    </row>
  </sheetData>
  <mergeCells count="4">
    <mergeCell ref="B23:E23"/>
    <mergeCell ref="F23:I23"/>
    <mergeCell ref="J23:M23"/>
    <mergeCell ref="N23:Q23"/>
  </mergeCells>
  <dataValidations count="2">
    <dataValidation type="list" allowBlank="1" showInputMessage="1" showErrorMessage="1" sqref="K8:K11 C13" xr:uid="{9E94D516-1387-4504-8BEF-89B892735224}">
      <formula1>$R$6:$R$7</formula1>
    </dataValidation>
    <dataValidation type="list" allowBlank="1" showInputMessage="1" showErrorMessage="1" sqref="C12" xr:uid="{7564B597-C6E1-4CF6-BAEC-BA64078100A7}">
      <formula1>$S$6:$S$7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13CD1-BFF2-405F-8628-1A4537C8C728}">
  <dimension ref="A2:P9"/>
  <sheetViews>
    <sheetView workbookViewId="0">
      <selection activeCell="J8" sqref="J8"/>
    </sheetView>
  </sheetViews>
  <sheetFormatPr defaultRowHeight="14.4" x14ac:dyDescent="0.3"/>
  <cols>
    <col min="1" max="1" width="22.109375" customWidth="1"/>
    <col min="4" max="4" width="16.77734375" customWidth="1"/>
    <col min="5" max="5" width="18.21875" customWidth="1"/>
    <col min="6" max="6" width="14.88671875" customWidth="1"/>
    <col min="9" max="9" width="16.21875" customWidth="1"/>
    <col min="10" max="10" width="14.33203125" customWidth="1"/>
    <col min="11" max="11" width="15.6640625" customWidth="1"/>
    <col min="14" max="14" width="16.21875" customWidth="1"/>
    <col min="15" max="15" width="17" customWidth="1"/>
    <col min="16" max="16" width="16.6640625" customWidth="1"/>
  </cols>
  <sheetData>
    <row r="2" spans="1:16" ht="17.399999999999999" x14ac:dyDescent="0.3">
      <c r="F2" s="6" t="s">
        <v>42</v>
      </c>
    </row>
    <row r="4" spans="1:16" s="1" customFormat="1" ht="15" thickBot="1" x14ac:dyDescent="0.35">
      <c r="D4" s="1">
        <v>5000</v>
      </c>
      <c r="I4" s="1">
        <v>10000</v>
      </c>
      <c r="N4" s="1">
        <v>20000</v>
      </c>
    </row>
    <row r="5" spans="1:16" x14ac:dyDescent="0.3">
      <c r="B5" s="45" t="s">
        <v>38</v>
      </c>
      <c r="C5" s="46"/>
      <c r="D5" s="46"/>
      <c r="E5" s="46"/>
      <c r="F5" s="47"/>
      <c r="G5" s="45" t="s">
        <v>39</v>
      </c>
      <c r="H5" s="46"/>
      <c r="I5" s="46"/>
      <c r="J5" s="46"/>
      <c r="K5" s="47"/>
      <c r="L5" s="45" t="s">
        <v>40</v>
      </c>
      <c r="M5" s="46"/>
      <c r="N5" s="46"/>
      <c r="O5" s="46"/>
      <c r="P5" s="47"/>
    </row>
    <row r="6" spans="1:16" s="14" customFormat="1" ht="13.8" x14ac:dyDescent="0.25">
      <c r="B6" s="16" t="s">
        <v>10</v>
      </c>
      <c r="C6" s="14" t="s">
        <v>12</v>
      </c>
      <c r="D6" s="14" t="s">
        <v>51</v>
      </c>
      <c r="E6" s="14" t="s">
        <v>52</v>
      </c>
      <c r="F6" s="17" t="s">
        <v>3</v>
      </c>
      <c r="G6" s="16" t="s">
        <v>10</v>
      </c>
      <c r="H6" s="14" t="s">
        <v>12</v>
      </c>
      <c r="I6" s="14" t="s">
        <v>51</v>
      </c>
      <c r="J6" s="14" t="s">
        <v>52</v>
      </c>
      <c r="K6" s="17" t="s">
        <v>3</v>
      </c>
      <c r="L6" s="16" t="s">
        <v>10</v>
      </c>
      <c r="M6" s="14" t="s">
        <v>12</v>
      </c>
      <c r="N6" s="14" t="s">
        <v>51</v>
      </c>
      <c r="O6" s="14" t="s">
        <v>52</v>
      </c>
      <c r="P6" s="17" t="s">
        <v>3</v>
      </c>
    </row>
    <row r="7" spans="1:16" s="2" customFormat="1" ht="48.6" customHeight="1" thickBot="1" x14ac:dyDescent="0.3">
      <c r="A7" s="15" t="s">
        <v>7</v>
      </c>
      <c r="B7" s="18">
        <v>2925</v>
      </c>
      <c r="C7" s="19">
        <v>3308</v>
      </c>
      <c r="D7" s="19">
        <v>3457</v>
      </c>
      <c r="E7" s="19">
        <v>3365</v>
      </c>
      <c r="F7" s="20">
        <v>3534</v>
      </c>
      <c r="G7" s="18">
        <v>5850</v>
      </c>
      <c r="H7" s="19">
        <v>6615</v>
      </c>
      <c r="I7" s="19">
        <v>7681</v>
      </c>
      <c r="J7" s="19">
        <v>7497</v>
      </c>
      <c r="K7" s="20">
        <v>7068</v>
      </c>
      <c r="L7" s="18">
        <v>11700</v>
      </c>
      <c r="M7" s="19">
        <v>15030</v>
      </c>
      <c r="N7" s="19">
        <v>16459</v>
      </c>
      <c r="O7" s="19">
        <v>16091</v>
      </c>
      <c r="P7" s="20">
        <v>14796</v>
      </c>
    </row>
    <row r="9" spans="1:16" s="39" customFormat="1" ht="13.8" x14ac:dyDescent="0.25">
      <c r="A9" s="39" t="s">
        <v>48</v>
      </c>
      <c r="B9" s="40">
        <f>($D$4-B7)/$D$4</f>
        <v>0.41499999999999998</v>
      </c>
      <c r="C9" s="40">
        <f t="shared" ref="C9:F9" si="0">($D$4-C7)/$D$4</f>
        <v>0.33839999999999998</v>
      </c>
      <c r="D9" s="40">
        <f t="shared" si="0"/>
        <v>0.30859999999999999</v>
      </c>
      <c r="E9" s="40">
        <f t="shared" si="0"/>
        <v>0.32700000000000001</v>
      </c>
      <c r="F9" s="40">
        <f t="shared" si="0"/>
        <v>0.29320000000000002</v>
      </c>
      <c r="G9" s="40">
        <f>($I$4-G7)/$I$4</f>
        <v>0.41499999999999998</v>
      </c>
      <c r="H9" s="40">
        <f t="shared" ref="H9:K9" si="1">($I$4-H7)/$I$4</f>
        <v>0.33850000000000002</v>
      </c>
      <c r="I9" s="40">
        <f t="shared" si="1"/>
        <v>0.2319</v>
      </c>
      <c r="J9" s="40">
        <f t="shared" si="1"/>
        <v>0.25030000000000002</v>
      </c>
      <c r="K9" s="40">
        <f t="shared" si="1"/>
        <v>0.29320000000000002</v>
      </c>
      <c r="L9" s="40">
        <f>($N$4-L7)/$N$4</f>
        <v>0.41499999999999998</v>
      </c>
      <c r="M9" s="40">
        <f t="shared" ref="M9:P9" si="2">($N$4-M7)/$N$4</f>
        <v>0.2485</v>
      </c>
      <c r="N9" s="40">
        <f t="shared" si="2"/>
        <v>0.17705000000000001</v>
      </c>
      <c r="O9" s="40">
        <f t="shared" si="2"/>
        <v>0.19545000000000001</v>
      </c>
      <c r="P9" s="40">
        <f t="shared" si="2"/>
        <v>0.26019999999999999</v>
      </c>
    </row>
  </sheetData>
  <mergeCells count="3">
    <mergeCell ref="B5:F5"/>
    <mergeCell ref="G5:K5"/>
    <mergeCell ref="L5:P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C0B97-AE8A-4D2E-9346-8DF09A0CC5BA}">
  <dimension ref="B2:S25"/>
  <sheetViews>
    <sheetView workbookViewId="0">
      <pane xSplit="2" ySplit="6" topLeftCell="C7" activePane="bottomRight" state="frozen"/>
      <selection pane="topRight" activeCell="C1" sqref="C1"/>
      <selection pane="bottomLeft" activeCell="A5" sqref="A5"/>
      <selection pane="bottomRight" activeCell="I20" sqref="I20"/>
    </sheetView>
  </sheetViews>
  <sheetFormatPr defaultRowHeight="14.4" x14ac:dyDescent="0.3"/>
  <cols>
    <col min="1" max="1" width="2" customWidth="1"/>
    <col min="2" max="2" width="29" style="2" customWidth="1"/>
    <col min="3" max="3" width="10.77734375" customWidth="1"/>
    <col min="4" max="4" width="3.77734375" customWidth="1"/>
    <col min="5" max="5" width="26.88671875" customWidth="1"/>
    <col min="6" max="6" width="12" customWidth="1"/>
    <col min="7" max="7" width="4.109375" customWidth="1"/>
    <col min="8" max="8" width="25.5546875" customWidth="1"/>
    <col min="9" max="9" width="18.109375" customWidth="1"/>
    <col min="10" max="10" width="48.5546875" customWidth="1"/>
    <col min="11" max="11" width="9.33203125" customWidth="1"/>
    <col min="12" max="12" width="19.6640625" customWidth="1"/>
    <col min="13" max="13" width="8.88671875" style="2"/>
    <col min="16" max="16" width="8.88671875" style="9"/>
  </cols>
  <sheetData>
    <row r="2" spans="2:19" ht="17.399999999999999" x14ac:dyDescent="0.3">
      <c r="C2" s="6" t="s">
        <v>17</v>
      </c>
    </row>
    <row r="3" spans="2:19" ht="17.399999999999999" x14ac:dyDescent="0.3">
      <c r="C3" s="6"/>
    </row>
    <row r="4" spans="2:19" ht="18" thickBot="1" x14ac:dyDescent="0.35">
      <c r="B4" s="33" t="s">
        <v>43</v>
      </c>
      <c r="C4" s="6"/>
    </row>
    <row r="5" spans="2:19" ht="16.2" thickBot="1" x14ac:dyDescent="0.35">
      <c r="H5" s="29" t="s">
        <v>26</v>
      </c>
      <c r="I5" s="22" t="str">
        <f>IF(OR(K7="Da",K8="Nu",K9="Nu",K10="Nu"),"Impozit pe profit","Impozit micro")</f>
        <v>Impozit micro</v>
      </c>
      <c r="J5" s="5"/>
      <c r="K5" s="5"/>
    </row>
    <row r="6" spans="2:19" s="3" customFormat="1" ht="17.399999999999999" x14ac:dyDescent="0.3">
      <c r="B6" s="21" t="s">
        <v>24</v>
      </c>
      <c r="C6" s="22" t="s">
        <v>10</v>
      </c>
      <c r="D6" s="5"/>
      <c r="E6" s="21" t="s">
        <v>24</v>
      </c>
      <c r="F6" s="22" t="s">
        <v>12</v>
      </c>
      <c r="G6" s="5"/>
      <c r="H6" s="30" t="s">
        <v>24</v>
      </c>
      <c r="I6" s="31" t="s">
        <v>13</v>
      </c>
      <c r="J6" s="32" t="s">
        <v>46</v>
      </c>
      <c r="K6" s="5"/>
      <c r="M6" s="7" t="s">
        <v>18</v>
      </c>
      <c r="P6" s="8">
        <v>3000</v>
      </c>
      <c r="R6" s="7" t="s">
        <v>14</v>
      </c>
    </row>
    <row r="7" spans="2:19" x14ac:dyDescent="0.3">
      <c r="B7" s="23" t="s">
        <v>16</v>
      </c>
      <c r="C7" s="24">
        <v>10000</v>
      </c>
      <c r="D7" s="4"/>
      <c r="E7" s="23" t="s">
        <v>8</v>
      </c>
      <c r="F7" s="24">
        <v>10000</v>
      </c>
      <c r="G7" s="4"/>
      <c r="H7" s="23" t="s">
        <v>8</v>
      </c>
      <c r="I7" s="24">
        <v>10000</v>
      </c>
      <c r="J7" s="4" t="s">
        <v>25</v>
      </c>
      <c r="K7" s="4" t="str">
        <f>IF(I7/P13*12&lt;500000,"Nu","Da")</f>
        <v>Nu</v>
      </c>
      <c r="M7" s="2" t="s">
        <v>0</v>
      </c>
      <c r="P7" s="10">
        <v>0.25</v>
      </c>
      <c r="Q7">
        <f>P6*P7</f>
        <v>750</v>
      </c>
      <c r="R7" s="7" t="s">
        <v>15</v>
      </c>
    </row>
    <row r="8" spans="2:19" ht="51.6" customHeight="1" x14ac:dyDescent="0.3">
      <c r="B8" s="23" t="s">
        <v>0</v>
      </c>
      <c r="C8" s="25">
        <f>C7*P7</f>
        <v>2500</v>
      </c>
      <c r="D8" s="4"/>
      <c r="E8" s="28" t="s">
        <v>31</v>
      </c>
      <c r="F8" s="24"/>
      <c r="G8" s="4"/>
      <c r="H8" s="28" t="s">
        <v>31</v>
      </c>
      <c r="I8" s="24"/>
      <c r="J8" s="4" t="s">
        <v>28</v>
      </c>
      <c r="K8" s="11" t="s">
        <v>14</v>
      </c>
      <c r="L8" s="7" t="s">
        <v>32</v>
      </c>
      <c r="M8" s="2" t="s">
        <v>1</v>
      </c>
      <c r="P8" s="10">
        <v>0.1</v>
      </c>
      <c r="Q8">
        <f>P6*P8</f>
        <v>300</v>
      </c>
    </row>
    <row r="9" spans="2:19" x14ac:dyDescent="0.3">
      <c r="B9" s="23" t="s">
        <v>1</v>
      </c>
      <c r="C9" s="25">
        <f>C7*P8</f>
        <v>1000</v>
      </c>
      <c r="D9" s="4"/>
      <c r="E9" s="26" t="s">
        <v>23</v>
      </c>
      <c r="F9" s="25">
        <f>F7-F8</f>
        <v>10000</v>
      </c>
      <c r="G9" s="4"/>
      <c r="H9" s="26" t="s">
        <v>0</v>
      </c>
      <c r="I9" s="25">
        <f>IF(K9="Da",P15*P7,0)</f>
        <v>700</v>
      </c>
      <c r="J9" s="13" t="s">
        <v>29</v>
      </c>
      <c r="K9" s="11" t="s">
        <v>14</v>
      </c>
      <c r="L9" s="7" t="s">
        <v>32</v>
      </c>
      <c r="M9" s="2" t="s">
        <v>19</v>
      </c>
      <c r="P9" s="10">
        <v>0.1</v>
      </c>
      <c r="Q9">
        <f>(P6-Q7-Q8)*P9</f>
        <v>195</v>
      </c>
    </row>
    <row r="10" spans="2:19" x14ac:dyDescent="0.3">
      <c r="B10" s="26" t="s">
        <v>34</v>
      </c>
      <c r="C10" s="25">
        <f>(C7-C8-C9)*P9</f>
        <v>650</v>
      </c>
      <c r="D10" s="4"/>
      <c r="E10" s="26" t="s">
        <v>0</v>
      </c>
      <c r="F10" s="25">
        <f>IF(AND($F$9&gt;=$P$6,$F$9&lt;$P$6*2),$P$6*$P$7,IF($F$9&gt;=$P$6*2,$P$6*$P$7*2,0))</f>
        <v>1500</v>
      </c>
      <c r="G10" s="4"/>
      <c r="H10" s="26" t="s">
        <v>1</v>
      </c>
      <c r="I10" s="25">
        <f>IF(K9="Da",P15*P8,0)</f>
        <v>280</v>
      </c>
      <c r="J10" s="4" t="s">
        <v>30</v>
      </c>
      <c r="K10" s="11" t="s">
        <v>14</v>
      </c>
      <c r="L10" s="7" t="s">
        <v>32</v>
      </c>
      <c r="M10" s="2" t="s">
        <v>20</v>
      </c>
      <c r="P10" s="10">
        <v>0.08</v>
      </c>
    </row>
    <row r="11" spans="2:19" x14ac:dyDescent="0.3">
      <c r="B11" s="23"/>
      <c r="C11" s="25"/>
      <c r="D11" s="4"/>
      <c r="E11" s="26" t="s">
        <v>1</v>
      </c>
      <c r="F11" s="25">
        <f>IF(AND($F$9&gt;=$P$6,$F$9&lt;$P$6*2),$P$6*$P$8,IF($F$9&gt;=$P$6*2,$P$6*$P$8*2,IF(AND(F9&lt;P6,F9&gt;P6/2),P6*P8/2,0)))</f>
        <v>600</v>
      </c>
      <c r="G11" s="4"/>
      <c r="H11" s="26" t="s">
        <v>34</v>
      </c>
      <c r="I11" s="25">
        <f>IF(K9="Da",(P15-I9-I10)*10%,0)</f>
        <v>182</v>
      </c>
      <c r="J11" s="4"/>
      <c r="K11" s="4"/>
      <c r="M11" s="2" t="s">
        <v>21</v>
      </c>
      <c r="P11" s="10">
        <v>0.01</v>
      </c>
    </row>
    <row r="12" spans="2:19" x14ac:dyDescent="0.3">
      <c r="B12" s="23"/>
      <c r="C12" s="25"/>
      <c r="D12" s="4"/>
      <c r="E12" s="26" t="s">
        <v>2</v>
      </c>
      <c r="F12" s="25">
        <f>(F9-F10)*P9</f>
        <v>850</v>
      </c>
      <c r="G12" s="4"/>
      <c r="H12" s="23" t="s">
        <v>6</v>
      </c>
      <c r="I12" s="25">
        <f>IF(I5="Impozit micro",I7*1%,0)</f>
        <v>100</v>
      </c>
      <c r="J12" s="4"/>
      <c r="K12" s="4"/>
      <c r="M12" s="2" t="s">
        <v>22</v>
      </c>
      <c r="P12" s="10">
        <v>0.16</v>
      </c>
    </row>
    <row r="13" spans="2:19" x14ac:dyDescent="0.3">
      <c r="B13" s="23"/>
      <c r="C13" s="25"/>
      <c r="D13" s="4"/>
      <c r="E13" s="26"/>
      <c r="F13" s="25"/>
      <c r="G13" s="4"/>
      <c r="H13" s="23" t="s">
        <v>33</v>
      </c>
      <c r="I13" s="25">
        <f>IF(I5="Impozit pe profit",(I7-I8)*16%,0)</f>
        <v>0</v>
      </c>
      <c r="J13" s="4"/>
      <c r="K13" s="4"/>
      <c r="M13" s="2" t="s">
        <v>27</v>
      </c>
      <c r="P13" s="12">
        <v>4.9400000000000004</v>
      </c>
    </row>
    <row r="14" spans="2:19" x14ac:dyDescent="0.3">
      <c r="B14" s="23"/>
      <c r="C14" s="25"/>
      <c r="D14" s="4"/>
      <c r="E14" s="26"/>
      <c r="F14" s="25"/>
      <c r="G14" s="4"/>
      <c r="H14" s="23" t="s">
        <v>4</v>
      </c>
      <c r="I14" s="25">
        <f>IF(K9="Da",I7-I8-P6-I12-I13,I7-I8-I12-I13)</f>
        <v>6900</v>
      </c>
      <c r="J14" s="4"/>
      <c r="K14" s="4"/>
      <c r="M14" s="2" t="s">
        <v>35</v>
      </c>
      <c r="P14" s="9">
        <v>200</v>
      </c>
    </row>
    <row r="15" spans="2:19" x14ac:dyDescent="0.3">
      <c r="B15" s="23"/>
      <c r="C15" s="25"/>
      <c r="D15" s="4"/>
      <c r="E15" s="26"/>
      <c r="F15" s="25"/>
      <c r="G15" s="4"/>
      <c r="H15" s="23" t="s">
        <v>9</v>
      </c>
      <c r="I15" s="25">
        <f>I14*P10</f>
        <v>552</v>
      </c>
      <c r="J15" s="4"/>
      <c r="K15" s="4"/>
      <c r="M15" s="2" t="s">
        <v>36</v>
      </c>
      <c r="P15" s="9">
        <f>P6-P14</f>
        <v>2800</v>
      </c>
      <c r="S15">
        <f>P15*P7</f>
        <v>700</v>
      </c>
    </row>
    <row r="16" spans="2:19" x14ac:dyDescent="0.3">
      <c r="B16" s="23"/>
      <c r="C16" s="25"/>
      <c r="D16" s="4"/>
      <c r="E16" s="26"/>
      <c r="F16" s="25"/>
      <c r="G16" s="4"/>
      <c r="H16" s="23" t="s">
        <v>11</v>
      </c>
      <c r="I16" s="25">
        <f>I14-I15</f>
        <v>6348</v>
      </c>
      <c r="J16" s="4"/>
      <c r="K16" s="4"/>
      <c r="M16" s="2" t="s">
        <v>41</v>
      </c>
      <c r="P16" s="9">
        <f>P6*2.25%</f>
        <v>67.5</v>
      </c>
      <c r="S16">
        <f>P15*P8</f>
        <v>280</v>
      </c>
    </row>
    <row r="17" spans="2:19" x14ac:dyDescent="0.3">
      <c r="B17" s="23"/>
      <c r="C17" s="25"/>
      <c r="D17" s="4"/>
      <c r="E17" s="26"/>
      <c r="F17" s="25"/>
      <c r="G17" s="4"/>
      <c r="H17" s="23" t="s">
        <v>5</v>
      </c>
      <c r="I17" s="25">
        <f>IF(AND(I16&gt;=$P$6,I16&lt;$P$6*2),$P$6*$P$8,IF(I16&gt;=$P$6*2,$P$6*$P$8*2,IF(AND(I16&lt;P6,I16&gt;P6/2),P6*P8/2,0)))</f>
        <v>600</v>
      </c>
      <c r="J17" s="4"/>
      <c r="K17" s="4"/>
      <c r="S17">
        <f>(P15-S15-S16)*10%</f>
        <v>182</v>
      </c>
    </row>
    <row r="18" spans="2:19" x14ac:dyDescent="0.3">
      <c r="B18" s="23"/>
      <c r="C18" s="25"/>
      <c r="D18" s="4"/>
      <c r="E18" s="26"/>
      <c r="F18" s="25"/>
      <c r="G18" s="4"/>
      <c r="H18" s="2" t="s">
        <v>41</v>
      </c>
      <c r="I18" s="25">
        <f>IF(K9="Da",2.25%*P6,0)</f>
        <v>67.5</v>
      </c>
      <c r="J18" s="4"/>
      <c r="K18" s="4"/>
    </row>
    <row r="19" spans="2:19" x14ac:dyDescent="0.3">
      <c r="B19" s="23"/>
      <c r="C19" s="25"/>
      <c r="D19" s="4"/>
      <c r="E19" s="26"/>
      <c r="F19" s="25"/>
      <c r="G19" s="4"/>
      <c r="H19" s="23"/>
      <c r="I19" s="25"/>
      <c r="J19" s="4"/>
      <c r="K19" s="4"/>
    </row>
    <row r="20" spans="2:19" ht="28.8" customHeight="1" thickBot="1" x14ac:dyDescent="0.35">
      <c r="B20" s="27" t="s">
        <v>7</v>
      </c>
      <c r="C20" s="20">
        <f>C7-SUM(C8:C10)</f>
        <v>5850</v>
      </c>
      <c r="D20" s="4"/>
      <c r="E20" s="27" t="s">
        <v>7</v>
      </c>
      <c r="F20" s="20">
        <f>F9-SUM(F10:F12)</f>
        <v>7050</v>
      </c>
      <c r="G20" s="4"/>
      <c r="H20" s="27" t="s">
        <v>7</v>
      </c>
      <c r="I20" s="20">
        <f>IF(K9="Da",I16-I17-I18-I9-I10-I11+P6,I16-I17-I18)</f>
        <v>7518.5</v>
      </c>
      <c r="J20" s="4"/>
      <c r="K20" s="4"/>
    </row>
    <row r="21" spans="2:19" x14ac:dyDescent="0.3">
      <c r="C21" s="10"/>
      <c r="D21" s="4"/>
      <c r="E21" s="2"/>
      <c r="F21" s="10"/>
      <c r="G21" s="4"/>
      <c r="H21" s="2"/>
      <c r="I21" s="10"/>
      <c r="J21" s="4"/>
      <c r="K21" s="4"/>
    </row>
    <row r="22" spans="2:19" x14ac:dyDescent="0.3">
      <c r="B22" s="2" t="s">
        <v>48</v>
      </c>
      <c r="C22" s="37">
        <f>(C7-C20)/C7</f>
        <v>0.41499999999999998</v>
      </c>
      <c r="D22" s="38"/>
      <c r="E22" s="37" t="s">
        <v>48</v>
      </c>
      <c r="F22" s="37">
        <f>(F7-F20)/F7</f>
        <v>0.29499999999999998</v>
      </c>
      <c r="G22" s="38"/>
      <c r="H22" s="37" t="s">
        <v>48</v>
      </c>
      <c r="I22" s="37">
        <f>(I7-I20)/I7</f>
        <v>0.24815000000000001</v>
      </c>
      <c r="J22" s="4"/>
      <c r="K22" s="4"/>
    </row>
    <row r="23" spans="2:19" x14ac:dyDescent="0.3">
      <c r="B23" s="43"/>
      <c r="C23" s="44"/>
      <c r="D23" s="44"/>
      <c r="E23" s="44"/>
      <c r="F23" s="43"/>
      <c r="G23" s="44"/>
      <c r="H23" s="44"/>
      <c r="I23" s="44"/>
      <c r="J23" s="43"/>
      <c r="K23" s="44"/>
      <c r="L23" s="44"/>
      <c r="M23" s="44"/>
      <c r="N23" s="43"/>
      <c r="O23" s="44"/>
      <c r="P23" s="44"/>
      <c r="Q23" s="44"/>
    </row>
    <row r="24" spans="2:19" x14ac:dyDescent="0.3">
      <c r="F24" s="2"/>
      <c r="J24" s="2"/>
      <c r="M24"/>
      <c r="N24" s="2"/>
      <c r="P24"/>
    </row>
    <row r="25" spans="2:19" x14ac:dyDescent="0.3">
      <c r="C25" s="1"/>
    </row>
  </sheetData>
  <mergeCells count="4">
    <mergeCell ref="B23:E23"/>
    <mergeCell ref="F23:I23"/>
    <mergeCell ref="J23:M23"/>
    <mergeCell ref="N23:Q23"/>
  </mergeCells>
  <dataValidations disablePrompts="1" count="1">
    <dataValidation type="list" allowBlank="1" showInputMessage="1" showErrorMessage="1" sqref="K8:K10" xr:uid="{BED3ADF0-F49E-4FA6-9FA3-7EFF8EEFDD5B}">
      <formula1>$R$6:$R$7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88A15-CB38-409B-B499-15219A8F2AD4}">
  <dimension ref="A2:M7"/>
  <sheetViews>
    <sheetView workbookViewId="0">
      <selection activeCell="E21" sqref="E21"/>
    </sheetView>
  </sheetViews>
  <sheetFormatPr defaultRowHeight="14.4" x14ac:dyDescent="0.3"/>
  <cols>
    <col min="1" max="1" width="22.109375" customWidth="1"/>
    <col min="5" max="5" width="14.88671875" customWidth="1"/>
    <col min="9" max="9" width="13.33203125" customWidth="1"/>
    <col min="13" max="13" width="16.6640625" customWidth="1"/>
  </cols>
  <sheetData>
    <row r="2" spans="1:13" ht="17.399999999999999" x14ac:dyDescent="0.3">
      <c r="E2" s="6" t="s">
        <v>17</v>
      </c>
    </row>
    <row r="4" spans="1:13" ht="15" thickBot="1" x14ac:dyDescent="0.35"/>
    <row r="5" spans="1:13" x14ac:dyDescent="0.3">
      <c r="B5" s="45" t="s">
        <v>38</v>
      </c>
      <c r="C5" s="46"/>
      <c r="D5" s="46"/>
      <c r="E5" s="47"/>
      <c r="F5" s="45" t="s">
        <v>39</v>
      </c>
      <c r="G5" s="46"/>
      <c r="H5" s="46"/>
      <c r="I5" s="47"/>
      <c r="J5" s="45" t="s">
        <v>40</v>
      </c>
      <c r="K5" s="46"/>
      <c r="L5" s="46"/>
      <c r="M5" s="47"/>
    </row>
    <row r="6" spans="1:13" s="14" customFormat="1" ht="13.8" x14ac:dyDescent="0.25">
      <c r="B6" s="16" t="s">
        <v>10</v>
      </c>
      <c r="C6" s="14" t="s">
        <v>12</v>
      </c>
      <c r="D6" s="14" t="s">
        <v>37</v>
      </c>
      <c r="E6" s="17" t="s">
        <v>3</v>
      </c>
      <c r="F6" s="16" t="s">
        <v>10</v>
      </c>
      <c r="G6" s="14" t="s">
        <v>12</v>
      </c>
      <c r="H6" s="14" t="s">
        <v>37</v>
      </c>
      <c r="I6" s="17" t="s">
        <v>3</v>
      </c>
      <c r="J6" s="16" t="s">
        <v>10</v>
      </c>
      <c r="K6" s="14" t="s">
        <v>12</v>
      </c>
      <c r="L6" s="14" t="s">
        <v>37</v>
      </c>
      <c r="M6" s="17" t="s">
        <v>3</v>
      </c>
    </row>
    <row r="7" spans="1:13" s="2" customFormat="1" ht="48.6" customHeight="1" thickBot="1" x14ac:dyDescent="0.3">
      <c r="A7" s="15" t="s">
        <v>7</v>
      </c>
      <c r="B7" s="18">
        <v>2925</v>
      </c>
      <c r="C7" s="19">
        <v>3525</v>
      </c>
      <c r="D7" s="19">
        <v>3415</v>
      </c>
      <c r="E7" s="20">
        <v>3564</v>
      </c>
      <c r="F7" s="18">
        <v>5850</v>
      </c>
      <c r="G7" s="19">
        <v>7050</v>
      </c>
      <c r="H7" s="19">
        <v>7519</v>
      </c>
      <c r="I7" s="20">
        <v>7128</v>
      </c>
      <c r="J7" s="18">
        <v>11700</v>
      </c>
      <c r="K7" s="19">
        <v>16050</v>
      </c>
      <c r="L7" s="19">
        <v>16627</v>
      </c>
      <c r="M7" s="20">
        <v>14856</v>
      </c>
    </row>
  </sheetData>
  <mergeCells count="3">
    <mergeCell ref="B5:E5"/>
    <mergeCell ref="F5:I5"/>
    <mergeCell ref="J5:M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2024</vt:lpstr>
      <vt:lpstr>Comparatie taxe 2024</vt:lpstr>
      <vt:lpstr>2023</vt:lpstr>
      <vt:lpstr>Comparatie taxe 2023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</dc:creator>
  <cp:lastModifiedBy>Radu G</cp:lastModifiedBy>
  <dcterms:created xsi:type="dcterms:W3CDTF">2015-12-26T22:23:19Z</dcterms:created>
  <dcterms:modified xsi:type="dcterms:W3CDTF">2023-10-03T18:42:21Z</dcterms:modified>
</cp:coreProperties>
</file>