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fa13b15e939eee1/Documents/School/06_SDSU_Grad_School_Docs/ODEs With Mahaffy/Homework_1/"/>
    </mc:Choice>
  </mc:AlternateContent>
  <xr:revisionPtr revIDLastSave="2" documentId="8_{1A62E0BD-8409-4F98-82F6-868F6F200E01}" xr6:coauthVersionLast="47" xr6:coauthVersionMax="47" xr10:uidLastSave="{1BE379E9-2EB2-4839-99E7-44B92B9787B3}"/>
  <bookViews>
    <workbookView xWindow="-108" yWindow="-108" windowWidth="23256" windowHeight="12576" activeTab="1" xr2:uid="{4E1C5B65-3980-45C5-964B-B5ABDE2A1784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8" i="2" l="1"/>
  <c r="H67" i="2"/>
  <c r="G55" i="2"/>
  <c r="G56" i="2"/>
  <c r="G57" i="2"/>
  <c r="G58" i="2"/>
  <c r="G54" i="2"/>
  <c r="F55" i="2"/>
  <c r="F56" i="2"/>
  <c r="F57" i="2"/>
  <c r="F58" i="2"/>
  <c r="F54" i="2"/>
  <c r="E37" i="2"/>
  <c r="E38" i="2"/>
  <c r="E39" i="2"/>
  <c r="H39" i="2" s="1"/>
  <c r="E40" i="2"/>
  <c r="H40" i="2" s="1"/>
  <c r="E41" i="2"/>
  <c r="E42" i="2"/>
  <c r="H42" i="2" s="1"/>
  <c r="E43" i="2"/>
  <c r="H43" i="2" s="1"/>
  <c r="E44" i="2"/>
  <c r="H44" i="2" s="1"/>
  <c r="F37" i="2"/>
  <c r="F38" i="2"/>
  <c r="F39" i="2"/>
  <c r="B45" i="2"/>
  <c r="F36" i="2"/>
  <c r="E36" i="2"/>
  <c r="H36" i="2" s="1"/>
  <c r="D37" i="2"/>
  <c r="D38" i="2"/>
  <c r="D39" i="2"/>
  <c r="D40" i="2"/>
  <c r="D41" i="2"/>
  <c r="D42" i="2"/>
  <c r="D43" i="2"/>
  <c r="D44" i="2"/>
  <c r="C42" i="2"/>
  <c r="F42" i="2" s="1"/>
  <c r="C43" i="2"/>
  <c r="F43" i="2" s="1"/>
  <c r="C44" i="2"/>
  <c r="F44" i="2" s="1"/>
  <c r="C41" i="2"/>
  <c r="F41" i="2" s="1"/>
  <c r="C40" i="2"/>
  <c r="F40" i="2" s="1"/>
  <c r="D36" i="2"/>
  <c r="F5" i="2"/>
  <c r="F6" i="2"/>
  <c r="F7" i="2"/>
  <c r="F4" i="2"/>
  <c r="E5" i="2"/>
  <c r="H5" i="2" s="1"/>
  <c r="E6" i="2"/>
  <c r="H6" i="2" s="1"/>
  <c r="E7" i="2"/>
  <c r="H7" i="2" s="1"/>
  <c r="E4" i="2"/>
  <c r="H4" i="2" s="1"/>
  <c r="D5" i="2"/>
  <c r="D6" i="2"/>
  <c r="D7" i="2"/>
  <c r="D4" i="2"/>
  <c r="B8" i="2"/>
  <c r="C8" i="2"/>
  <c r="C5" i="1"/>
  <c r="B2" i="1"/>
  <c r="H69" i="2" l="1"/>
  <c r="G40" i="2"/>
  <c r="G38" i="2"/>
  <c r="G37" i="2"/>
  <c r="H38" i="2"/>
  <c r="H37" i="2"/>
  <c r="G44" i="2"/>
  <c r="D45" i="2"/>
  <c r="C45" i="2"/>
  <c r="G41" i="2"/>
  <c r="G39" i="2"/>
  <c r="H41" i="2"/>
  <c r="G42" i="2"/>
  <c r="E45" i="2"/>
  <c r="G43" i="2"/>
  <c r="F45" i="2"/>
  <c r="G6" i="2"/>
  <c r="G5" i="2"/>
  <c r="D8" i="2"/>
  <c r="G36" i="2"/>
  <c r="H8" i="2"/>
  <c r="F8" i="2"/>
  <c r="G4" i="2"/>
  <c r="E8" i="2"/>
  <c r="G7" i="2"/>
  <c r="H45" i="2" l="1"/>
  <c r="D48" i="2" s="1"/>
  <c r="D49" i="2" s="1"/>
  <c r="G45" i="2"/>
  <c r="D47" i="2" s="1"/>
  <c r="G8" i="2"/>
  <c r="D20" i="2" s="1"/>
  <c r="D21" i="2" l="1"/>
  <c r="D22" i="2" s="1"/>
  <c r="C26" i="2" l="1"/>
  <c r="B27" i="2"/>
  <c r="B30" i="2"/>
  <c r="C29" i="2"/>
  <c r="C28" i="2"/>
</calcChain>
</file>

<file path=xl/sharedStrings.xml><?xml version="1.0" encoding="utf-8"?>
<sst xmlns="http://schemas.openxmlformats.org/spreadsheetml/2006/main" count="73" uniqueCount="38">
  <si>
    <t>k=</t>
  </si>
  <si>
    <t>at 12</t>
  </si>
  <si>
    <t>Mercury</t>
  </si>
  <si>
    <t>Earth</t>
  </si>
  <si>
    <t>Mars</t>
  </si>
  <si>
    <t>Jupiter</t>
  </si>
  <si>
    <t>d</t>
  </si>
  <si>
    <t>p</t>
  </si>
  <si>
    <t>sum</t>
  </si>
  <si>
    <t>d^-1</t>
  </si>
  <si>
    <t>ln(d)</t>
  </si>
  <si>
    <t>x</t>
  </si>
  <si>
    <t>y</t>
  </si>
  <si>
    <t>ln(p)</t>
  </si>
  <si>
    <t xml:space="preserve">slope: </t>
  </si>
  <si>
    <t>intercept:</t>
  </si>
  <si>
    <t>xy</t>
  </si>
  <si>
    <t>dp</t>
  </si>
  <si>
    <t>x^2</t>
  </si>
  <si>
    <t>d^2</t>
  </si>
  <si>
    <t>e^int</t>
  </si>
  <si>
    <t>p(d)</t>
  </si>
  <si>
    <t>Venus</t>
  </si>
  <si>
    <t>Saturn</t>
  </si>
  <si>
    <t>Uranus</t>
  </si>
  <si>
    <t>Neptune</t>
  </si>
  <si>
    <t>Pluto</t>
  </si>
  <si>
    <t>Error Computations</t>
  </si>
  <si>
    <t xml:space="preserve"> </t>
  </si>
  <si>
    <t>Actual from Website</t>
  </si>
  <si>
    <t>Errors</t>
  </si>
  <si>
    <t xml:space="preserve"> =(9*G35-E35*F35)/(9*H35-(E35^2))</t>
  </si>
  <si>
    <t xml:space="preserve"> =(H35*F35-G35*E35)/(9*H35-(E35^2))</t>
  </si>
  <si>
    <t xml:space="preserve"> =EXP(D38)</t>
  </si>
  <si>
    <t>b b4 e^</t>
  </si>
  <si>
    <t>b=e^(last val)</t>
  </si>
  <si>
    <t xml:space="preserve">*Note, yellow highlights were answers provided to WeBWork </t>
  </si>
  <si>
    <t>Computed/Given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</si>
</sst>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2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Sheet2!$C$3</c:f>
              <c:strCache>
                <c:ptCount val="1"/>
                <c:pt idx="0">
                  <c:v>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25849103237095361"/>
                  <c:y val="2.656459609215514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Sheet2!$B$4:$B$7</c:f>
              <c:numCache>
                <c:formatCode>General</c:formatCode>
                <c:ptCount val="4"/>
                <c:pt idx="0">
                  <c:v>57.9</c:v>
                </c:pt>
                <c:pt idx="1">
                  <c:v>149.6</c:v>
                </c:pt>
                <c:pt idx="2">
                  <c:v>227.9</c:v>
                </c:pt>
                <c:pt idx="3">
                  <c:v>778.3</c:v>
                </c:pt>
              </c:numCache>
            </c:numRef>
          </c:xVal>
          <c:yVal>
            <c:numRef>
              <c:f>Sheet2!$C$4:$C$7</c:f>
              <c:numCache>
                <c:formatCode>General</c:formatCode>
                <c:ptCount val="4"/>
                <c:pt idx="0">
                  <c:v>87.96</c:v>
                </c:pt>
                <c:pt idx="1">
                  <c:v>365.25</c:v>
                </c:pt>
                <c:pt idx="2">
                  <c:v>687</c:v>
                </c:pt>
                <c:pt idx="3">
                  <c:v>4337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BA-4F91-86C1-A85B6086B8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4538640"/>
        <c:axId val="1084539056"/>
      </c:scatterChart>
      <c:valAx>
        <c:axId val="1084538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539056"/>
        <c:crosses val="autoZero"/>
        <c:crossBetween val="midCat"/>
      </c:valAx>
      <c:valAx>
        <c:axId val="108453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538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Sheet2!$F$3</c:f>
              <c:strCache>
                <c:ptCount val="1"/>
                <c:pt idx="0">
                  <c:v>ln(p)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6139562839197945"/>
                  <c:y val="4.2483660130718951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Sheet2!$E$4:$E$7</c:f>
              <c:numCache>
                <c:formatCode>General</c:formatCode>
                <c:ptCount val="4"/>
                <c:pt idx="0">
                  <c:v>4.0587173845789497</c:v>
                </c:pt>
                <c:pt idx="1">
                  <c:v>5.0079650655403771</c:v>
                </c:pt>
                <c:pt idx="2">
                  <c:v>5.4289069362516384</c:v>
                </c:pt>
                <c:pt idx="3">
                  <c:v>6.6571120539653421</c:v>
                </c:pt>
              </c:numCache>
            </c:numRef>
          </c:xVal>
          <c:yVal>
            <c:numRef>
              <c:f>Sheet2!$F$4:$F$7</c:f>
              <c:numCache>
                <c:formatCode>General</c:formatCode>
                <c:ptCount val="4"/>
                <c:pt idx="0">
                  <c:v>4.4768821656865603</c:v>
                </c:pt>
                <c:pt idx="1">
                  <c:v>5.9005820506308089</c:v>
                </c:pt>
                <c:pt idx="2">
                  <c:v>6.5323342922223491</c:v>
                </c:pt>
                <c:pt idx="3">
                  <c:v>8.3749381438353669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69-4ED9-A92D-0D6FB65F3F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854880"/>
        <c:axId val="1089854464"/>
      </c:scatterChart>
      <c:valAx>
        <c:axId val="1089854880"/>
        <c:scaling>
          <c:orientation val="minMax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854464"/>
        <c:crosses val="autoZero"/>
        <c:crossBetween val="midCat"/>
      </c:valAx>
      <c:valAx>
        <c:axId val="108985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854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79237006852742E-2"/>
          <c:y val="0.1063055316709659"/>
          <c:w val="0.88048130048918982"/>
          <c:h val="0.82720473569350694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Sheet2!$C$35</c:f>
              <c:strCache>
                <c:ptCount val="1"/>
                <c:pt idx="0">
                  <c:v>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26619394487167702"/>
                  <c:y val="8.508120011010181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Sheet2!$B$36:$B$44</c:f>
              <c:numCache>
                <c:formatCode>General</c:formatCode>
                <c:ptCount val="9"/>
                <c:pt idx="0">
                  <c:v>57.909174999999998</c:v>
                </c:pt>
                <c:pt idx="1">
                  <c:v>108.20893</c:v>
                </c:pt>
                <c:pt idx="2">
                  <c:v>149.59789000000001</c:v>
                </c:pt>
                <c:pt idx="3">
                  <c:v>227.93664000000001</c:v>
                </c:pt>
                <c:pt idx="4">
                  <c:v>778.41201999999998</c:v>
                </c:pt>
                <c:pt idx="5">
                  <c:v>1426.7254</c:v>
                </c:pt>
                <c:pt idx="6">
                  <c:v>2870.9722000000002</c:v>
                </c:pt>
                <c:pt idx="7">
                  <c:v>4498.2529000000004</c:v>
                </c:pt>
                <c:pt idx="8">
                  <c:v>5906.3761999999997</c:v>
                </c:pt>
              </c:numCache>
            </c:numRef>
          </c:xVal>
          <c:yVal>
            <c:numRef>
              <c:f>Sheet2!$C$36:$C$44</c:f>
              <c:numCache>
                <c:formatCode>0.00</c:formatCode>
                <c:ptCount val="9"/>
                <c:pt idx="0">
                  <c:v>87.97</c:v>
                </c:pt>
                <c:pt idx="1">
                  <c:v>224.7</c:v>
                </c:pt>
                <c:pt idx="2">
                  <c:v>365.25</c:v>
                </c:pt>
                <c:pt idx="3">
                  <c:v>686.98</c:v>
                </c:pt>
                <c:pt idx="4">
                  <c:v>4331.8649999999998</c:v>
                </c:pt>
                <c:pt idx="5">
                  <c:v>10760.264999999999</c:v>
                </c:pt>
                <c:pt idx="6">
                  <c:v>30685</c:v>
                </c:pt>
                <c:pt idx="7">
                  <c:v>60190</c:v>
                </c:pt>
                <c:pt idx="8">
                  <c:v>90552.78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E4-4A96-BEDB-9EC1B963D1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8653792"/>
        <c:axId val="318659200"/>
      </c:scatterChart>
      <c:valAx>
        <c:axId val="318653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659200"/>
        <c:crosses val="autoZero"/>
        <c:crossBetween val="midCat"/>
      </c:valAx>
      <c:valAx>
        <c:axId val="31865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653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60960</xdr:colOff>
      <xdr:row>8</xdr:row>
      <xdr:rowOff>60960</xdr:rowOff>
    </xdr:from>
    <xdr:to>
      <xdr:col>7</xdr:col>
      <xdr:colOff>716280</xdr:colOff>
      <xdr:row>22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411A72-AEA5-413E-BD37-B9F5D37626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320040</xdr:colOff>
      <xdr:row>10</xdr:row>
      <xdr:rowOff>53340</xdr:rowOff>
    </xdr:from>
    <xdr:to>
      <xdr:col>18</xdr:col>
      <xdr:colOff>457200</xdr:colOff>
      <xdr:row>25</xdr:row>
      <xdr:rowOff>30480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CFDB0B4-5867-4D55-9D3C-F635F0EC57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60960</xdr:colOff>
      <xdr:row>45</xdr:row>
      <xdr:rowOff>34290</xdr:rowOff>
    </xdr:from>
    <xdr:to>
      <xdr:col>11</xdr:col>
      <xdr:colOff>312420</xdr:colOff>
      <xdr:row>69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2E0D753-56C8-4449-BD7A-40BD59D4C6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16</xdr:col>
      <xdr:colOff>304800</xdr:colOff>
      <xdr:row>47</xdr:row>
      <xdr:rowOff>49530</xdr:rowOff>
    </xdr:from>
    <xdr:ext cx="3055452" cy="37664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F77D7910-1EF2-4CE8-B781-A76D8BD9B93C}"/>
                </a:ext>
              </a:extLst>
            </xdr:cNvPr>
            <xdr:cNvSpPr txBox="1"/>
          </xdr:nvSpPr>
          <xdr:spPr>
            <a:xfrm>
              <a:off x="10934700" y="6816090"/>
              <a:ext cx="3055452" cy="376642"/>
            </a:xfrm>
            <a:prstGeom prst="rect">
              <a:avLst/>
            </a:prstGeom>
            <a:solidFill>
              <a:schemeClr val="bg1">
                <a:lumMod val="95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𝐸𝑟𝑟𝑜𝑟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𝐸𝑞𝑢𝑎𝑡𝑖𝑜𝑛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: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d>
                      <m:dPr>
                        <m:begChr m:val="|"/>
                        <m:endChr m:val="|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𝐴𝑐𝑡𝑢𝑎𝑙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𝐶𝑎𝑙𝑐𝑢𝑙𝑎𝑡𝑒𝑑</m:t>
                            </m:r>
                          </m:num>
                          <m:den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𝐴𝑐𝑡𝑢𝑎𝑙</m:t>
                            </m:r>
                          </m:den>
                        </m:f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⋅100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F77D7910-1EF2-4CE8-B781-A76D8BD9B93C}"/>
                </a:ext>
              </a:extLst>
            </xdr:cNvPr>
            <xdr:cNvSpPr txBox="1"/>
          </xdr:nvSpPr>
          <xdr:spPr>
            <a:xfrm>
              <a:off x="10934700" y="6816090"/>
              <a:ext cx="3055452" cy="376642"/>
            </a:xfrm>
            <a:prstGeom prst="rect">
              <a:avLst/>
            </a:prstGeom>
            <a:solidFill>
              <a:schemeClr val="bg1">
                <a:lumMod val="95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𝐸𝑟𝑟𝑜𝑟 𝐸𝑞𝑢𝑎𝑡𝑖𝑜𝑛:𝐸=|(𝐴𝑐𝑡𝑢𝑎𝑙−𝐶𝑎𝑙𝑐𝑢𝑙𝑎𝑡𝑒𝑑)/𝐴𝑐𝑡𝑢𝑎𝑙|⋅100</a:t>
              </a:r>
              <a:endParaRPr 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91895F-3CC5-4545-A3C8-05945FC76502}">
  <dimension ref="A2:C5"/>
  <sheetViews>
    <sheetView workbookViewId="0">
      <selection activeCell="C5" sqref="C5"/>
    </sheetView>
  </sheetViews>
  <sheetFormatPr defaultRowHeight="14.4" x14ac:dyDescent="0.3"/>
  <sheetData>
    <row r="2" spans="1:3" x14ac:dyDescent="0.3">
      <c r="A2" t="s">
        <v>0</v>
      </c>
      <c r="B2">
        <f>(LN(31/39))/(-4)</f>
        <v>5.7393610411125062E-2</v>
      </c>
    </row>
    <row r="4" spans="1:3" x14ac:dyDescent="0.3">
      <c r="B4" t="s">
        <v>1</v>
      </c>
    </row>
    <row r="5" spans="1:3" x14ac:dyDescent="0.3">
      <c r="B5">
        <v>12</v>
      </c>
      <c r="C5">
        <f>-39*EXP(-B2*B5)+41</f>
        <v>21.413543721236032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283B0F-A301-4FEA-9D01-D96D1EEBE5A7}">
  <dimension ref="A1:J69"/>
  <sheetViews>
    <sheetView tabSelected="1" topLeftCell="A2" workbookViewId="0">
      <selection activeCell="K29" sqref="K29"/>
    </sheetView>
  </sheetViews>
  <sheetFormatPr defaultRowHeight="14.4" x14ac:dyDescent="0.3"/>
  <cols>
    <col min="2" max="2" width="10.21875" customWidth="1"/>
    <col min="3" max="3" width="12" customWidth="1"/>
    <col min="4" max="4" width="10.6640625" hidden="1" customWidth="1"/>
    <col min="5" max="7" width="10.21875" customWidth="1"/>
    <col min="8" max="8" width="11.44140625" customWidth="1"/>
  </cols>
  <sheetData>
    <row r="1" spans="1:8" hidden="1" x14ac:dyDescent="0.3"/>
    <row r="2" spans="1:8" x14ac:dyDescent="0.3">
      <c r="E2" s="4" t="s">
        <v>11</v>
      </c>
      <c r="F2" s="4" t="s">
        <v>12</v>
      </c>
      <c r="G2" s="4" t="s">
        <v>16</v>
      </c>
      <c r="H2" s="4" t="s">
        <v>18</v>
      </c>
    </row>
    <row r="3" spans="1:8" x14ac:dyDescent="0.3">
      <c r="B3" s="4" t="s">
        <v>6</v>
      </c>
      <c r="C3" s="4" t="s">
        <v>7</v>
      </c>
      <c r="D3" t="s">
        <v>9</v>
      </c>
      <c r="E3" s="4" t="s">
        <v>10</v>
      </c>
      <c r="F3" s="4" t="s">
        <v>13</v>
      </c>
      <c r="G3" s="4" t="s">
        <v>17</v>
      </c>
      <c r="H3" s="4" t="s">
        <v>19</v>
      </c>
    </row>
    <row r="4" spans="1:8" x14ac:dyDescent="0.3">
      <c r="A4" t="s">
        <v>2</v>
      </c>
      <c r="B4">
        <v>57.9</v>
      </c>
      <c r="C4">
        <v>87.96</v>
      </c>
      <c r="D4">
        <f>1/B4</f>
        <v>1.7271157167530225E-2</v>
      </c>
      <c r="E4">
        <f>LN(B4)</f>
        <v>4.0587173845789497</v>
      </c>
      <c r="F4">
        <f>LN(C4)</f>
        <v>4.4768821656865603</v>
      </c>
      <c r="G4">
        <f>E4*F4</f>
        <v>18.170399474583501</v>
      </c>
      <c r="H4">
        <f>E4^2</f>
        <v>16.473186807883391</v>
      </c>
    </row>
    <row r="5" spans="1:8" x14ac:dyDescent="0.3">
      <c r="A5" t="s">
        <v>3</v>
      </c>
      <c r="B5">
        <v>149.6</v>
      </c>
      <c r="C5">
        <v>365.25</v>
      </c>
      <c r="D5">
        <f t="shared" ref="D5:D7" si="0">1/B5</f>
        <v>6.6844919786096255E-3</v>
      </c>
      <c r="E5">
        <f t="shared" ref="E5:E7" si="1">LN(B5)</f>
        <v>5.0079650655403771</v>
      </c>
      <c r="F5">
        <f t="shared" ref="F5:F7" si="2">LN(C5)</f>
        <v>5.9005820506308089</v>
      </c>
      <c r="G5">
        <f t="shared" ref="G5:G7" si="3">E5*F5</f>
        <v>29.549908775913693</v>
      </c>
      <c r="H5">
        <f t="shared" ref="H5:H7" si="4">E5^2</f>
        <v>25.079714097672834</v>
      </c>
    </row>
    <row r="6" spans="1:8" x14ac:dyDescent="0.3">
      <c r="A6" t="s">
        <v>4</v>
      </c>
      <c r="B6">
        <v>227.9</v>
      </c>
      <c r="C6">
        <v>687</v>
      </c>
      <c r="D6">
        <f t="shared" si="0"/>
        <v>4.3878894251864848E-3</v>
      </c>
      <c r="E6">
        <f t="shared" si="1"/>
        <v>5.4289069362516384</v>
      </c>
      <c r="F6">
        <f t="shared" si="2"/>
        <v>6.5323342922223491</v>
      </c>
      <c r="G6">
        <f t="shared" si="3"/>
        <v>35.463434948960348</v>
      </c>
      <c r="H6">
        <f t="shared" si="4"/>
        <v>29.473030522481153</v>
      </c>
    </row>
    <row r="7" spans="1:8" x14ac:dyDescent="0.3">
      <c r="A7" t="s">
        <v>5</v>
      </c>
      <c r="B7">
        <v>778.3</v>
      </c>
      <c r="C7">
        <v>4337</v>
      </c>
      <c r="D7">
        <f t="shared" si="0"/>
        <v>1.2848515996402416E-3</v>
      </c>
      <c r="E7">
        <f t="shared" si="1"/>
        <v>6.6571120539653421</v>
      </c>
      <c r="F7">
        <f t="shared" si="2"/>
        <v>8.3749381438353669</v>
      </c>
      <c r="G7">
        <f t="shared" si="3"/>
        <v>55.752901668540552</v>
      </c>
      <c r="H7">
        <f t="shared" si="4"/>
        <v>44.317140899050656</v>
      </c>
    </row>
    <row r="8" spans="1:8" x14ac:dyDescent="0.3">
      <c r="A8" t="s">
        <v>8</v>
      </c>
      <c r="B8">
        <f t="shared" ref="B8:H8" si="5">SUM(B4:B7)</f>
        <v>1213.6999999999998</v>
      </c>
      <c r="C8">
        <f t="shared" si="5"/>
        <v>5477.21</v>
      </c>
      <c r="D8">
        <f t="shared" si="5"/>
        <v>2.9628390170966575E-2</v>
      </c>
      <c r="E8">
        <f t="shared" si="5"/>
        <v>21.152701440336308</v>
      </c>
      <c r="F8">
        <f t="shared" si="5"/>
        <v>25.284736652375088</v>
      </c>
      <c r="G8">
        <f t="shared" si="5"/>
        <v>138.9366448679981</v>
      </c>
      <c r="H8">
        <f t="shared" si="5"/>
        <v>115.34307232708804</v>
      </c>
    </row>
    <row r="20" spans="1:4" x14ac:dyDescent="0.3">
      <c r="C20" t="s">
        <v>14</v>
      </c>
      <c r="D20">
        <f>(4*G8-E8*F8)/(4*H8-(E8^2))</f>
        <v>1.5002028946220125</v>
      </c>
    </row>
    <row r="21" spans="1:4" x14ac:dyDescent="0.3">
      <c r="C21" t="s">
        <v>15</v>
      </c>
      <c r="D21">
        <f>(H8*F8-G8*E8)/(4*H8-(E8^2))</f>
        <v>-1.6121518193731663</v>
      </c>
    </row>
    <row r="22" spans="1:4" x14ac:dyDescent="0.3">
      <c r="C22" t="s">
        <v>20</v>
      </c>
      <c r="D22">
        <f>EXP(D21)</f>
        <v>0.19945795447543554</v>
      </c>
    </row>
    <row r="25" spans="1:4" x14ac:dyDescent="0.3">
      <c r="B25" t="s">
        <v>6</v>
      </c>
      <c r="C25" t="s">
        <v>21</v>
      </c>
    </row>
    <row r="26" spans="1:4" x14ac:dyDescent="0.3">
      <c r="A26" t="s">
        <v>22</v>
      </c>
      <c r="B26">
        <v>108.2</v>
      </c>
      <c r="C26" s="1">
        <f>$D$22*(B26^$D$20)</f>
        <v>224.70098995914501</v>
      </c>
    </row>
    <row r="27" spans="1:4" x14ac:dyDescent="0.3">
      <c r="A27" t="s">
        <v>23</v>
      </c>
      <c r="B27" s="1">
        <f>EXP(((LN(C27)-LN(D22)))/D20)</f>
        <v>1426.3101024167086</v>
      </c>
      <c r="C27">
        <v>10760</v>
      </c>
    </row>
    <row r="28" spans="1:4" x14ac:dyDescent="0.3">
      <c r="A28" t="s">
        <v>24</v>
      </c>
      <c r="B28">
        <v>2871</v>
      </c>
      <c r="C28" s="1">
        <f t="shared" ref="C28:C29" si="6">$D$22*(B28^$D$20)</f>
        <v>30732.845023011207</v>
      </c>
    </row>
    <row r="29" spans="1:4" x14ac:dyDescent="0.3">
      <c r="A29" t="s">
        <v>25</v>
      </c>
      <c r="B29">
        <v>4497</v>
      </c>
      <c r="C29" s="1">
        <f t="shared" si="6"/>
        <v>60252.746844025794</v>
      </c>
    </row>
    <row r="30" spans="1:4" x14ac:dyDescent="0.3">
      <c r="A30" t="s">
        <v>26</v>
      </c>
      <c r="B30" s="1">
        <f>EXP(((LN(C30)-LN(D22)))/D20)</f>
        <v>5909.9307110991249</v>
      </c>
      <c r="C30">
        <v>90780</v>
      </c>
    </row>
    <row r="34" spans="1:8" x14ac:dyDescent="0.3">
      <c r="E34" s="3" t="s">
        <v>11</v>
      </c>
      <c r="F34" s="3" t="s">
        <v>12</v>
      </c>
      <c r="G34" s="3" t="s">
        <v>16</v>
      </c>
      <c r="H34" s="3" t="s">
        <v>18</v>
      </c>
    </row>
    <row r="35" spans="1:8" x14ac:dyDescent="0.3">
      <c r="B35" s="3" t="s">
        <v>6</v>
      </c>
      <c r="C35" s="3" t="s">
        <v>7</v>
      </c>
      <c r="D35" s="3" t="s">
        <v>9</v>
      </c>
      <c r="E35" s="3" t="s">
        <v>10</v>
      </c>
      <c r="F35" s="3" t="s">
        <v>13</v>
      </c>
      <c r="G35" s="3" t="s">
        <v>17</v>
      </c>
      <c r="H35" s="3" t="s">
        <v>19</v>
      </c>
    </row>
    <row r="36" spans="1:8" x14ac:dyDescent="0.3">
      <c r="A36" t="s">
        <v>2</v>
      </c>
      <c r="B36">
        <v>57.909174999999998</v>
      </c>
      <c r="C36" s="2">
        <v>87.97</v>
      </c>
      <c r="D36">
        <f>1/B36</f>
        <v>1.7268420764067181E-2</v>
      </c>
      <c r="E36">
        <f>LN(B36)</f>
        <v>4.0588758348920475</v>
      </c>
      <c r="F36">
        <f>LN(C36)</f>
        <v>4.4769958472645834</v>
      </c>
      <c r="G36">
        <f>E36*F36</f>
        <v>18.171570257374267</v>
      </c>
      <c r="H36">
        <f>E36^2</f>
        <v>16.474473043070617</v>
      </c>
    </row>
    <row r="37" spans="1:8" x14ac:dyDescent="0.3">
      <c r="A37" t="s">
        <v>22</v>
      </c>
      <c r="B37">
        <v>108.20893</v>
      </c>
      <c r="C37" s="2">
        <v>224.7</v>
      </c>
      <c r="D37">
        <f t="shared" ref="D37:D44" si="7">1/B37</f>
        <v>9.241381464542715E-3</v>
      </c>
      <c r="E37">
        <f t="shared" ref="E37:E44" si="8">LN(B37)</f>
        <v>4.6840638953542788</v>
      </c>
      <c r="F37">
        <f t="shared" ref="F37:F44" si="9">LN(C37)</f>
        <v>5.4147661791912833</v>
      </c>
      <c r="G37">
        <f t="shared" ref="G37:G44" si="10">E37*F37</f>
        <v>25.363110761735328</v>
      </c>
      <c r="H37">
        <f t="shared" ref="H37:H44" si="11">E37^2</f>
        <v>21.9404545757615</v>
      </c>
    </row>
    <row r="38" spans="1:8" x14ac:dyDescent="0.3">
      <c r="A38" t="s">
        <v>3</v>
      </c>
      <c r="B38">
        <v>149.59789000000001</v>
      </c>
      <c r="C38" s="2">
        <v>365.25</v>
      </c>
      <c r="D38">
        <f t="shared" si="7"/>
        <v>6.6845862598730503E-3</v>
      </c>
      <c r="E38">
        <f t="shared" si="8"/>
        <v>5.0079509611628357</v>
      </c>
      <c r="F38">
        <f t="shared" si="9"/>
        <v>5.9005820506308089</v>
      </c>
      <c r="G38">
        <f t="shared" si="10"/>
        <v>29.549825551876737</v>
      </c>
      <c r="H38">
        <f t="shared" si="11"/>
        <v>25.07957282941177</v>
      </c>
    </row>
    <row r="39" spans="1:8" x14ac:dyDescent="0.3">
      <c r="A39" t="s">
        <v>4</v>
      </c>
      <c r="B39">
        <v>227.93664000000001</v>
      </c>
      <c r="C39" s="2">
        <v>686.98</v>
      </c>
      <c r="D39">
        <f t="shared" si="7"/>
        <v>4.3871840876482165E-3</v>
      </c>
      <c r="E39">
        <f t="shared" si="8"/>
        <v>5.4290676955977011</v>
      </c>
      <c r="F39">
        <f t="shared" si="9"/>
        <v>6.5323051797170706</v>
      </c>
      <c r="G39">
        <f t="shared" si="10"/>
        <v>35.464327028987483</v>
      </c>
      <c r="H39">
        <f t="shared" si="11"/>
        <v>29.474776043382533</v>
      </c>
    </row>
    <row r="40" spans="1:8" x14ac:dyDescent="0.3">
      <c r="A40" t="s">
        <v>5</v>
      </c>
      <c r="B40">
        <v>778.41201999999998</v>
      </c>
      <c r="C40" s="2">
        <f>11.86*C38</f>
        <v>4331.8649999999998</v>
      </c>
      <c r="D40">
        <f t="shared" si="7"/>
        <v>1.2846666987490765E-3</v>
      </c>
      <c r="E40">
        <f t="shared" si="8"/>
        <v>6.6572559726847382</v>
      </c>
      <c r="F40">
        <f t="shared" si="9"/>
        <v>8.3737534442003874</v>
      </c>
      <c r="G40">
        <f t="shared" si="10"/>
        <v>55.746220130192427</v>
      </c>
      <c r="H40">
        <f t="shared" si="11"/>
        <v>44.319057085846623</v>
      </c>
    </row>
    <row r="41" spans="1:8" x14ac:dyDescent="0.3">
      <c r="A41" t="s">
        <v>23</v>
      </c>
      <c r="B41">
        <v>1426.7254</v>
      </c>
      <c r="C41" s="2">
        <f>29.46*C38</f>
        <v>10760.264999999999</v>
      </c>
      <c r="D41">
        <f t="shared" si="7"/>
        <v>7.0090572439517789E-4</v>
      </c>
      <c r="E41">
        <f t="shared" si="8"/>
        <v>7.2631371672846434</v>
      </c>
      <c r="F41">
        <f t="shared" si="9"/>
        <v>9.2836154616652937</v>
      </c>
      <c r="G41">
        <f t="shared" si="10"/>
        <v>67.428172506399576</v>
      </c>
      <c r="H41">
        <f t="shared" si="11"/>
        <v>52.753161510791593</v>
      </c>
    </row>
    <row r="42" spans="1:8" x14ac:dyDescent="0.3">
      <c r="A42" t="s">
        <v>24</v>
      </c>
      <c r="B42">
        <v>2870.9722000000002</v>
      </c>
      <c r="C42" s="2">
        <f>30685</f>
        <v>30685</v>
      </c>
      <c r="D42">
        <f t="shared" si="7"/>
        <v>3.4831406587636059E-4</v>
      </c>
      <c r="E42">
        <f t="shared" si="8"/>
        <v>7.9624059970369139</v>
      </c>
      <c r="F42">
        <f t="shared" si="9"/>
        <v>10.331529214823197</v>
      </c>
      <c r="G42">
        <f t="shared" si="10"/>
        <v>82.263830178670304</v>
      </c>
      <c r="H42">
        <f t="shared" si="11"/>
        <v>63.399909261649412</v>
      </c>
    </row>
    <row r="43" spans="1:8" x14ac:dyDescent="0.3">
      <c r="A43" t="s">
        <v>25</v>
      </c>
      <c r="B43">
        <v>4498.2529000000004</v>
      </c>
      <c r="C43" s="2">
        <f>60190</f>
        <v>60190</v>
      </c>
      <c r="D43">
        <f t="shared" si="7"/>
        <v>2.2230853227483049E-4</v>
      </c>
      <c r="E43">
        <f t="shared" si="8"/>
        <v>8.4114443559275802</v>
      </c>
      <c r="F43">
        <f t="shared" si="9"/>
        <v>11.005261504541817</v>
      </c>
      <c r="G43">
        <f t="shared" si="10"/>
        <v>92.570144767885338</v>
      </c>
      <c r="H43">
        <f t="shared" si="11"/>
        <v>70.752396152865941</v>
      </c>
    </row>
    <row r="44" spans="1:8" x14ac:dyDescent="0.3">
      <c r="A44" t="s">
        <v>26</v>
      </c>
      <c r="B44">
        <v>5906.3761999999997</v>
      </c>
      <c r="C44" s="2">
        <f>247.92*C38</f>
        <v>90552.78</v>
      </c>
      <c r="D44">
        <f t="shared" si="7"/>
        <v>1.6930855166320086E-4</v>
      </c>
      <c r="E44">
        <f t="shared" si="8"/>
        <v>8.6837877582095455</v>
      </c>
      <c r="F44">
        <f t="shared" si="9"/>
        <v>11.413688164110301</v>
      </c>
      <c r="G44">
        <f t="shared" si="10"/>
        <v>99.11404555552221</v>
      </c>
      <c r="H44">
        <f t="shared" si="11"/>
        <v>75.408169829629969</v>
      </c>
    </row>
    <row r="45" spans="1:8" x14ac:dyDescent="0.3">
      <c r="A45" t="s">
        <v>8</v>
      </c>
      <c r="B45">
        <f>SUM(B36:B44)</f>
        <v>16024.391355</v>
      </c>
      <c r="C45">
        <f t="shared" ref="C45:H45" si="12">SUM(C36:C44)</f>
        <v>197884.81</v>
      </c>
      <c r="D45">
        <f t="shared" si="12"/>
        <v>4.0307076149089814E-2</v>
      </c>
      <c r="E45">
        <f t="shared" si="12"/>
        <v>58.157989638150276</v>
      </c>
      <c r="F45">
        <f t="shared" si="12"/>
        <v>72.732497046144744</v>
      </c>
      <c r="G45">
        <f t="shared" si="12"/>
        <v>505.67124673864362</v>
      </c>
      <c r="H45">
        <f t="shared" si="12"/>
        <v>399.60197033240996</v>
      </c>
    </row>
    <row r="47" spans="1:8" x14ac:dyDescent="0.3">
      <c r="C47" t="s">
        <v>14</v>
      </c>
      <c r="D47">
        <f>(9*G45-E45*F45)/(9*H45-(E45^2))</f>
        <v>1.4998432713113297</v>
      </c>
      <c r="E47" t="s">
        <v>31</v>
      </c>
    </row>
    <row r="48" spans="1:8" x14ac:dyDescent="0.3">
      <c r="C48" t="s">
        <v>34</v>
      </c>
      <c r="D48">
        <f>(H45*F45-G45*E45)/(9*H45-(E45^2))</f>
        <v>-1.6105969317365636</v>
      </c>
      <c r="E48" t="s">
        <v>32</v>
      </c>
    </row>
    <row r="49" spans="1:10" x14ac:dyDescent="0.3">
      <c r="C49" t="s">
        <v>35</v>
      </c>
      <c r="D49">
        <f>EXP(D48)</f>
        <v>0.19976833042019873</v>
      </c>
      <c r="E49" t="s">
        <v>33</v>
      </c>
    </row>
    <row r="51" spans="1:10" x14ac:dyDescent="0.3">
      <c r="A51" t="s">
        <v>27</v>
      </c>
    </row>
    <row r="52" spans="1:10" x14ac:dyDescent="0.3">
      <c r="B52" s="5" t="s">
        <v>37</v>
      </c>
      <c r="C52" s="5"/>
      <c r="D52" s="5" t="s">
        <v>29</v>
      </c>
      <c r="E52" s="5"/>
      <c r="F52" s="5" t="s">
        <v>30</v>
      </c>
      <c r="G52" s="5"/>
    </row>
    <row r="53" spans="1:10" x14ac:dyDescent="0.3">
      <c r="B53" s="3" t="s">
        <v>6</v>
      </c>
      <c r="C53" s="3" t="s">
        <v>21</v>
      </c>
      <c r="D53" s="3" t="s">
        <v>6</v>
      </c>
      <c r="E53" s="3" t="s">
        <v>21</v>
      </c>
      <c r="F53" s="4" t="s">
        <v>6</v>
      </c>
      <c r="G53" s="4" t="s">
        <v>21</v>
      </c>
    </row>
    <row r="54" spans="1:10" x14ac:dyDescent="0.3">
      <c r="A54" t="s">
        <v>22</v>
      </c>
      <c r="B54">
        <v>108.2</v>
      </c>
      <c r="C54" s="1">
        <v>224.70098995914501</v>
      </c>
      <c r="D54">
        <v>108.20893</v>
      </c>
      <c r="E54">
        <v>224.7</v>
      </c>
      <c r="F54">
        <f>ABS((B54-D54)/D54)*100</f>
        <v>8.2525536478295584E-3</v>
      </c>
      <c r="G54" s="1">
        <f>ABS((C54-E54)/E54)*100</f>
        <v>4.4056926792008366E-4</v>
      </c>
    </row>
    <row r="55" spans="1:10" x14ac:dyDescent="0.3">
      <c r="A55" t="s">
        <v>23</v>
      </c>
      <c r="B55" s="1">
        <v>1426.3101024167086</v>
      </c>
      <c r="C55">
        <v>10760</v>
      </c>
      <c r="D55">
        <v>1426.7254</v>
      </c>
      <c r="E55">
        <v>10760.264999999999</v>
      </c>
      <c r="F55" s="1">
        <f t="shared" ref="F55:F58" si="13">ABS((B55-D55)/D55)*100</f>
        <v>2.9108445345647889E-2</v>
      </c>
      <c r="G55">
        <f t="shared" ref="G55:G58" si="14">ABS((C55-E55)/E55)*100</f>
        <v>2.4627646252152521E-3</v>
      </c>
    </row>
    <row r="56" spans="1:10" x14ac:dyDescent="0.3">
      <c r="A56" t="s">
        <v>24</v>
      </c>
      <c r="B56">
        <v>2871</v>
      </c>
      <c r="C56" s="1">
        <v>30732.845023011207</v>
      </c>
      <c r="D56">
        <v>2870.9722000000002</v>
      </c>
      <c r="E56">
        <v>30685</v>
      </c>
      <c r="F56">
        <f t="shared" si="13"/>
        <v>9.6831310313080831E-4</v>
      </c>
      <c r="G56" s="1">
        <f t="shared" si="14"/>
        <v>0.15592316444910101</v>
      </c>
    </row>
    <row r="57" spans="1:10" x14ac:dyDescent="0.3">
      <c r="A57" t="s">
        <v>25</v>
      </c>
      <c r="B57">
        <v>4497</v>
      </c>
      <c r="C57" s="1">
        <v>60252.746844025794</v>
      </c>
      <c r="D57">
        <v>4498.2529000000004</v>
      </c>
      <c r="E57">
        <v>60190</v>
      </c>
      <c r="F57">
        <f t="shared" si="13"/>
        <v>2.7853036008722604E-2</v>
      </c>
      <c r="G57" s="1">
        <f t="shared" si="14"/>
        <v>0.10424795485262404</v>
      </c>
    </row>
    <row r="58" spans="1:10" x14ac:dyDescent="0.3">
      <c r="A58" t="s">
        <v>26</v>
      </c>
      <c r="B58" s="1">
        <v>5909.9307110991249</v>
      </c>
      <c r="C58">
        <v>90780</v>
      </c>
      <c r="D58">
        <v>5906.3761999999997</v>
      </c>
      <c r="E58">
        <v>90552.78</v>
      </c>
      <c r="F58" s="1">
        <f t="shared" si="13"/>
        <v>6.0180912606365863E-2</v>
      </c>
      <c r="G58">
        <f t="shared" si="14"/>
        <v>0.25092548235404938</v>
      </c>
    </row>
    <row r="60" spans="1:10" x14ac:dyDescent="0.3">
      <c r="J60" t="s">
        <v>28</v>
      </c>
    </row>
    <row r="61" spans="1:10" x14ac:dyDescent="0.3">
      <c r="C61" t="s">
        <v>36</v>
      </c>
    </row>
    <row r="62" spans="1:10" x14ac:dyDescent="0.3">
      <c r="F62" t="s">
        <v>28</v>
      </c>
    </row>
    <row r="67" spans="8:8" x14ac:dyDescent="0.3">
      <c r="H67">
        <f>6.67*(10^-11)</f>
        <v>6.67E-11</v>
      </c>
    </row>
    <row r="68" spans="8:8" x14ac:dyDescent="0.3">
      <c r="H68">
        <f>4*(PI()^2)/(H67*1.989*10^30)</f>
        <v>2.9757683454168414E-19</v>
      </c>
    </row>
    <row r="69" spans="8:8" x14ac:dyDescent="0.3">
      <c r="H69">
        <f>SQRT(H68)</f>
        <v>5.4550603529354668E-10</v>
      </c>
    </row>
  </sheetData>
  <mergeCells count="3">
    <mergeCell ref="B52:C52"/>
    <mergeCell ref="D52:E52"/>
    <mergeCell ref="F52:G5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 Cline</dc:creator>
  <cp:lastModifiedBy>Stefan Cline</cp:lastModifiedBy>
  <dcterms:created xsi:type="dcterms:W3CDTF">2021-09-09T00:01:26Z</dcterms:created>
  <dcterms:modified xsi:type="dcterms:W3CDTF">2021-09-10T05:44:00Z</dcterms:modified>
</cp:coreProperties>
</file>