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a13b15e939eee1/Documents/School/06_SDSU_Grad_School_Docs/ODEs With Mahaffy/"/>
    </mc:Choice>
  </mc:AlternateContent>
  <xr:revisionPtr revIDLastSave="0" documentId="8_{6B61D602-4847-4555-91A4-7B6F615B1CD1}" xr6:coauthVersionLast="47" xr6:coauthVersionMax="47" xr10:uidLastSave="{00000000-0000-0000-0000-000000000000}"/>
  <bookViews>
    <workbookView xWindow="-108" yWindow="-108" windowWidth="23256" windowHeight="12576" activeTab="1" xr2:uid="{E6ED4ED4-6F94-4E03-B403-DEEDF442FE1F}"/>
  </bookViews>
  <sheets>
    <sheet name="Prob_3" sheetId="1" r:id="rId1"/>
    <sheet name="Prob_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" l="1"/>
  <c r="C13" i="2"/>
  <c r="F13" i="2"/>
  <c r="L13" i="2" s="1"/>
  <c r="I13" i="2"/>
  <c r="B10" i="1"/>
  <c r="B13" i="1"/>
  <c r="B12" i="1"/>
  <c r="B8" i="1"/>
  <c r="H5" i="1"/>
  <c r="H4" i="1"/>
  <c r="Q4" i="2"/>
  <c r="L11" i="2"/>
  <c r="L12" i="2"/>
  <c r="L10" i="2"/>
  <c r="F11" i="2"/>
  <c r="F12" i="2"/>
  <c r="F10" i="2"/>
  <c r="I15" i="2"/>
  <c r="H21" i="2"/>
  <c r="H20" i="2"/>
  <c r="H19" i="2"/>
  <c r="H18" i="2"/>
  <c r="D30" i="2"/>
  <c r="D29" i="2"/>
  <c r="D28" i="2"/>
  <c r="D26" i="2"/>
  <c r="D25" i="2"/>
  <c r="D23" i="2"/>
  <c r="D19" i="2"/>
  <c r="D20" i="2"/>
  <c r="N5" i="2"/>
  <c r="N6" i="2" s="1"/>
  <c r="J4" i="2"/>
  <c r="J5" i="2" s="1"/>
  <c r="B15" i="2"/>
  <c r="C15" i="2"/>
  <c r="C11" i="2"/>
  <c r="F4" i="2"/>
  <c r="C12" i="2" s="1"/>
  <c r="D21" i="2" l="1"/>
  <c r="C10" i="2"/>
  <c r="N7" i="2"/>
  <c r="I11" i="2" s="1"/>
  <c r="I12" i="2"/>
  <c r="I10" i="2"/>
</calcChain>
</file>

<file path=xl/sharedStrings.xml><?xml version="1.0" encoding="utf-8"?>
<sst xmlns="http://schemas.openxmlformats.org/spreadsheetml/2006/main" count="54" uniqueCount="46">
  <si>
    <t>#2</t>
  </si>
  <si>
    <t>P(t)</t>
  </si>
  <si>
    <t>t (since 1950)</t>
  </si>
  <si>
    <t>b=</t>
  </si>
  <si>
    <t>a=</t>
  </si>
  <si>
    <t>k</t>
  </si>
  <si>
    <t>q</t>
  </si>
  <si>
    <t>b</t>
  </si>
  <si>
    <t>C=</t>
  </si>
  <si>
    <t>A(t)</t>
  </si>
  <si>
    <t>t</t>
  </si>
  <si>
    <t>A'(t)=0</t>
  </si>
  <si>
    <t xml:space="preserve"> </t>
  </si>
  <si>
    <t>K</t>
  </si>
  <si>
    <t>big</t>
  </si>
  <si>
    <t>little</t>
  </si>
  <si>
    <t>as vals</t>
  </si>
  <si>
    <t>C_1</t>
  </si>
  <si>
    <t>r=</t>
  </si>
  <si>
    <t>r*79</t>
  </si>
  <si>
    <t>w(t)</t>
  </si>
  <si>
    <t>c(t)</t>
  </si>
  <si>
    <t xml:space="preserve"> -b/(q(k-q))</t>
  </si>
  <si>
    <t>1/k*C</t>
  </si>
  <si>
    <t>lam_1</t>
  </si>
  <si>
    <t>lam_2</t>
  </si>
  <si>
    <t>b/(k-q)</t>
  </si>
  <si>
    <t>520*b/(k-q)</t>
  </si>
  <si>
    <t>520*C</t>
  </si>
  <si>
    <t>lam_1*1/-q</t>
  </si>
  <si>
    <t>lam_2*1/-k</t>
  </si>
  <si>
    <t>a_1</t>
  </si>
  <si>
    <t>For the P(t) expression</t>
  </si>
  <si>
    <t>first</t>
  </si>
  <si>
    <t>second</t>
  </si>
  <si>
    <t>C_2</t>
  </si>
  <si>
    <t>max weight boy</t>
  </si>
  <si>
    <t xml:space="preserve">Age max conc. </t>
  </si>
  <si>
    <t xml:space="preserve">Max Conc. </t>
  </si>
  <si>
    <t>At the year 2000</t>
  </si>
  <si>
    <t xml:space="preserve">Theroretical </t>
  </si>
  <si>
    <t xml:space="preserve">Actual </t>
  </si>
  <si>
    <t>Error %</t>
  </si>
  <si>
    <t>Max Pop Time</t>
  </si>
  <si>
    <t>Max Pop val</t>
  </si>
  <si>
    <t>c(w) max 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</si>
</sst>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304800</xdr:colOff>
      <xdr:row>2</xdr:row>
      <xdr:rowOff>195262</xdr:rowOff>
    </xdr:from>
    <xdr:ext cx="10486397" cy="5479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9B479D7-D416-44FB-A87F-DD74F7DCE60B}"/>
                </a:ext>
              </a:extLst>
            </xdr:cNvPr>
            <xdr:cNvSpPr txBox="1"/>
          </xdr:nvSpPr>
          <xdr:spPr>
            <a:xfrm>
              <a:off x="914400" y="576262"/>
              <a:ext cx="10486397" cy="54797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1" i="1">
                        <a:latin typeface="Cambria Math" panose="02040503050406030204" pitchFamily="18" charset="0"/>
                      </a:rPr>
                      <m:t>𝑨</m:t>
                    </m:r>
                    <m:d>
                      <m:dPr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</m:d>
                    <m:r>
                      <a:rPr lang="en-US" sz="16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𝒃</m:t>
                        </m:r>
                      </m:num>
                      <m:den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𝒌</m:t>
                        </m:r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𝒒</m:t>
                        </m:r>
                      </m:den>
                    </m:f>
                    <m:sSup>
                      <m:sSupPr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𝒒𝒕</m:t>
                        </m:r>
                      </m:sup>
                    </m:sSup>
                    <m:r>
                      <a:rPr lang="en-US" sz="16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𝑪</m:t>
                    </m:r>
                    <m:sSup>
                      <m:sSupPr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𝒌𝒕</m:t>
                        </m:r>
                      </m:sup>
                    </m:sSup>
                    <m:r>
                      <a:rPr lang="en-US" sz="16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𝒘𝒉𝒆𝒓𝒆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𝑪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𝒃</m:t>
                        </m:r>
                      </m:num>
                      <m:den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𝒌</m:t>
                        </m:r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𝒒</m:t>
                        </m:r>
                      </m:den>
                    </m:f>
                    <m:r>
                      <a:rPr lang="en-US" sz="16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𝑷</m:t>
                    </m:r>
                    <m:d>
                      <m:dPr>
                        <m:ctrlPr>
                          <a:rPr lang="en-US" sz="16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</m:d>
                    <m:r>
                      <a:rPr lang="en-US" sz="16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1" i="1">
                        <a:solidFill>
                          <a:srgbClr val="00B0F0"/>
                        </a:solidFill>
                        <a:latin typeface="Cambria Math" panose="02040503050406030204" pitchFamily="18" charset="0"/>
                      </a:rPr>
                      <m:t>𝑲</m:t>
                    </m:r>
                    <m:d>
                      <m:dPr>
                        <m:begChr m:val="["/>
                        <m:endChr m:val="]"/>
                        <m:ctrlPr>
                          <a:rPr lang="en-US" sz="16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6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𝒃</m:t>
                            </m:r>
                          </m:num>
                          <m:den>
                            <m:r>
                              <a:rPr lang="en-US" sz="16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𝒒</m:t>
                            </m:r>
                            <m:d>
                              <m:dPr>
                                <m:ctrlPr>
                                  <a:rPr lang="en-US" sz="1600" b="1" i="1">
                                    <a:solidFill>
                                      <a:srgbClr val="00B0F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b="1" i="1">
                                    <a:solidFill>
                                      <a:srgbClr val="00B0F0"/>
                                    </a:solidFill>
                                    <a:latin typeface="Cambria Math" panose="02040503050406030204" pitchFamily="18" charset="0"/>
                                  </a:rPr>
                                  <m:t>𝒌</m:t>
                                </m:r>
                                <m:r>
                                  <a:rPr lang="en-US" sz="1600" b="1" i="1">
                                    <a:solidFill>
                                      <a:srgbClr val="00B0F0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600" b="1" i="1">
                                    <a:solidFill>
                                      <a:srgbClr val="00B0F0"/>
                                    </a:solidFill>
                                    <a:latin typeface="Cambria Math" panose="02040503050406030204" pitchFamily="18" charset="0"/>
                                  </a:rPr>
                                  <m:t>𝒒</m:t>
                                </m:r>
                              </m:e>
                            </m:d>
                          </m:den>
                        </m:f>
                        <m:sSup>
                          <m:sSupPr>
                            <m:ctrlPr>
                              <a:rPr lang="en-US" sz="16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𝒆</m:t>
                            </m:r>
                          </m:e>
                          <m:sup>
                            <m:r>
                              <a:rPr lang="en-US" sz="16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6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𝒒𝒕</m:t>
                            </m:r>
                          </m:sup>
                        </m:sSup>
                        <m:r>
                          <a:rPr lang="en-US" sz="16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6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𝟏</m:t>
                            </m:r>
                          </m:num>
                          <m:den>
                            <m:r>
                              <a:rPr lang="en-US" sz="16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𝒌</m:t>
                            </m:r>
                          </m:den>
                        </m:f>
                        <m:r>
                          <a:rPr lang="en-US" sz="16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𝑪</m:t>
                        </m:r>
                        <m:sSup>
                          <m:sSupPr>
                            <m:ctrlPr>
                              <a:rPr lang="en-US" sz="16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𝒆</m:t>
                            </m:r>
                          </m:e>
                          <m:sup>
                            <m:r>
                              <a:rPr lang="en-US" sz="16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6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𝒌𝒕</m:t>
                            </m:r>
                          </m:sup>
                        </m:sSup>
                        <m:r>
                          <a:rPr lang="en-US" sz="1600" b="1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6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𝑪</m:t>
                            </m:r>
                          </m:e>
                          <m:sub>
                            <m:r>
                              <a:rPr lang="en-US" sz="1600" b="1" i="1">
                                <a:solidFill>
                                  <a:srgbClr val="00B0F0"/>
                                </a:solidFill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</m:e>
                    </m:d>
                    <m:r>
                      <a:rPr lang="en-US" sz="16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600" b="1" i="1">
                        <a:solidFill>
                          <a:srgbClr val="7030A0"/>
                        </a:solidFill>
                        <a:latin typeface="Cambria Math" panose="02040503050406030204" pitchFamily="18" charset="0"/>
                      </a:rPr>
                      <m:t>𝒘</m:t>
                    </m:r>
                    <m:d>
                      <m:dPr>
                        <m:ctrlPr>
                          <a:rPr lang="en-U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𝒕</m:t>
                        </m:r>
                      </m:e>
                    </m:d>
                    <m:r>
                      <a:rPr lang="en-US" sz="1600" b="1" i="1">
                        <a:solidFill>
                          <a:srgbClr val="7030A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1" i="1">
                        <a:solidFill>
                          <a:srgbClr val="7030A0"/>
                        </a:solidFill>
                        <a:latin typeface="Cambria Math" panose="02040503050406030204" pitchFamily="18" charset="0"/>
                      </a:rPr>
                      <m:t>𝟕𝟗</m:t>
                    </m:r>
                    <m:r>
                      <a:rPr lang="en-US" sz="1600" b="1" i="1">
                        <a:solidFill>
                          <a:srgbClr val="7030A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600" b="1" i="1">
                        <a:solidFill>
                          <a:srgbClr val="7030A0"/>
                        </a:solidFill>
                        <a:latin typeface="Cambria Math" panose="02040503050406030204" pitchFamily="18" charset="0"/>
                      </a:rPr>
                      <m:t>𝟕𝟓</m:t>
                    </m:r>
                    <m:r>
                      <a:rPr lang="en-US" sz="1600" b="1" i="1">
                        <a:solidFill>
                          <a:srgbClr val="7030A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600" b="1" i="1">
                        <a:solidFill>
                          <a:srgbClr val="7030A0"/>
                        </a:solidFill>
                        <a:latin typeface="Cambria Math" panose="02040503050406030204" pitchFamily="18" charset="0"/>
                      </a:rPr>
                      <m:t>𝟖</m:t>
                    </m:r>
                    <m:sSup>
                      <m:sSupPr>
                        <m:ctrlPr>
                          <a:rPr lang="en-U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r>
                          <a:rPr lang="en-U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n-U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𝟎𝟔𝟏</m:t>
                        </m:r>
                        <m:r>
                          <a:rPr lang="en-US" sz="1600" b="1" i="1">
                            <a:solidFill>
                              <a:srgbClr val="7030A0"/>
                            </a:solidFill>
                            <a:latin typeface="Cambria Math" panose="02040503050406030204" pitchFamily="18" charset="0"/>
                          </a:rPr>
                          <m:t>𝒕</m:t>
                        </m:r>
                      </m:sup>
                    </m:sSup>
                  </m:oMath>
                </m:oMathPara>
              </a14:m>
              <a:endParaRPr lang="en-US" sz="16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9B479D7-D416-44FB-A87F-DD74F7DCE60B}"/>
                </a:ext>
              </a:extLst>
            </xdr:cNvPr>
            <xdr:cNvSpPr txBox="1"/>
          </xdr:nvSpPr>
          <xdr:spPr>
            <a:xfrm>
              <a:off x="914400" y="576262"/>
              <a:ext cx="10486397" cy="54797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1" i="0">
                  <a:latin typeface="Cambria Math" panose="02040503050406030204" pitchFamily="18" charset="0"/>
                </a:rPr>
                <a:t>𝑨(𝒕)=𝒃/(𝒌−𝒒) 𝒆^(−𝒒𝒕)+𝑪𝒆^(−𝒌𝒕), 𝒘𝒉𝒆𝒓𝒆 𝑪=−𝒃/(𝒌−𝒒)</a:t>
              </a:r>
              <a:r>
                <a:rPr lang="en-US" sz="1600" b="1" i="0">
                  <a:solidFill>
                    <a:srgbClr val="00B0F0"/>
                  </a:solidFill>
                  <a:latin typeface="Cambria Math" panose="02040503050406030204" pitchFamily="18" charset="0"/>
                </a:rPr>
                <a:t>, 𝑷(𝒕)=𝑲[(−𝒃)/𝒒(𝒌−𝒒)  𝒆^(−𝒒𝒕)−𝟏/𝒌 𝑪𝒆^(−𝒌𝒕)+𝑪_𝟐 ]</a:t>
              </a:r>
              <a:r>
                <a:rPr lang="en-US" sz="1600" b="1" i="0">
                  <a:latin typeface="Cambria Math" panose="02040503050406030204" pitchFamily="18" charset="0"/>
                </a:rPr>
                <a:t>, </a:t>
              </a:r>
              <a:r>
                <a:rPr lang="en-US" sz="1600" b="1" i="0">
                  <a:solidFill>
                    <a:srgbClr val="7030A0"/>
                  </a:solidFill>
                  <a:latin typeface="Cambria Math" panose="02040503050406030204" pitchFamily="18" charset="0"/>
                </a:rPr>
                <a:t>𝒘(𝒕)=𝟕𝟗−𝟕𝟓.𝟖𝒆^(−𝟎.𝟎𝟔𝟏𝒕)</a:t>
              </a:r>
              <a:endParaRPr lang="en-US" sz="16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0E1E-92C3-4C6E-AFBA-75EECDE1D9AD}">
  <dimension ref="A1:H13"/>
  <sheetViews>
    <sheetView workbookViewId="0">
      <selection activeCell="E10" sqref="E10"/>
    </sheetView>
  </sheetViews>
  <sheetFormatPr defaultRowHeight="14.4" x14ac:dyDescent="0.3"/>
  <cols>
    <col min="1" max="1" width="14.6640625" customWidth="1"/>
    <col min="2" max="2" width="11.5546875" bestFit="1" customWidth="1"/>
    <col min="3" max="3" width="11.6640625" bestFit="1" customWidth="1"/>
    <col min="5" max="5" width="24" customWidth="1"/>
  </cols>
  <sheetData>
    <row r="1" spans="1:8" x14ac:dyDescent="0.3">
      <c r="A1" t="s">
        <v>0</v>
      </c>
    </row>
    <row r="3" spans="1:8" x14ac:dyDescent="0.3">
      <c r="B3" t="s">
        <v>1</v>
      </c>
      <c r="C3" t="s">
        <v>2</v>
      </c>
    </row>
    <row r="4" spans="1:8" x14ac:dyDescent="0.3">
      <c r="B4">
        <v>7.46</v>
      </c>
      <c r="C4">
        <v>20</v>
      </c>
      <c r="D4" s="1" t="s">
        <v>4</v>
      </c>
      <c r="E4" s="4">
        <v>8.8150765638268702E-5</v>
      </c>
      <c r="G4">
        <v>20</v>
      </c>
      <c r="H4">
        <f>G4^2/2</f>
        <v>200</v>
      </c>
    </row>
    <row r="5" spans="1:8" x14ac:dyDescent="0.3">
      <c r="B5">
        <v>7.73</v>
      </c>
      <c r="C5">
        <v>40</v>
      </c>
      <c r="D5" s="1" t="s">
        <v>3</v>
      </c>
      <c r="E5">
        <v>4.4221953883311202E-3</v>
      </c>
      <c r="G5">
        <v>40</v>
      </c>
      <c r="H5">
        <f>G5^2/2</f>
        <v>800</v>
      </c>
    </row>
    <row r="7" spans="1:8" x14ac:dyDescent="0.3">
      <c r="B7" t="s">
        <v>39</v>
      </c>
    </row>
    <row r="8" spans="1:8" x14ac:dyDescent="0.3">
      <c r="A8" t="s">
        <v>40</v>
      </c>
      <c r="B8" s="5">
        <f>6.95*EXP(E5*C8-0.5*E4*(C8^2))</f>
        <v>7.7652835468290169</v>
      </c>
      <c r="C8">
        <v>50</v>
      </c>
      <c r="E8">
        <v>7.7652835468290196</v>
      </c>
    </row>
    <row r="9" spans="1:8" x14ac:dyDescent="0.3">
      <c r="A9" t="s">
        <v>41</v>
      </c>
      <c r="B9">
        <v>8.1300000000000008</v>
      </c>
    </row>
    <row r="10" spans="1:8" x14ac:dyDescent="0.3">
      <c r="A10" t="s">
        <v>42</v>
      </c>
      <c r="B10" s="5">
        <f>100*(B9-B8)/B8</f>
        <v>4.6967564155454085</v>
      </c>
      <c r="E10">
        <v>4.6967564155454102</v>
      </c>
    </row>
    <row r="12" spans="1:8" x14ac:dyDescent="0.3">
      <c r="A12" t="s">
        <v>43</v>
      </c>
      <c r="B12" s="5">
        <f>E5/E4</f>
        <v>50.166273160664666</v>
      </c>
      <c r="C12">
        <v>50.166273160664701</v>
      </c>
    </row>
    <row r="13" spans="1:8" x14ac:dyDescent="0.3">
      <c r="A13" t="s">
        <v>44</v>
      </c>
      <c r="B13" s="5">
        <f>6.95*EXP(E5*B12-0.5*E4*(B12^2))</f>
        <v>7.7652930091566361</v>
      </c>
      <c r="C13">
        <v>7.7652930091566397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3098-7E10-4EE4-9552-F37F0CB5DAA1}">
  <dimension ref="B3:Q30"/>
  <sheetViews>
    <sheetView tabSelected="1" topLeftCell="B3" workbookViewId="0">
      <selection activeCell="K21" sqref="K21"/>
    </sheetView>
  </sheetViews>
  <sheetFormatPr defaultRowHeight="14.4" x14ac:dyDescent="0.3"/>
  <cols>
    <col min="3" max="3" width="11.109375" customWidth="1"/>
    <col min="4" max="4" width="11" customWidth="1"/>
    <col min="6" max="6" width="7.88671875" customWidth="1"/>
    <col min="17" max="17" width="10.5546875" customWidth="1"/>
  </cols>
  <sheetData>
    <row r="3" spans="2:17" ht="66.75" customHeight="1" x14ac:dyDescent="0.3"/>
    <row r="4" spans="2:17" x14ac:dyDescent="0.3">
      <c r="B4" t="s">
        <v>15</v>
      </c>
      <c r="C4" t="s">
        <v>5</v>
      </c>
      <c r="D4">
        <v>0.41</v>
      </c>
      <c r="E4" s="1" t="s">
        <v>8</v>
      </c>
      <c r="F4">
        <f>-D6/(D4-D5)</f>
        <v>32.941176470588239</v>
      </c>
      <c r="J4">
        <f>(-D6/((D5*(D4-D5)))-(1/D4*F4))</f>
        <v>-23.549201009251476</v>
      </c>
      <c r="M4" t="s">
        <v>18</v>
      </c>
      <c r="N4">
        <v>6.0999999999999999E-2</v>
      </c>
      <c r="Q4">
        <f>N4*N7</f>
        <v>4.6238000000000001</v>
      </c>
    </row>
    <row r="5" spans="2:17" x14ac:dyDescent="0.3">
      <c r="C5" t="s">
        <v>6</v>
      </c>
      <c r="D5">
        <v>0.57999999999999996</v>
      </c>
      <c r="I5" t="s">
        <v>17</v>
      </c>
      <c r="J5">
        <f>J4*-1</f>
        <v>23.549201009251476</v>
      </c>
      <c r="M5" t="s">
        <v>19</v>
      </c>
      <c r="N5">
        <f>N4*79</f>
        <v>4.819</v>
      </c>
    </row>
    <row r="6" spans="2:17" x14ac:dyDescent="0.3">
      <c r="C6" t="s">
        <v>7</v>
      </c>
      <c r="D6">
        <v>5.6</v>
      </c>
      <c r="J6">
        <v>23.549201009251501</v>
      </c>
      <c r="N6">
        <f>N5/N4</f>
        <v>79</v>
      </c>
    </row>
    <row r="7" spans="2:17" x14ac:dyDescent="0.3">
      <c r="B7" t="s">
        <v>14</v>
      </c>
      <c r="C7" t="s">
        <v>13</v>
      </c>
      <c r="D7">
        <v>520</v>
      </c>
      <c r="N7">
        <f>N6-3.2</f>
        <v>75.8</v>
      </c>
    </row>
    <row r="9" spans="2:17" x14ac:dyDescent="0.3">
      <c r="B9" t="s">
        <v>10</v>
      </c>
      <c r="C9" t="s">
        <v>9</v>
      </c>
      <c r="D9" t="s">
        <v>16</v>
      </c>
      <c r="F9" t="s">
        <v>1</v>
      </c>
      <c r="G9" t="s">
        <v>16</v>
      </c>
      <c r="I9" t="s">
        <v>20</v>
      </c>
      <c r="J9" t="s">
        <v>16</v>
      </c>
      <c r="L9" t="s">
        <v>21</v>
      </c>
      <c r="M9" t="s">
        <v>16</v>
      </c>
    </row>
    <row r="10" spans="2:17" x14ac:dyDescent="0.3">
      <c r="B10">
        <v>1.5</v>
      </c>
      <c r="C10">
        <f>-$F$4*EXP(-0.58*B10)+$F$4*EXP(-0.41*B10)</f>
        <v>4.008590223208202</v>
      </c>
      <c r="D10">
        <v>4.0085902232082002</v>
      </c>
      <c r="F10">
        <f>$H$19*EXP(-$D$5*B10)-$H$20*EXP(-$D$4*B10)+$H$21</f>
        <v>2031.212267751398</v>
      </c>
      <c r="G10">
        <v>2031.212267751398</v>
      </c>
      <c r="I10">
        <f>$N$6-$N$7*EXP(-0.061*B10)</f>
        <v>9.8278522356775539</v>
      </c>
      <c r="J10" s="2">
        <v>9.8278522356775539</v>
      </c>
      <c r="L10">
        <f>0.1*F10/I10</f>
        <v>20.667916234816708</v>
      </c>
      <c r="M10">
        <v>20.667916234816698</v>
      </c>
    </row>
    <row r="11" spans="2:17" x14ac:dyDescent="0.3">
      <c r="B11">
        <v>6.5</v>
      </c>
      <c r="C11">
        <f t="shared" ref="C11:C15" si="0">-$F$4*EXP(-0.58*B11)+$F$4*EXP(-0.41*B11)</f>
        <v>1.5333225022226071</v>
      </c>
      <c r="D11">
        <v>1.53332250222261</v>
      </c>
      <c r="F11">
        <f t="shared" ref="F11:F12" si="1">$H$19*EXP(-$D$5*B11)-$H$20*EXP(-$D$4*B11)+$H$21</f>
        <v>10018.596825219774</v>
      </c>
      <c r="G11">
        <v>10018.596825219774</v>
      </c>
      <c r="I11">
        <f>$N$6-$N$7*EXP(-0.061*B11)</f>
        <v>28.011593026046341</v>
      </c>
      <c r="J11" s="3">
        <v>28.011593026046341</v>
      </c>
      <c r="L11">
        <f t="shared" ref="L11:L12" si="2">0.1*F11/I11</f>
        <v>35.765894556243438</v>
      </c>
      <c r="M11">
        <v>35.765894556243424</v>
      </c>
    </row>
    <row r="12" spans="2:17" x14ac:dyDescent="0.3">
      <c r="B12">
        <v>10</v>
      </c>
      <c r="C12">
        <f t="shared" si="0"/>
        <v>0.44619220985740277</v>
      </c>
      <c r="D12">
        <v>0.44619220985740299</v>
      </c>
      <c r="F12">
        <f t="shared" si="1"/>
        <v>11642.608032331686</v>
      </c>
      <c r="G12">
        <v>11642.608032331686</v>
      </c>
      <c r="I12">
        <f>$N$6-$N$7*EXP(-0.061*B12)</f>
        <v>37.814004124152916</v>
      </c>
      <c r="J12" s="3">
        <v>37.814004124152916</v>
      </c>
      <c r="L12">
        <f t="shared" si="2"/>
        <v>30.789143604327293</v>
      </c>
      <c r="M12">
        <v>30.789143604327275</v>
      </c>
    </row>
    <row r="13" spans="2:17" x14ac:dyDescent="0.3">
      <c r="B13">
        <v>5.0393699999999999</v>
      </c>
      <c r="C13">
        <f t="shared" ref="C13" si="3">-$F$4*EXP(-0.58*B13)+$F$4*EXP(-0.41*B13)</f>
        <v>2.4011667285861629</v>
      </c>
      <c r="F13">
        <f t="shared" ref="F13" si="4">$H$19*EXP(-$D$5*B13)-$H$20*EXP(-$D$4*B13)+$H$21</f>
        <v>8541.6222652778379</v>
      </c>
      <c r="I13">
        <f>$N$6-$N$7*EXP(-0.061*B13)</f>
        <v>23.260072428814183</v>
      </c>
      <c r="J13" s="3"/>
      <c r="L13">
        <f t="shared" ref="L13" si="5">0.1*F13/I13</f>
        <v>36.722251366236591</v>
      </c>
    </row>
    <row r="14" spans="2:17" x14ac:dyDescent="0.3">
      <c r="B14" t="s">
        <v>11</v>
      </c>
      <c r="I14" t="s">
        <v>36</v>
      </c>
    </row>
    <row r="15" spans="2:17" x14ac:dyDescent="0.3">
      <c r="B15">
        <f>(LN((-D6*D5)/((D4-D5)*(D4*F4))))/(-D4+D5)</f>
        <v>2.0404173167183028</v>
      </c>
      <c r="C15" s="3">
        <f t="shared" si="0"/>
        <v>4.1825565454794713</v>
      </c>
      <c r="I15">
        <f>79</f>
        <v>79</v>
      </c>
      <c r="K15" t="s">
        <v>38</v>
      </c>
      <c r="M15">
        <v>29042.677</v>
      </c>
    </row>
    <row r="16" spans="2:17" x14ac:dyDescent="0.3">
      <c r="K16" t="s">
        <v>37</v>
      </c>
      <c r="M16">
        <v>5.0393699999999999</v>
      </c>
    </row>
    <row r="17" spans="2:16" x14ac:dyDescent="0.3">
      <c r="G17" t="s">
        <v>32</v>
      </c>
    </row>
    <row r="18" spans="2:16" x14ac:dyDescent="0.3">
      <c r="C18" t="s">
        <v>13</v>
      </c>
      <c r="D18">
        <v>520</v>
      </c>
      <c r="G18" t="s">
        <v>31</v>
      </c>
      <c r="H18">
        <f>D23</f>
        <v>-32.941176470588239</v>
      </c>
    </row>
    <row r="19" spans="2:16" x14ac:dyDescent="0.3">
      <c r="C19" t="s">
        <v>22</v>
      </c>
      <c r="D19">
        <f>-D6/(D5*(D4-D5))</f>
        <v>56.795131845841794</v>
      </c>
      <c r="G19" t="s">
        <v>33</v>
      </c>
      <c r="H19">
        <f>D18*H18/(-D5)</f>
        <v>29533.468559837733</v>
      </c>
    </row>
    <row r="20" spans="2:16" x14ac:dyDescent="0.3">
      <c r="C20" t="s">
        <v>23</v>
      </c>
      <c r="D20">
        <f>1/D4*F4</f>
        <v>80.34433285509327</v>
      </c>
      <c r="G20" t="s">
        <v>34</v>
      </c>
      <c r="H20">
        <f>D18*F4/D4</f>
        <v>41779.053084648505</v>
      </c>
      <c r="K20" t="s">
        <v>45</v>
      </c>
      <c r="P20" t="s">
        <v>12</v>
      </c>
    </row>
    <row r="21" spans="2:16" x14ac:dyDescent="0.3">
      <c r="C21" t="s">
        <v>17</v>
      </c>
      <c r="D21">
        <f>J5</f>
        <v>23.549201009251476</v>
      </c>
      <c r="G21" t="s">
        <v>35</v>
      </c>
      <c r="H21">
        <f>-1*(H19-H20)</f>
        <v>12245.584524810773</v>
      </c>
      <c r="J21" t="s">
        <v>12</v>
      </c>
      <c r="K21">
        <f>0.1*F13/I13</f>
        <v>36.722251366236591</v>
      </c>
    </row>
    <row r="23" spans="2:16" x14ac:dyDescent="0.3">
      <c r="C23" t="s">
        <v>26</v>
      </c>
      <c r="D23">
        <f>D6/(D4-D5)</f>
        <v>-32.941176470588239</v>
      </c>
    </row>
    <row r="25" spans="2:16" x14ac:dyDescent="0.3">
      <c r="B25" t="s">
        <v>24</v>
      </c>
      <c r="C25" t="s">
        <v>27</v>
      </c>
      <c r="D25">
        <f>520*D23</f>
        <v>-17129.411764705885</v>
      </c>
    </row>
    <row r="26" spans="2:16" x14ac:dyDescent="0.3">
      <c r="B26" t="s">
        <v>25</v>
      </c>
      <c r="C26" t="s">
        <v>28</v>
      </c>
      <c r="D26">
        <f>D18*F4</f>
        <v>17129.411764705885</v>
      </c>
    </row>
    <row r="28" spans="2:16" x14ac:dyDescent="0.3">
      <c r="C28" t="s">
        <v>29</v>
      </c>
      <c r="D28">
        <f>D25/(-D5)</f>
        <v>29533.468559837733</v>
      </c>
    </row>
    <row r="29" spans="2:16" x14ac:dyDescent="0.3">
      <c r="C29" t="s">
        <v>30</v>
      </c>
      <c r="D29">
        <f>D26/(-D4)</f>
        <v>-41779.053084648505</v>
      </c>
    </row>
    <row r="30" spans="2:16" x14ac:dyDescent="0.3">
      <c r="C30" t="s">
        <v>17</v>
      </c>
      <c r="D30">
        <f>(-1)*D29-D28</f>
        <v>12245.584524810773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Prob_3</vt:lpstr>
      <vt:lpstr>Prob_4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Cline</dc:creator>
  <cp:lastModifiedBy>Stefan Cline</cp:lastModifiedBy>
  <dcterms:created xsi:type="dcterms:W3CDTF">2021-08-23T22:52:03Z</dcterms:created>
  <dcterms:modified xsi:type="dcterms:W3CDTF">2021-08-26T15:47:32Z</dcterms:modified>
</cp:coreProperties>
</file>