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2fd3bccd6dbaea2b/GitGud/DriveAssistant/ExcelDriveSummary/"/>
    </mc:Choice>
  </mc:AlternateContent>
  <xr:revisionPtr revIDLastSave="60" documentId="13_ncr:1_{E499392B-501C-4B65-8E7E-88D09C8AE449}" xr6:coauthVersionLast="47" xr6:coauthVersionMax="47" xr10:uidLastSave="{0D6990F9-9019-44B2-A1FD-BF15DD93E760}"/>
  <bookViews>
    <workbookView xWindow="-120" yWindow="-120" windowWidth="20730" windowHeight="11040" xr2:uid="{B12B6E18-E294-4985-A977-422328ADD677}"/>
  </bookViews>
  <sheets>
    <sheet name="Stefan" sheetId="4" r:id="rId1"/>
    <sheet name="Christiaan" sheetId="6" r:id="rId2"/>
    <sheet name="Derrick" sheetId="8"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4" l="1"/>
  <c r="B2" i="8"/>
  <c r="B2" i="4"/>
  <c r="B2" i="6"/>
  <c r="G13" i="8"/>
  <c r="G10" i="8"/>
  <c r="F10" i="8"/>
  <c r="G7" i="8"/>
  <c r="F7" i="8"/>
  <c r="C8" i="8" s="1"/>
  <c r="E5" i="8"/>
  <c r="G13" i="4"/>
  <c r="C5" i="4" s="1"/>
  <c r="G10" i="4"/>
  <c r="F10" i="4"/>
  <c r="G7" i="4"/>
  <c r="F7" i="4"/>
  <c r="C8" i="4" s="1"/>
  <c r="E5" i="4"/>
  <c r="G13" i="6"/>
  <c r="G10" i="6"/>
  <c r="F10" i="6"/>
  <c r="G7" i="6"/>
  <c r="F7" i="6"/>
  <c r="C8" i="6" s="1"/>
  <c r="E5" i="6"/>
  <c r="C5" i="8" l="1"/>
  <c r="C10" i="8" s="1"/>
  <c r="C12" i="8" s="1"/>
  <c r="C14" i="8" s="1"/>
  <c r="C10" i="4"/>
  <c r="F13" i="4" s="1"/>
  <c r="C5" i="6"/>
  <c r="C10" i="6" s="1"/>
  <c r="F13" i="6" s="1"/>
  <c r="F13" i="8" l="1"/>
  <c r="C12" i="4"/>
  <c r="C14" i="4" s="1"/>
  <c r="C12" i="6"/>
  <c r="C14" i="6" s="1"/>
</calcChain>
</file>

<file path=xl/sharedStrings.xml><?xml version="1.0" encoding="utf-8"?>
<sst xmlns="http://schemas.openxmlformats.org/spreadsheetml/2006/main" count="114" uniqueCount="32">
  <si>
    <t>Fuel Cash Back in Miles</t>
  </si>
  <si>
    <t>Qualifying Fuel Spend</t>
  </si>
  <si>
    <t>Vitality Drive Status</t>
  </si>
  <si>
    <t>Diamond</t>
  </si>
  <si>
    <t>Accumulated Points</t>
  </si>
  <si>
    <t>Gold</t>
  </si>
  <si>
    <t>MultiPoint Check</t>
  </si>
  <si>
    <t>Silver</t>
  </si>
  <si>
    <t>Distance Points</t>
  </si>
  <si>
    <t>Bronze</t>
  </si>
  <si>
    <t>Night Time Driving</t>
  </si>
  <si>
    <t>Blue</t>
  </si>
  <si>
    <t>Claim Free Years</t>
  </si>
  <si>
    <t>Fuel %</t>
  </si>
  <si>
    <t>Category</t>
  </si>
  <si>
    <t>Points</t>
  </si>
  <si>
    <t>Upper</t>
  </si>
  <si>
    <t>Lower</t>
  </si>
  <si>
    <t>Driving Profile</t>
  </si>
  <si>
    <t>Distance</t>
  </si>
  <si>
    <t>Actual</t>
  </si>
  <si>
    <t>Predict Status</t>
  </si>
  <si>
    <t>Prediction</t>
  </si>
  <si>
    <t>Remaining</t>
  </si>
  <si>
    <t>Distance Brackets</t>
  </si>
  <si>
    <t>Driving Status</t>
  </si>
  <si>
    <t>Daily Average</t>
  </si>
  <si>
    <t>Driver</t>
  </si>
  <si>
    <t>Christiaan</t>
  </si>
  <si>
    <t>Derrick</t>
  </si>
  <si>
    <t>Stefan</t>
  </si>
  <si>
    <t>The predicted status gives a more realistic prediction of the driving status. 
If the prediction is disable, best case scenario is assumed, which is 50 point drive days and the distance remains in the same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</si>
</sst>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R-1C09]#,##0.00"/>
    <numFmt numFmtId="166" formatCode="[$R-1C09]#,##0"/>
  </numFmts>
  <fonts count="5" x14ac:knownFonts="1">
    <font>
      <sz val="11"/>
      <color theme="1"/>
      <name val="Calibri"/>
      <family val="2"/>
      <scheme val="minor"/>
    </font>
    <font>
      <sz val="11"/>
      <color theme="1"/>
      <name val="Calibri"/>
      <family val="2"/>
      <scheme val="minor"/>
    </font>
    <font>
      <sz val="11"/>
      <color rgb="FF111111"/>
      <name val="Calibri"/>
      <family val="2"/>
      <scheme val="minor"/>
    </font>
    <font>
      <sz val="11"/>
      <name val="Calibri"/>
      <family val="2"/>
      <scheme val="minor"/>
    </font>
    <font>
      <sz val="2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0" fillId="0" borderId="1" xfId="0" applyBorder="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applyAlignment="1">
      <alignment horizontal="center" vertical="center"/>
    </xf>
    <xf numFmtId="9" fontId="0" fillId="0" borderId="1" xfId="1" applyFont="1" applyBorder="1" applyAlignment="1">
      <alignment horizontal="center" vertical="center"/>
    </xf>
    <xf numFmtId="165" fontId="0" fillId="0" borderId="0" xfId="0" applyNumberFormat="1" applyAlignment="1">
      <alignment horizontal="center" vertical="center"/>
    </xf>
    <xf numFmtId="0" fontId="0" fillId="0" borderId="0" xfId="0" applyAlignment="1">
      <alignment vertical="center"/>
    </xf>
    <xf numFmtId="0" fontId="0" fillId="0" borderId="0" xfId="0" quotePrefix="1" applyAlignment="1">
      <alignment horizontal="center" vertical="center"/>
    </xf>
    <xf numFmtId="14" fontId="0" fillId="0" borderId="0" xfId="0" applyNumberFormat="1"/>
    <xf numFmtId="0" fontId="0" fillId="0" borderId="1" xfId="0" applyBorder="1"/>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3" fillId="0" borderId="0" xfId="0" applyFont="1"/>
    <xf numFmtId="0" fontId="3" fillId="0" borderId="0" xfId="0" applyFont="1" applyAlignment="1">
      <alignment horizontal="center" vertical="center"/>
    </xf>
    <xf numFmtId="2" fontId="3" fillId="0" borderId="0" xfId="0" applyNumberFormat="1" applyFont="1" applyAlignment="1">
      <alignment horizontal="center" vertical="center"/>
    </xf>
    <xf numFmtId="1" fontId="3" fillId="0" borderId="0" xfId="0" applyNumberFormat="1" applyFont="1" applyAlignment="1">
      <alignment horizontal="center" vertical="center"/>
    </xf>
    <xf numFmtId="1" fontId="0" fillId="3" borderId="1" xfId="0" applyNumberFormat="1" applyFill="1" applyBorder="1" applyAlignment="1">
      <alignment horizontal="center" vertical="center"/>
    </xf>
    <xf numFmtId="0" fontId="0" fillId="0" borderId="0" xfId="0"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wrapText="1"/>
    </xf>
    <xf numFmtId="0" fontId="0" fillId="0" borderId="0" xfId="0" applyAlignment="1">
      <alignment horizontal="left"/>
    </xf>
    <xf numFmtId="166" fontId="0" fillId="3" borderId="1" xfId="0" applyNumberFormat="1" applyFill="1" applyBorder="1" applyAlignment="1">
      <alignment horizontal="center" vertical="center"/>
    </xf>
    <xf numFmtId="1" fontId="0" fillId="0" borderId="0" xfId="0" applyNumberFormat="1"/>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4" fillId="0" borderId="0" xfId="0" applyFont="1" applyAlignment="1">
      <alignment horizontal="center" vertical="center"/>
    </xf>
    <xf numFmtId="0" fontId="0" fillId="0" borderId="0" xfId="0"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1/relationships/FeaturePropertyBag" Target="featurePropertyBag/featurePropertyBag.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C601-B43B-41C4-8E7C-4A1600D76DAD}">
  <sheetPr>
    <pageSetUpPr fitToPage="1"/>
  </sheetPr>
  <dimension ref="B2:V50"/>
  <sheetViews>
    <sheetView tabSelected="1" zoomScaleNormal="100" workbookViewId="0">
      <selection activeCell="U11" sqref="U11"/>
    </sheetView>
  </sheetViews>
  <sheetFormatPr defaultColWidth="8.85546875" defaultRowHeight="15" x14ac:dyDescent="0.25"/>
  <cols>
    <col min="1" max="1" width="2.7109375" style="6" customWidth="1"/>
    <col min="2" max="2" width="22.42578125" style="6" customWidth="1"/>
    <col min="3" max="3" width="9.42578125" style="6" customWidth="1"/>
    <col min="4" max="4" width="2.7109375" style="6" customWidth="1"/>
    <col min="5" max="5" width="14.5703125" customWidth="1"/>
    <col min="6" max="7" width="9.42578125" style="6" customWidth="1"/>
    <col min="8" max="8" width="2.7109375" style="6" customWidth="1"/>
    <col min="9" max="11" width="9.42578125" style="6" hidden="1" customWidth="1"/>
    <col min="12" max="12" width="2.7109375" style="6" hidden="1" customWidth="1"/>
    <col min="13" max="13" width="9.42578125" style="12" hidden="1" customWidth="1"/>
    <col min="14" max="16" width="9.42578125" style="6" hidden="1" customWidth="1"/>
    <col min="17" max="16384" width="8.85546875" style="6"/>
  </cols>
  <sheetData>
    <row r="2" spans="2:22" ht="14.45" customHeight="1" x14ac:dyDescent="0.25">
      <c r="B2" s="32" t="str">
        <f ca="1">_xlfn.CONCAT("Drive Summary ", N13, " ",TEXT(TODAY(), "mmmm yyyy"))</f>
        <v>Drive Summary Stefan September 2024</v>
      </c>
      <c r="C2" s="32"/>
      <c r="D2" s="32"/>
      <c r="E2" s="32"/>
      <c r="F2" s="32"/>
      <c r="G2" s="32"/>
    </row>
    <row r="3" spans="2:22" ht="14.45" customHeight="1" x14ac:dyDescent="0.25">
      <c r="B3" s="32"/>
      <c r="C3" s="32"/>
      <c r="D3" s="32"/>
      <c r="E3" s="32"/>
      <c r="F3" s="32"/>
      <c r="G3" s="32"/>
    </row>
    <row r="5" spans="2:22" x14ac:dyDescent="0.25">
      <c r="B5" s="1" t="s">
        <v>18</v>
      </c>
      <c r="C5" s="18">
        <f ca="1">IF(IF($C$16,G7,G6+G13)&gt;1500, 1500, IF($C$16,G7,G6+G13))</f>
        <v>1492</v>
      </c>
      <c r="D5"/>
      <c r="E5" s="7" t="str">
        <f ca="1">TEXT(TODAY(), "mmmm yyyy")</f>
        <v>September 2024</v>
      </c>
      <c r="F5" s="7" t="s">
        <v>19</v>
      </c>
      <c r="G5" s="7" t="s">
        <v>15</v>
      </c>
      <c r="I5" s="29" t="s">
        <v>24</v>
      </c>
      <c r="J5" s="30"/>
      <c r="K5" s="31"/>
      <c r="M5" s="29" t="s">
        <v>25</v>
      </c>
      <c r="N5" s="30"/>
      <c r="O5" s="30"/>
      <c r="P5" s="31"/>
      <c r="U5" s="12"/>
      <c r="V5" s="12"/>
    </row>
    <row r="6" spans="2:22" x14ac:dyDescent="0.25">
      <c r="B6" s="1" t="s">
        <v>12</v>
      </c>
      <c r="C6" s="16">
        <v>300</v>
      </c>
      <c r="E6" s="1" t="s">
        <v>20</v>
      </c>
      <c r="F6" s="23">
        <v>529</v>
      </c>
      <c r="G6" s="16">
        <v>742</v>
      </c>
      <c r="I6" s="7" t="s">
        <v>17</v>
      </c>
      <c r="J6" s="7" t="s">
        <v>16</v>
      </c>
      <c r="K6" s="7" t="s">
        <v>15</v>
      </c>
      <c r="M6" s="7" t="s">
        <v>17</v>
      </c>
      <c r="N6" s="7" t="s">
        <v>16</v>
      </c>
      <c r="O6" s="7" t="s">
        <v>14</v>
      </c>
      <c r="P6" s="7" t="s">
        <v>13</v>
      </c>
      <c r="T6"/>
      <c r="U6" s="26"/>
      <c r="V6" s="26"/>
    </row>
    <row r="7" spans="2:22" x14ac:dyDescent="0.25">
      <c r="B7" s="1" t="s">
        <v>10</v>
      </c>
      <c r="C7" s="16">
        <f>300-24</f>
        <v>276</v>
      </c>
      <c r="D7" s="9"/>
      <c r="E7" s="1" t="s">
        <v>22</v>
      </c>
      <c r="F7" s="18">
        <f ca="1">F6/(DAY(TODAY())-1)*DAY(EOMONTH(TODAY(), 0))</f>
        <v>1058</v>
      </c>
      <c r="G7" s="18">
        <f ca="1">G6/(DAY(TODAY())-1)*DAY(EOMONTH(TODAY(), 0))</f>
        <v>1484</v>
      </c>
      <c r="I7" s="1">
        <v>0</v>
      </c>
      <c r="J7" s="1">
        <v>149</v>
      </c>
      <c r="K7" s="1">
        <v>300</v>
      </c>
      <c r="M7" s="1">
        <v>0</v>
      </c>
      <c r="N7" s="1">
        <v>799</v>
      </c>
      <c r="O7" s="1" t="s">
        <v>11</v>
      </c>
      <c r="P7" s="10">
        <v>0.05</v>
      </c>
      <c r="U7" s="9"/>
    </row>
    <row r="8" spans="2:22" x14ac:dyDescent="0.25">
      <c r="B8" s="1" t="s">
        <v>8</v>
      </c>
      <c r="C8" s="1">
        <f>IF($C$16, VLOOKUP($F$7,$I$7:$K$21,3,TRUE),VLOOKUP($F$6,$I$7:$K$21,3,TRUE))</f>
        <v>240</v>
      </c>
      <c r="F8" s="15"/>
      <c r="G8" s="1"/>
      <c r="I8" s="1">
        <v>150</v>
      </c>
      <c r="J8" s="1">
        <v>299</v>
      </c>
      <c r="K8" s="1">
        <v>280</v>
      </c>
      <c r="M8" s="1">
        <v>800</v>
      </c>
      <c r="N8" s="1">
        <v>1599</v>
      </c>
      <c r="O8" s="1" t="s">
        <v>9</v>
      </c>
      <c r="P8" s="10">
        <v>0.1</v>
      </c>
    </row>
    <row r="9" spans="2:22" x14ac:dyDescent="0.25">
      <c r="B9" s="1" t="s">
        <v>6</v>
      </c>
      <c r="C9" s="16">
        <v>300</v>
      </c>
      <c r="E9" s="7" t="s">
        <v>26</v>
      </c>
      <c r="F9" s="7" t="s">
        <v>19</v>
      </c>
      <c r="G9" s="7" t="s">
        <v>15</v>
      </c>
      <c r="I9" s="1">
        <v>300</v>
      </c>
      <c r="J9" s="1">
        <v>449</v>
      </c>
      <c r="K9" s="1">
        <v>260</v>
      </c>
      <c r="M9" s="1">
        <v>1600</v>
      </c>
      <c r="N9" s="1">
        <v>2199</v>
      </c>
      <c r="O9" s="1" t="s">
        <v>7</v>
      </c>
      <c r="P9" s="10">
        <v>0.2</v>
      </c>
      <c r="R9" s="9"/>
    </row>
    <row r="10" spans="2:22" x14ac:dyDescent="0.25">
      <c r="B10" s="7" t="s">
        <v>4</v>
      </c>
      <c r="C10" s="8">
        <f ca="1">SUM(C5:C9)</f>
        <v>2608</v>
      </c>
      <c r="E10" s="1" t="s">
        <v>20</v>
      </c>
      <c r="F10" s="17">
        <f ca="1">F6/(DAY(TODAY())-1)</f>
        <v>35.266666666666666</v>
      </c>
      <c r="G10" s="17">
        <f ca="1">G6/(DAY(TODAY())-1)</f>
        <v>49.466666666666669</v>
      </c>
      <c r="I10" s="1">
        <v>450</v>
      </c>
      <c r="J10" s="1">
        <v>599</v>
      </c>
      <c r="K10" s="1">
        <v>240</v>
      </c>
      <c r="M10" s="1">
        <v>2200</v>
      </c>
      <c r="N10" s="1">
        <v>2499</v>
      </c>
      <c r="O10" s="1" t="s">
        <v>5</v>
      </c>
      <c r="P10" s="10">
        <v>0.35</v>
      </c>
    </row>
    <row r="11" spans="2:22" x14ac:dyDescent="0.25">
      <c r="I11" s="1">
        <v>600</v>
      </c>
      <c r="J11" s="1">
        <v>749</v>
      </c>
      <c r="K11" s="1">
        <v>220</v>
      </c>
      <c r="M11" s="5">
        <v>2500</v>
      </c>
      <c r="N11" s="1">
        <v>3000</v>
      </c>
      <c r="O11" s="1" t="s">
        <v>3</v>
      </c>
      <c r="P11" s="10">
        <v>0.5</v>
      </c>
      <c r="S11"/>
    </row>
    <row r="12" spans="2:22" x14ac:dyDescent="0.25">
      <c r="B12" s="1" t="s">
        <v>2</v>
      </c>
      <c r="C12" s="1" t="str">
        <f ca="1">VLOOKUP(C10,M7:O11,3,TRUE)</f>
        <v>Diamond</v>
      </c>
      <c r="D12" s="9"/>
      <c r="E12" s="19"/>
      <c r="F12" s="7" t="s">
        <v>19</v>
      </c>
      <c r="G12" s="7" t="s">
        <v>15</v>
      </c>
      <c r="I12" s="1">
        <v>750</v>
      </c>
      <c r="J12" s="1">
        <v>899</v>
      </c>
      <c r="K12" s="1">
        <v>200</v>
      </c>
      <c r="M12" s="6"/>
      <c r="S12" s="26"/>
    </row>
    <row r="13" spans="2:22" x14ac:dyDescent="0.25">
      <c r="B13" s="1" t="s">
        <v>1</v>
      </c>
      <c r="C13" s="27">
        <v>1515</v>
      </c>
      <c r="E13" s="1" t="s">
        <v>23</v>
      </c>
      <c r="F13" s="18">
        <f ca="1">IF(INT((C10-VLOOKUP(C10,M7:O11,1,TRUE))/20)=0,0,INT((C10-VLOOKUP(C10,M7:O11,1,TRUE))/20)*150-1)+(VLOOKUP(F6,I7:K21,2,TRUE)-F6)</f>
        <v>819</v>
      </c>
      <c r="G13" s="1">
        <f ca="1">50*(DAY(EOMONTH(TODAY(), 0))-DAY(TODAY()-1))</f>
        <v>750</v>
      </c>
      <c r="I13" s="1">
        <v>900</v>
      </c>
      <c r="J13" s="1">
        <v>1049</v>
      </c>
      <c r="K13" s="1">
        <v>180</v>
      </c>
      <c r="M13" s="12" t="s">
        <v>27</v>
      </c>
      <c r="N13" t="s">
        <v>30</v>
      </c>
      <c r="P13"/>
      <c r="S13" s="26"/>
      <c r="T13" s="9"/>
    </row>
    <row r="14" spans="2:22" x14ac:dyDescent="0.25">
      <c r="B14" s="7" t="s">
        <v>0</v>
      </c>
      <c r="C14" s="8">
        <f ca="1">C13*VLOOKUP(C12,O6:P11,2,FALSE)*10</f>
        <v>7575</v>
      </c>
      <c r="I14" s="1">
        <v>1050</v>
      </c>
      <c r="J14" s="1">
        <v>1199</v>
      </c>
      <c r="K14" s="1">
        <v>160</v>
      </c>
      <c r="M14"/>
      <c r="N14"/>
      <c r="O14"/>
      <c r="P14"/>
      <c r="Q14"/>
    </row>
    <row r="15" spans="2:22" x14ac:dyDescent="0.25">
      <c r="D15" s="11"/>
      <c r="I15" s="1">
        <v>1200</v>
      </c>
      <c r="J15" s="1">
        <v>1349</v>
      </c>
      <c r="K15" s="1">
        <v>140</v>
      </c>
      <c r="M15"/>
      <c r="N15"/>
      <c r="O15" s="28"/>
      <c r="P15"/>
      <c r="Q15"/>
      <c r="T15" s="9"/>
      <c r="U15" s="9"/>
    </row>
    <row r="16" spans="2:22" x14ac:dyDescent="0.25">
      <c r="B16" t="s">
        <v>21</v>
      </c>
      <c r="C16" s="24" t="b">
        <v>0</v>
      </c>
      <c r="I16" s="1">
        <v>1350</v>
      </c>
      <c r="J16" s="1">
        <v>1499</v>
      </c>
      <c r="K16" s="1">
        <v>120</v>
      </c>
      <c r="M16"/>
      <c r="N16"/>
      <c r="P16"/>
      <c r="Q16"/>
    </row>
    <row r="17" spans="2:21" ht="14.45" customHeight="1" x14ac:dyDescent="0.25">
      <c r="B17" s="33" t="s">
        <v>31</v>
      </c>
      <c r="C17" s="33"/>
      <c r="D17" s="33"/>
      <c r="E17" s="33"/>
      <c r="F17" s="33"/>
      <c r="G17" s="33"/>
      <c r="I17" s="1">
        <v>1500</v>
      </c>
      <c r="J17" s="1">
        <v>1649</v>
      </c>
      <c r="K17" s="1">
        <v>100</v>
      </c>
      <c r="M17"/>
      <c r="N17"/>
      <c r="O17"/>
      <c r="P17"/>
      <c r="Q17"/>
    </row>
    <row r="18" spans="2:21" x14ac:dyDescent="0.25">
      <c r="B18" s="33"/>
      <c r="C18" s="33"/>
      <c r="D18" s="33"/>
      <c r="E18" s="33"/>
      <c r="F18" s="33"/>
      <c r="G18" s="33"/>
      <c r="I18" s="1">
        <v>1650</v>
      </c>
      <c r="J18" s="1">
        <v>1799</v>
      </c>
      <c r="K18" s="1">
        <v>80</v>
      </c>
      <c r="M18"/>
      <c r="N18"/>
      <c r="O18"/>
      <c r="P18"/>
      <c r="Q18"/>
    </row>
    <row r="19" spans="2:21" x14ac:dyDescent="0.25">
      <c r="B19" s="33"/>
      <c r="C19" s="33"/>
      <c r="D19" s="33"/>
      <c r="E19" s="33"/>
      <c r="F19" s="33"/>
      <c r="G19" s="33"/>
      <c r="I19" s="1">
        <v>1800</v>
      </c>
      <c r="J19" s="1">
        <v>1949</v>
      </c>
      <c r="K19" s="1">
        <v>60</v>
      </c>
      <c r="M19"/>
      <c r="N19"/>
      <c r="O19"/>
      <c r="P19"/>
      <c r="Q19"/>
    </row>
    <row r="20" spans="2:21" x14ac:dyDescent="0.25">
      <c r="B20" s="25"/>
      <c r="C20" s="25"/>
      <c r="D20" s="25"/>
      <c r="E20" s="25"/>
      <c r="F20" s="25"/>
      <c r="G20" s="25"/>
      <c r="I20" s="1">
        <v>1950</v>
      </c>
      <c r="J20" s="1">
        <v>2099</v>
      </c>
      <c r="K20" s="1">
        <v>40</v>
      </c>
      <c r="M20"/>
      <c r="O20"/>
      <c r="P20"/>
      <c r="Q20"/>
    </row>
    <row r="21" spans="2:21" x14ac:dyDescent="0.25">
      <c r="B21" s="25"/>
      <c r="C21" s="25"/>
      <c r="D21" s="25"/>
      <c r="I21" s="1">
        <v>2100</v>
      </c>
      <c r="J21" s="1">
        <v>2100</v>
      </c>
      <c r="K21" s="1">
        <v>20</v>
      </c>
      <c r="M21"/>
      <c r="N21"/>
      <c r="O21"/>
      <c r="P21"/>
      <c r="Q21"/>
      <c r="T21" s="9"/>
      <c r="U21" s="9"/>
    </row>
    <row r="22" spans="2:21" x14ac:dyDescent="0.25">
      <c r="B22" s="25"/>
      <c r="C22" s="25"/>
      <c r="D22" s="25"/>
      <c r="Q22"/>
      <c r="T22" s="9"/>
      <c r="U22" s="9"/>
    </row>
    <row r="23" spans="2:21" x14ac:dyDescent="0.25">
      <c r="B23" s="3"/>
      <c r="M23"/>
      <c r="N23"/>
      <c r="O23"/>
      <c r="P23"/>
      <c r="Q23"/>
    </row>
    <row r="24" spans="2:21" x14ac:dyDescent="0.25">
      <c r="M24"/>
      <c r="N24"/>
      <c r="O24" s="14"/>
      <c r="P24"/>
      <c r="Q24"/>
    </row>
    <row r="25" spans="2:21" x14ac:dyDescent="0.25">
      <c r="M25"/>
      <c r="N25"/>
      <c r="O25" s="14"/>
      <c r="P25"/>
      <c r="Q25"/>
    </row>
    <row r="26" spans="2:21" x14ac:dyDescent="0.25">
      <c r="O26" s="2"/>
    </row>
    <row r="27" spans="2:21" x14ac:dyDescent="0.25">
      <c r="M27" s="6"/>
      <c r="O27" s="2"/>
    </row>
    <row r="28" spans="2:21" x14ac:dyDescent="0.25">
      <c r="M28" s="6"/>
      <c r="O28" s="2"/>
    </row>
    <row r="29" spans="2:21" x14ac:dyDescent="0.25">
      <c r="B29" s="2"/>
      <c r="J29" s="4"/>
      <c r="M29" s="6"/>
      <c r="O29" s="2"/>
    </row>
    <row r="30" spans="2:21" x14ac:dyDescent="0.25">
      <c r="M30" s="6"/>
      <c r="O30" s="2"/>
    </row>
    <row r="31" spans="2:21" x14ac:dyDescent="0.25">
      <c r="E31" s="19"/>
      <c r="F31" s="19"/>
      <c r="G31" s="20"/>
      <c r="M31" s="6"/>
      <c r="O31" s="2"/>
    </row>
    <row r="32" spans="2:21"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protectedRanges>
    <protectedRange sqref="F6:G6 C6:C7 C9 C13 C16" name="RequiresInput"/>
  </protectedRanges>
  <mergeCells count="4">
    <mergeCell ref="M5:P5"/>
    <mergeCell ref="B2:G3"/>
    <mergeCell ref="B17:G19"/>
    <mergeCell ref="I5:K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160BB-445B-437A-949A-495133C1BC0B}">
  <sheetPr>
    <pageSetUpPr fitToPage="1"/>
  </sheetPr>
  <dimension ref="B2:V50"/>
  <sheetViews>
    <sheetView zoomScaleNormal="100" workbookViewId="0">
      <selection activeCell="C16" sqref="C16"/>
    </sheetView>
  </sheetViews>
  <sheetFormatPr defaultColWidth="8.85546875" defaultRowHeight="15" x14ac:dyDescent="0.25"/>
  <cols>
    <col min="1" max="1" width="2.7109375" style="6" customWidth="1"/>
    <col min="2" max="2" width="22.42578125" style="6" customWidth="1"/>
    <col min="3" max="3" width="9.42578125" style="6" customWidth="1"/>
    <col min="4" max="4" width="2.7109375" style="6" customWidth="1"/>
    <col min="5" max="5" width="14.5703125" customWidth="1"/>
    <col min="6" max="7" width="9.42578125" style="6" customWidth="1"/>
    <col min="8" max="8" width="2.7109375" style="6" customWidth="1"/>
    <col min="9" max="11" width="9.42578125" style="6" hidden="1" customWidth="1"/>
    <col min="12" max="12" width="2.7109375" style="6" hidden="1" customWidth="1"/>
    <col min="13" max="13" width="9.42578125" style="12" hidden="1" customWidth="1"/>
    <col min="14" max="16" width="9.42578125" style="6" hidden="1" customWidth="1"/>
    <col min="17" max="16384" width="8.85546875" style="6"/>
  </cols>
  <sheetData>
    <row r="2" spans="2:22" ht="14.45" customHeight="1" x14ac:dyDescent="0.25">
      <c r="B2" s="32" t="str">
        <f ca="1">_xlfn.CONCAT("Drive Summary ", N13, " ",TEXT(TODAY(), "mmmm yyyy"))</f>
        <v>Drive Summary Christiaan September 2024</v>
      </c>
      <c r="C2" s="32"/>
      <c r="D2" s="32"/>
      <c r="E2" s="32"/>
      <c r="F2" s="32"/>
      <c r="G2" s="32"/>
    </row>
    <row r="3" spans="2:22" ht="14.45" customHeight="1" x14ac:dyDescent="0.25">
      <c r="B3" s="32"/>
      <c r="C3" s="32"/>
      <c r="D3" s="32"/>
      <c r="E3" s="32"/>
      <c r="F3" s="32"/>
      <c r="G3" s="32"/>
    </row>
    <row r="5" spans="2:22" x14ac:dyDescent="0.25">
      <c r="B5" s="1" t="s">
        <v>18</v>
      </c>
      <c r="C5" s="18">
        <f ca="1">IF(IF($C$16,G7,G6+G13)&gt;1500, 1500, IF($C$16,G7,G6+G13))</f>
        <v>1497</v>
      </c>
      <c r="D5"/>
      <c r="E5" s="7" t="str">
        <f ca="1">TEXT(TODAY(), "mmmm yyyy")</f>
        <v>September 2024</v>
      </c>
      <c r="F5" s="7" t="s">
        <v>19</v>
      </c>
      <c r="G5" s="7" t="s">
        <v>15</v>
      </c>
      <c r="I5" s="29" t="s">
        <v>24</v>
      </c>
      <c r="J5" s="30"/>
      <c r="K5" s="31"/>
      <c r="M5" s="29" t="s">
        <v>25</v>
      </c>
      <c r="N5" s="30"/>
      <c r="O5" s="30"/>
      <c r="P5" s="31"/>
      <c r="U5" s="12"/>
      <c r="V5" s="12"/>
    </row>
    <row r="6" spans="2:22" x14ac:dyDescent="0.25">
      <c r="B6" s="1" t="s">
        <v>12</v>
      </c>
      <c r="C6" s="16">
        <v>150</v>
      </c>
      <c r="E6" s="1" t="s">
        <v>20</v>
      </c>
      <c r="F6" s="23">
        <v>1432</v>
      </c>
      <c r="G6" s="16">
        <v>747</v>
      </c>
      <c r="I6" s="7" t="s">
        <v>17</v>
      </c>
      <c r="J6" s="7" t="s">
        <v>16</v>
      </c>
      <c r="K6" s="7" t="s">
        <v>15</v>
      </c>
      <c r="M6" s="7" t="s">
        <v>17</v>
      </c>
      <c r="N6" s="7" t="s">
        <v>16</v>
      </c>
      <c r="O6" s="7" t="s">
        <v>14</v>
      </c>
      <c r="P6" s="7" t="s">
        <v>13</v>
      </c>
      <c r="T6"/>
      <c r="U6" s="26"/>
      <c r="V6" s="26"/>
    </row>
    <row r="7" spans="2:22" x14ac:dyDescent="0.25">
      <c r="B7" s="1" t="s">
        <v>10</v>
      </c>
      <c r="C7" s="16">
        <v>250</v>
      </c>
      <c r="D7" s="9"/>
      <c r="E7" s="1" t="s">
        <v>22</v>
      </c>
      <c r="F7" s="18">
        <f ca="1">F6/(DAY(TODAY())-1)*DAY(EOMONTH(TODAY(), 0))</f>
        <v>2864</v>
      </c>
      <c r="G7" s="18">
        <f ca="1">G6/(DAY(TODAY())-1)*DAY(EOMONTH(TODAY(), 0))</f>
        <v>1494</v>
      </c>
      <c r="I7" s="1">
        <v>0</v>
      </c>
      <c r="J7" s="1">
        <v>149</v>
      </c>
      <c r="K7" s="1">
        <v>300</v>
      </c>
      <c r="M7" s="1">
        <v>0</v>
      </c>
      <c r="N7" s="1">
        <v>799</v>
      </c>
      <c r="O7" s="1" t="s">
        <v>11</v>
      </c>
      <c r="P7" s="10">
        <v>0.05</v>
      </c>
      <c r="U7" s="9"/>
    </row>
    <row r="8" spans="2:22" x14ac:dyDescent="0.25">
      <c r="B8" s="1" t="s">
        <v>8</v>
      </c>
      <c r="C8" s="1">
        <f>IF($C$16, VLOOKUP($F$7,$I$7:$K$21,3,TRUE),VLOOKUP($F$6,$I$7:$K$21,3,TRUE))</f>
        <v>120</v>
      </c>
      <c r="F8" s="15"/>
      <c r="G8" s="1"/>
      <c r="I8" s="1">
        <v>150</v>
      </c>
      <c r="J8" s="1">
        <v>299</v>
      </c>
      <c r="K8" s="1">
        <v>280</v>
      </c>
      <c r="M8" s="1">
        <v>800</v>
      </c>
      <c r="N8" s="1">
        <v>1599</v>
      </c>
      <c r="O8" s="1" t="s">
        <v>9</v>
      </c>
      <c r="P8" s="10">
        <v>0.1</v>
      </c>
    </row>
    <row r="9" spans="2:22" x14ac:dyDescent="0.25">
      <c r="B9" s="1" t="s">
        <v>6</v>
      </c>
      <c r="C9" s="16">
        <v>300</v>
      </c>
      <c r="E9" s="7" t="s">
        <v>26</v>
      </c>
      <c r="F9" s="7" t="s">
        <v>19</v>
      </c>
      <c r="G9" s="7" t="s">
        <v>15</v>
      </c>
      <c r="I9" s="1">
        <v>300</v>
      </c>
      <c r="J9" s="1">
        <v>449</v>
      </c>
      <c r="K9" s="1">
        <v>260</v>
      </c>
      <c r="M9" s="1">
        <v>1600</v>
      </c>
      <c r="N9" s="1">
        <v>2199</v>
      </c>
      <c r="O9" s="1" t="s">
        <v>7</v>
      </c>
      <c r="P9" s="10">
        <v>0.2</v>
      </c>
      <c r="R9" s="9"/>
    </row>
    <row r="10" spans="2:22" x14ac:dyDescent="0.25">
      <c r="B10" s="7" t="s">
        <v>4</v>
      </c>
      <c r="C10" s="8">
        <f ca="1">SUM(C5:C9)</f>
        <v>2317</v>
      </c>
      <c r="E10" s="1" t="s">
        <v>20</v>
      </c>
      <c r="F10" s="17">
        <f ca="1">F6/(DAY(TODAY())-1)</f>
        <v>95.466666666666669</v>
      </c>
      <c r="G10" s="17">
        <f ca="1">G6/(DAY(TODAY())-1)</f>
        <v>49.8</v>
      </c>
      <c r="I10" s="1">
        <v>450</v>
      </c>
      <c r="J10" s="1">
        <v>599</v>
      </c>
      <c r="K10" s="1">
        <v>240</v>
      </c>
      <c r="M10" s="1">
        <v>2200</v>
      </c>
      <c r="N10" s="1">
        <v>2499</v>
      </c>
      <c r="O10" s="1" t="s">
        <v>5</v>
      </c>
      <c r="P10" s="10">
        <v>0.35</v>
      </c>
    </row>
    <row r="11" spans="2:22" x14ac:dyDescent="0.25">
      <c r="I11" s="1">
        <v>600</v>
      </c>
      <c r="J11" s="1">
        <v>749</v>
      </c>
      <c r="K11" s="1">
        <v>220</v>
      </c>
      <c r="M11" s="5">
        <v>2500</v>
      </c>
      <c r="N11" s="1">
        <v>3000</v>
      </c>
      <c r="O11" s="1" t="s">
        <v>3</v>
      </c>
      <c r="P11" s="10">
        <v>0.5</v>
      </c>
      <c r="S11"/>
    </row>
    <row r="12" spans="2:22" x14ac:dyDescent="0.25">
      <c r="B12" s="1" t="s">
        <v>2</v>
      </c>
      <c r="C12" s="1" t="str">
        <f ca="1">VLOOKUP(C10,M7:O11,3,TRUE)</f>
        <v>Gold</v>
      </c>
      <c r="D12" s="9"/>
      <c r="E12" s="19"/>
      <c r="F12" s="7" t="s">
        <v>19</v>
      </c>
      <c r="G12" s="7" t="s">
        <v>15</v>
      </c>
      <c r="I12" s="1">
        <v>750</v>
      </c>
      <c r="J12" s="1">
        <v>899</v>
      </c>
      <c r="K12" s="1">
        <v>200</v>
      </c>
      <c r="M12" s="6"/>
      <c r="S12" s="26"/>
    </row>
    <row r="13" spans="2:22" x14ac:dyDescent="0.25">
      <c r="B13" s="1" t="s">
        <v>1</v>
      </c>
      <c r="C13" s="27">
        <v>791.03</v>
      </c>
      <c r="E13" s="1" t="s">
        <v>23</v>
      </c>
      <c r="F13" s="18">
        <f ca="1">IF(INT((C10-VLOOKUP(C10,M7:O11,1,TRUE))/20)=0,0,INT((C10-VLOOKUP(C10,M7:O11,1,TRUE))/20)*150-1)+(VLOOKUP(F6,I7:K21,2,TRUE)-F6)</f>
        <v>816</v>
      </c>
      <c r="G13" s="1">
        <f ca="1">50*(DAY(EOMONTH(TODAY(), 0))-DAY(TODAY()-1))</f>
        <v>750</v>
      </c>
      <c r="I13" s="1">
        <v>900</v>
      </c>
      <c r="J13" s="1">
        <v>1049</v>
      </c>
      <c r="K13" s="1">
        <v>180</v>
      </c>
      <c r="M13" s="12" t="s">
        <v>27</v>
      </c>
      <c r="N13" t="s">
        <v>28</v>
      </c>
      <c r="P13"/>
      <c r="S13" s="26"/>
      <c r="T13" s="9"/>
    </row>
    <row r="14" spans="2:22" x14ac:dyDescent="0.25">
      <c r="B14" s="7" t="s">
        <v>0</v>
      </c>
      <c r="C14" s="8">
        <f ca="1">C13*VLOOKUP(C12,O6:P11,2,FALSE)*10</f>
        <v>2768.6049999999996</v>
      </c>
      <c r="I14" s="1">
        <v>1050</v>
      </c>
      <c r="J14" s="1">
        <v>1199</v>
      </c>
      <c r="K14" s="1">
        <v>160</v>
      </c>
      <c r="M14"/>
      <c r="N14"/>
      <c r="O14"/>
      <c r="P14"/>
      <c r="Q14"/>
    </row>
    <row r="15" spans="2:22" x14ac:dyDescent="0.25">
      <c r="D15" s="11"/>
      <c r="I15" s="1">
        <v>1200</v>
      </c>
      <c r="J15" s="1">
        <v>1349</v>
      </c>
      <c r="K15" s="1">
        <v>140</v>
      </c>
      <c r="M15"/>
      <c r="N15"/>
      <c r="O15" s="28"/>
      <c r="P15"/>
      <c r="Q15"/>
      <c r="T15" s="9"/>
      <c r="U15" s="9"/>
    </row>
    <row r="16" spans="2:22" x14ac:dyDescent="0.25">
      <c r="B16" t="s">
        <v>21</v>
      </c>
      <c r="C16" s="24" t="b">
        <v>0</v>
      </c>
      <c r="I16" s="1">
        <v>1350</v>
      </c>
      <c r="J16" s="1">
        <v>1499</v>
      </c>
      <c r="K16" s="1">
        <v>120</v>
      </c>
      <c r="M16"/>
      <c r="N16"/>
      <c r="P16"/>
      <c r="Q16"/>
    </row>
    <row r="17" spans="2:21" ht="14.45" customHeight="1" x14ac:dyDescent="0.25">
      <c r="B17" s="33" t="s">
        <v>31</v>
      </c>
      <c r="C17" s="33"/>
      <c r="D17" s="33"/>
      <c r="E17" s="33"/>
      <c r="F17" s="33"/>
      <c r="G17" s="33"/>
      <c r="I17" s="1">
        <v>1500</v>
      </c>
      <c r="J17" s="1">
        <v>1649</v>
      </c>
      <c r="K17" s="1">
        <v>100</v>
      </c>
      <c r="M17"/>
      <c r="N17"/>
      <c r="O17"/>
      <c r="P17"/>
      <c r="Q17"/>
    </row>
    <row r="18" spans="2:21" x14ac:dyDescent="0.25">
      <c r="B18" s="33"/>
      <c r="C18" s="33"/>
      <c r="D18" s="33"/>
      <c r="E18" s="33"/>
      <c r="F18" s="33"/>
      <c r="G18" s="33"/>
      <c r="I18" s="1">
        <v>1650</v>
      </c>
      <c r="J18" s="1">
        <v>1799</v>
      </c>
      <c r="K18" s="1">
        <v>80</v>
      </c>
      <c r="M18"/>
      <c r="N18"/>
      <c r="O18"/>
      <c r="P18"/>
      <c r="Q18"/>
    </row>
    <row r="19" spans="2:21" x14ac:dyDescent="0.25">
      <c r="B19" s="33"/>
      <c r="C19" s="33"/>
      <c r="D19" s="33"/>
      <c r="E19" s="33"/>
      <c r="F19" s="33"/>
      <c r="G19" s="33"/>
      <c r="I19" s="1">
        <v>1800</v>
      </c>
      <c r="J19" s="1">
        <v>1949</v>
      </c>
      <c r="K19" s="1">
        <v>60</v>
      </c>
      <c r="M19"/>
      <c r="N19"/>
      <c r="O19"/>
      <c r="P19"/>
      <c r="Q19"/>
    </row>
    <row r="20" spans="2:21" x14ac:dyDescent="0.25">
      <c r="B20" s="25"/>
      <c r="C20" s="25"/>
      <c r="D20" s="25"/>
      <c r="E20" s="25"/>
      <c r="F20" s="25"/>
      <c r="G20" s="25"/>
      <c r="I20" s="1">
        <v>1950</v>
      </c>
      <c r="J20" s="1">
        <v>2099</v>
      </c>
      <c r="K20" s="1">
        <v>40</v>
      </c>
      <c r="M20"/>
      <c r="O20"/>
      <c r="P20"/>
      <c r="Q20"/>
    </row>
    <row r="21" spans="2:21" x14ac:dyDescent="0.25">
      <c r="B21" s="25"/>
      <c r="C21" s="25"/>
      <c r="D21" s="25"/>
      <c r="I21" s="1">
        <v>2100</v>
      </c>
      <c r="J21" s="1">
        <v>2100</v>
      </c>
      <c r="K21" s="1">
        <v>20</v>
      </c>
      <c r="M21"/>
      <c r="N21"/>
      <c r="O21"/>
      <c r="P21"/>
      <c r="Q21"/>
      <c r="T21" s="9"/>
      <c r="U21" s="9"/>
    </row>
    <row r="22" spans="2:21" x14ac:dyDescent="0.25">
      <c r="B22" s="25"/>
      <c r="C22" s="25"/>
      <c r="D22" s="25"/>
      <c r="Q22"/>
      <c r="T22" s="9"/>
      <c r="U22" s="9"/>
    </row>
    <row r="23" spans="2:21" x14ac:dyDescent="0.25">
      <c r="B23" s="3"/>
      <c r="M23"/>
      <c r="N23"/>
      <c r="O23"/>
      <c r="P23"/>
      <c r="Q23"/>
    </row>
    <row r="24" spans="2:21" x14ac:dyDescent="0.25">
      <c r="M24"/>
      <c r="N24"/>
      <c r="O24" s="14"/>
      <c r="P24"/>
      <c r="Q24"/>
    </row>
    <row r="25" spans="2:21" x14ac:dyDescent="0.25">
      <c r="M25"/>
      <c r="N25"/>
      <c r="O25" s="14"/>
      <c r="P25"/>
      <c r="Q25"/>
    </row>
    <row r="26" spans="2:21" x14ac:dyDescent="0.25">
      <c r="O26" s="2"/>
    </row>
    <row r="27" spans="2:21" x14ac:dyDescent="0.25">
      <c r="M27" s="6"/>
      <c r="O27" s="2"/>
    </row>
    <row r="28" spans="2:21" x14ac:dyDescent="0.25">
      <c r="M28" s="6"/>
      <c r="O28" s="2"/>
    </row>
    <row r="29" spans="2:21" x14ac:dyDescent="0.25">
      <c r="B29" s="2"/>
      <c r="J29" s="4"/>
      <c r="M29" s="6"/>
      <c r="O29" s="2"/>
    </row>
    <row r="30" spans="2:21" x14ac:dyDescent="0.25">
      <c r="M30" s="6"/>
      <c r="O30" s="2"/>
    </row>
    <row r="31" spans="2:21" x14ac:dyDescent="0.25">
      <c r="E31" s="19"/>
      <c r="F31" s="19"/>
      <c r="G31" s="20"/>
      <c r="M31" s="6"/>
      <c r="O31" s="2"/>
    </row>
    <row r="32" spans="2:21"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protectedRanges>
    <protectedRange sqref="F6:G6 C6:C7 C9 C13 C16" name="RequiresInput"/>
  </protectedRanges>
  <mergeCells count="4">
    <mergeCell ref="B2:G3"/>
    <mergeCell ref="I5:K5"/>
    <mergeCell ref="M5:P5"/>
    <mergeCell ref="B17:G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F1927-D7DB-4606-9DC7-E1AA99771B3C}">
  <sheetPr>
    <pageSetUpPr fitToPage="1"/>
  </sheetPr>
  <dimension ref="B2:V50"/>
  <sheetViews>
    <sheetView zoomScaleNormal="100" workbookViewId="0">
      <selection activeCell="C16" sqref="C16"/>
    </sheetView>
  </sheetViews>
  <sheetFormatPr defaultColWidth="8.85546875" defaultRowHeight="15" x14ac:dyDescent="0.25"/>
  <cols>
    <col min="1" max="1" width="2.7109375" style="6" customWidth="1"/>
    <col min="2" max="2" width="22.42578125" style="6" customWidth="1"/>
    <col min="3" max="3" width="9.42578125" style="6" customWidth="1"/>
    <col min="4" max="4" width="2.7109375" style="6" customWidth="1"/>
    <col min="5" max="5" width="14.5703125" customWidth="1"/>
    <col min="6" max="7" width="9.42578125" style="6" customWidth="1"/>
    <col min="8" max="8" width="2.7109375" style="6" customWidth="1"/>
    <col min="9" max="11" width="9.42578125" style="6" hidden="1" customWidth="1"/>
    <col min="12" max="12" width="2.7109375" style="6" hidden="1" customWidth="1"/>
    <col min="13" max="13" width="9.42578125" style="12" hidden="1" customWidth="1"/>
    <col min="14" max="16" width="9.42578125" style="6" hidden="1" customWidth="1"/>
    <col min="17" max="16384" width="8.85546875" style="6"/>
  </cols>
  <sheetData>
    <row r="2" spans="2:22" ht="14.45" customHeight="1" x14ac:dyDescent="0.25">
      <c r="B2" s="32" t="str">
        <f ca="1">_xlfn.CONCAT("Drive Summary ", N13, " ",TEXT(TODAY(), "mmmm yyyy"))</f>
        <v>Drive Summary Derrick September 2024</v>
      </c>
      <c r="C2" s="32"/>
      <c r="D2" s="32"/>
      <c r="E2" s="32"/>
      <c r="F2" s="32"/>
      <c r="G2" s="32"/>
    </row>
    <row r="3" spans="2:22" ht="14.45" customHeight="1" x14ac:dyDescent="0.25">
      <c r="B3" s="32"/>
      <c r="C3" s="32"/>
      <c r="D3" s="32"/>
      <c r="E3" s="32"/>
      <c r="F3" s="32"/>
      <c r="G3" s="32"/>
    </row>
    <row r="5" spans="2:22" x14ac:dyDescent="0.25">
      <c r="B5" s="1" t="s">
        <v>18</v>
      </c>
      <c r="C5" s="18">
        <f ca="1">IF(IF($C$16,G7,G6+G13)&gt;1500, 1500, IF($C$16,G7,G6+G13))</f>
        <v>1466</v>
      </c>
      <c r="D5"/>
      <c r="E5" s="7" t="str">
        <f ca="1">TEXT(TODAY(), "mmmm yyyy")</f>
        <v>September 2024</v>
      </c>
      <c r="F5" s="7" t="s">
        <v>19</v>
      </c>
      <c r="G5" s="7" t="s">
        <v>15</v>
      </c>
      <c r="I5" s="29" t="s">
        <v>24</v>
      </c>
      <c r="J5" s="30"/>
      <c r="K5" s="31"/>
      <c r="M5" s="29" t="s">
        <v>25</v>
      </c>
      <c r="N5" s="30"/>
      <c r="O5" s="30"/>
      <c r="P5" s="31"/>
      <c r="U5" s="12"/>
      <c r="V5" s="12"/>
    </row>
    <row r="6" spans="2:22" x14ac:dyDescent="0.25">
      <c r="B6" s="1" t="s">
        <v>12</v>
      </c>
      <c r="C6" s="16">
        <v>150</v>
      </c>
      <c r="E6" s="1" t="s">
        <v>20</v>
      </c>
      <c r="F6" s="23">
        <v>703</v>
      </c>
      <c r="G6" s="16">
        <v>716</v>
      </c>
      <c r="I6" s="7" t="s">
        <v>17</v>
      </c>
      <c r="J6" s="7" t="s">
        <v>16</v>
      </c>
      <c r="K6" s="7" t="s">
        <v>15</v>
      </c>
      <c r="M6" s="7" t="s">
        <v>17</v>
      </c>
      <c r="N6" s="7" t="s">
        <v>16</v>
      </c>
      <c r="O6" s="7" t="s">
        <v>14</v>
      </c>
      <c r="P6" s="7" t="s">
        <v>13</v>
      </c>
      <c r="T6"/>
      <c r="U6" s="26"/>
      <c r="V6" s="26"/>
    </row>
    <row r="7" spans="2:22" x14ac:dyDescent="0.25">
      <c r="B7" s="1" t="s">
        <v>10</v>
      </c>
      <c r="C7" s="16">
        <v>300</v>
      </c>
      <c r="D7" s="9"/>
      <c r="E7" s="1" t="s">
        <v>22</v>
      </c>
      <c r="F7" s="18">
        <f ca="1">F6/(DAY(TODAY())-1)*DAY(EOMONTH(TODAY(), 0))</f>
        <v>1406</v>
      </c>
      <c r="G7" s="18">
        <f ca="1">G6/(DAY(TODAY())-1)*DAY(EOMONTH(TODAY(), 0))</f>
        <v>1432</v>
      </c>
      <c r="I7" s="1">
        <v>0</v>
      </c>
      <c r="J7" s="1">
        <v>149</v>
      </c>
      <c r="K7" s="1">
        <v>300</v>
      </c>
      <c r="M7" s="1">
        <v>0</v>
      </c>
      <c r="N7" s="1">
        <v>799</v>
      </c>
      <c r="O7" s="1" t="s">
        <v>11</v>
      </c>
      <c r="P7" s="10">
        <v>0.05</v>
      </c>
      <c r="U7" s="9"/>
    </row>
    <row r="8" spans="2:22" x14ac:dyDescent="0.25">
      <c r="B8" s="1" t="s">
        <v>8</v>
      </c>
      <c r="C8" s="1">
        <f>IF($C$16, VLOOKUP($F$7,$I$7:$K$21,3,TRUE),VLOOKUP($F$6,$I$7:$K$21,3,TRUE))</f>
        <v>220</v>
      </c>
      <c r="F8" s="15"/>
      <c r="G8" s="1"/>
      <c r="I8" s="1">
        <v>150</v>
      </c>
      <c r="J8" s="1">
        <v>299</v>
      </c>
      <c r="K8" s="1">
        <v>280</v>
      </c>
      <c r="M8" s="1">
        <v>800</v>
      </c>
      <c r="N8" s="1">
        <v>1599</v>
      </c>
      <c r="O8" s="1" t="s">
        <v>9</v>
      </c>
      <c r="P8" s="10">
        <v>0.1</v>
      </c>
    </row>
    <row r="9" spans="2:22" x14ac:dyDescent="0.25">
      <c r="B9" s="1" t="s">
        <v>6</v>
      </c>
      <c r="C9" s="16">
        <v>300</v>
      </c>
      <c r="E9" s="7" t="s">
        <v>26</v>
      </c>
      <c r="F9" s="7" t="s">
        <v>19</v>
      </c>
      <c r="G9" s="7" t="s">
        <v>15</v>
      </c>
      <c r="I9" s="1">
        <v>300</v>
      </c>
      <c r="J9" s="1">
        <v>449</v>
      </c>
      <c r="K9" s="1">
        <v>260</v>
      </c>
      <c r="M9" s="1">
        <v>1600</v>
      </c>
      <c r="N9" s="1">
        <v>2199</v>
      </c>
      <c r="O9" s="1" t="s">
        <v>7</v>
      </c>
      <c r="P9" s="10">
        <v>0.2</v>
      </c>
      <c r="R9" s="9"/>
    </row>
    <row r="10" spans="2:22" x14ac:dyDescent="0.25">
      <c r="B10" s="7" t="s">
        <v>4</v>
      </c>
      <c r="C10" s="8">
        <f ca="1">SUM(C5:C9)</f>
        <v>2436</v>
      </c>
      <c r="E10" s="1" t="s">
        <v>20</v>
      </c>
      <c r="F10" s="17">
        <f ca="1">F6/(DAY(TODAY())-1)</f>
        <v>46.866666666666667</v>
      </c>
      <c r="G10" s="17">
        <f ca="1">G6/(DAY(TODAY())-1)</f>
        <v>47.733333333333334</v>
      </c>
      <c r="I10" s="1">
        <v>450</v>
      </c>
      <c r="J10" s="1">
        <v>599</v>
      </c>
      <c r="K10" s="1">
        <v>240</v>
      </c>
      <c r="M10" s="1">
        <v>2200</v>
      </c>
      <c r="N10" s="1">
        <v>2499</v>
      </c>
      <c r="O10" s="1" t="s">
        <v>5</v>
      </c>
      <c r="P10" s="10">
        <v>0.35</v>
      </c>
    </row>
    <row r="11" spans="2:22" x14ac:dyDescent="0.25">
      <c r="I11" s="1">
        <v>600</v>
      </c>
      <c r="J11" s="1">
        <v>749</v>
      </c>
      <c r="K11" s="1">
        <v>220</v>
      </c>
      <c r="M11" s="5">
        <v>2500</v>
      </c>
      <c r="N11" s="1">
        <v>3000</v>
      </c>
      <c r="O11" s="1" t="s">
        <v>3</v>
      </c>
      <c r="P11" s="10">
        <v>0.5</v>
      </c>
      <c r="S11"/>
    </row>
    <row r="12" spans="2:22" x14ac:dyDescent="0.25">
      <c r="B12" s="1" t="s">
        <v>2</v>
      </c>
      <c r="C12" s="1" t="str">
        <f ca="1">VLOOKUP(C10,M7:O11,3,TRUE)</f>
        <v>Gold</v>
      </c>
      <c r="D12" s="9"/>
      <c r="E12" s="19"/>
      <c r="F12" s="7" t="s">
        <v>19</v>
      </c>
      <c r="G12" s="7" t="s">
        <v>15</v>
      </c>
      <c r="I12" s="1">
        <v>750</v>
      </c>
      <c r="J12" s="1">
        <v>899</v>
      </c>
      <c r="K12" s="1">
        <v>200</v>
      </c>
      <c r="M12" s="6"/>
      <c r="S12" s="26"/>
    </row>
    <row r="13" spans="2:22" x14ac:dyDescent="0.25">
      <c r="B13" s="1" t="s">
        <v>1</v>
      </c>
      <c r="C13" s="27">
        <v>1341.73</v>
      </c>
      <c r="E13" s="1" t="s">
        <v>23</v>
      </c>
      <c r="F13" s="18">
        <f ca="1">IF(INT((C10-VLOOKUP(C10,M7:O11,1,TRUE))/20)=0,0,INT((C10-VLOOKUP(C10,M7:O11,1,TRUE))/20)*150-1)+(VLOOKUP(F6,I7:K21,2,TRUE)-F6)</f>
        <v>1695</v>
      </c>
      <c r="G13" s="1">
        <f ca="1">50*(DAY(EOMONTH(TODAY(), 0))-DAY(TODAY()-1))</f>
        <v>750</v>
      </c>
      <c r="I13" s="1">
        <v>900</v>
      </c>
      <c r="J13" s="1">
        <v>1049</v>
      </c>
      <c r="K13" s="1">
        <v>180</v>
      </c>
      <c r="M13" s="12" t="s">
        <v>27</v>
      </c>
      <c r="N13" t="s">
        <v>29</v>
      </c>
      <c r="P13"/>
      <c r="S13" s="26"/>
      <c r="T13" s="9"/>
    </row>
    <row r="14" spans="2:22" x14ac:dyDescent="0.25">
      <c r="B14" s="7" t="s">
        <v>0</v>
      </c>
      <c r="C14" s="8">
        <f ca="1">C13*VLOOKUP(C12,O6:P11,2,FALSE)*10</f>
        <v>4696.0549999999994</v>
      </c>
      <c r="I14" s="1">
        <v>1050</v>
      </c>
      <c r="J14" s="1">
        <v>1199</v>
      </c>
      <c r="K14" s="1">
        <v>160</v>
      </c>
      <c r="M14"/>
      <c r="N14"/>
      <c r="O14"/>
      <c r="P14"/>
      <c r="Q14"/>
    </row>
    <row r="15" spans="2:22" x14ac:dyDescent="0.25">
      <c r="D15" s="11"/>
      <c r="I15" s="1">
        <v>1200</v>
      </c>
      <c r="J15" s="1">
        <v>1349</v>
      </c>
      <c r="K15" s="1">
        <v>140</v>
      </c>
      <c r="M15"/>
      <c r="N15"/>
      <c r="O15" s="28"/>
      <c r="P15"/>
      <c r="Q15"/>
      <c r="T15" s="9"/>
      <c r="U15" s="9"/>
    </row>
    <row r="16" spans="2:22" x14ac:dyDescent="0.25">
      <c r="B16" t="s">
        <v>21</v>
      </c>
      <c r="C16" s="24" t="b">
        <v>0</v>
      </c>
      <c r="I16" s="1">
        <v>1350</v>
      </c>
      <c r="J16" s="1">
        <v>1499</v>
      </c>
      <c r="K16" s="1">
        <v>120</v>
      </c>
      <c r="M16"/>
      <c r="N16"/>
      <c r="P16"/>
      <c r="Q16"/>
    </row>
    <row r="17" spans="2:21" ht="14.45" customHeight="1" x14ac:dyDescent="0.25">
      <c r="B17" s="33" t="s">
        <v>31</v>
      </c>
      <c r="C17" s="33"/>
      <c r="D17" s="33"/>
      <c r="E17" s="33"/>
      <c r="F17" s="33"/>
      <c r="G17" s="33"/>
      <c r="I17" s="1">
        <v>1500</v>
      </c>
      <c r="J17" s="1">
        <v>1649</v>
      </c>
      <c r="K17" s="1">
        <v>100</v>
      </c>
      <c r="M17"/>
      <c r="N17"/>
      <c r="O17"/>
      <c r="P17"/>
      <c r="Q17"/>
    </row>
    <row r="18" spans="2:21" x14ac:dyDescent="0.25">
      <c r="B18" s="33"/>
      <c r="C18" s="33"/>
      <c r="D18" s="33"/>
      <c r="E18" s="33"/>
      <c r="F18" s="33"/>
      <c r="G18" s="33"/>
      <c r="I18" s="1">
        <v>1650</v>
      </c>
      <c r="J18" s="1">
        <v>1799</v>
      </c>
      <c r="K18" s="1">
        <v>80</v>
      </c>
      <c r="M18"/>
      <c r="N18"/>
      <c r="O18"/>
      <c r="P18"/>
      <c r="Q18"/>
    </row>
    <row r="19" spans="2:21" x14ac:dyDescent="0.25">
      <c r="B19" s="33"/>
      <c r="C19" s="33"/>
      <c r="D19" s="33"/>
      <c r="E19" s="33"/>
      <c r="F19" s="33"/>
      <c r="G19" s="33"/>
      <c r="I19" s="1">
        <v>1800</v>
      </c>
      <c r="J19" s="1">
        <v>1949</v>
      </c>
      <c r="K19" s="1">
        <v>60</v>
      </c>
      <c r="M19"/>
      <c r="N19"/>
      <c r="O19"/>
      <c r="P19"/>
      <c r="Q19"/>
    </row>
    <row r="20" spans="2:21" x14ac:dyDescent="0.25">
      <c r="B20" s="25"/>
      <c r="C20" s="25"/>
      <c r="D20" s="25"/>
      <c r="E20" s="25"/>
      <c r="F20" s="25"/>
      <c r="G20" s="25"/>
      <c r="I20" s="1">
        <v>1950</v>
      </c>
      <c r="J20" s="1">
        <v>2099</v>
      </c>
      <c r="K20" s="1">
        <v>40</v>
      </c>
      <c r="M20"/>
      <c r="O20"/>
      <c r="P20"/>
      <c r="Q20"/>
    </row>
    <row r="21" spans="2:21" x14ac:dyDescent="0.25">
      <c r="B21" s="25"/>
      <c r="C21" s="25"/>
      <c r="D21" s="25"/>
      <c r="I21" s="1">
        <v>2100</v>
      </c>
      <c r="J21" s="1">
        <v>2100</v>
      </c>
      <c r="K21" s="1">
        <v>20</v>
      </c>
      <c r="M21"/>
      <c r="N21"/>
      <c r="O21"/>
      <c r="P21"/>
      <c r="Q21"/>
      <c r="T21" s="9"/>
      <c r="U21" s="9"/>
    </row>
    <row r="22" spans="2:21" x14ac:dyDescent="0.25">
      <c r="B22" s="25"/>
      <c r="C22" s="25"/>
      <c r="D22" s="25"/>
      <c r="Q22"/>
      <c r="T22" s="9"/>
      <c r="U22" s="9"/>
    </row>
    <row r="23" spans="2:21" x14ac:dyDescent="0.25">
      <c r="B23" s="3"/>
      <c r="M23"/>
      <c r="N23"/>
      <c r="O23"/>
      <c r="P23"/>
      <c r="Q23"/>
    </row>
    <row r="24" spans="2:21" x14ac:dyDescent="0.25">
      <c r="M24"/>
      <c r="N24"/>
      <c r="O24" s="14"/>
      <c r="P24"/>
      <c r="Q24"/>
    </row>
    <row r="25" spans="2:21" x14ac:dyDescent="0.25">
      <c r="M25"/>
      <c r="N25"/>
      <c r="O25" s="14"/>
      <c r="P25"/>
      <c r="Q25"/>
    </row>
    <row r="26" spans="2:21" x14ac:dyDescent="0.25">
      <c r="O26" s="2"/>
    </row>
    <row r="27" spans="2:21" x14ac:dyDescent="0.25">
      <c r="M27" s="6"/>
      <c r="O27" s="2"/>
    </row>
    <row r="28" spans="2:21" x14ac:dyDescent="0.25">
      <c r="M28" s="6"/>
      <c r="O28" s="2"/>
    </row>
    <row r="29" spans="2:21" x14ac:dyDescent="0.25">
      <c r="B29" s="2"/>
      <c r="J29" s="4"/>
      <c r="M29" s="6"/>
      <c r="O29" s="2"/>
    </row>
    <row r="30" spans="2:21" x14ac:dyDescent="0.25">
      <c r="M30" s="6"/>
      <c r="O30" s="2"/>
    </row>
    <row r="31" spans="2:21" x14ac:dyDescent="0.25">
      <c r="E31" s="19"/>
      <c r="F31" s="19"/>
      <c r="G31" s="20"/>
      <c r="M31" s="6"/>
      <c r="O31" s="2"/>
    </row>
    <row r="32" spans="2:21"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protectedRanges>
    <protectedRange sqref="F6:G6 C6:C7 C9 C13 C16" name="RequiresInput"/>
  </protectedRanges>
  <mergeCells count="4">
    <mergeCell ref="B2:G3"/>
    <mergeCell ref="I5:K5"/>
    <mergeCell ref="M5:P5"/>
    <mergeCell ref="B17:G1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1 L 1 W B b 3 p s O m A A A A 9 w A A A B I A H A B D b 2 5 m a W c v U G F j a 2 F n Z S 5 4 b W w g o h g A K K A U A A A A A A A A A A A A A A A A A A A A A A A A A A A A h Y 9 B C s I w F E S v U r J v k k Y R K b 8 p 6 M K N B U E Q t y H G N t j + S p P a 3 s 2 F R / I K V r T q z u W 8 e Y u Z + / U G a V + V w c U 0 z t a Y k I h y E h j U 9 c F i n p D W H 8 M 5 S S V s l D 6 p 3 A S D j C 7 u 3 S E h h f f n m L G u 6 2 g 3 o X W T M 8 F 5 x P b Z e q s L U y n y k e 1 / O b T o v E J t i I T d a 4 w U N B I z K q Z c U A 5 s p J B Z / B p i G P x s f y A s 2 9 K 3 j Z E G w 9 U C 2 B i B v U / I B 1 B L A w Q U A A I A C A D j U 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1 L 1 W C i K R 7 g O A A A A E Q A A A B M A H A B G b 3 J t d W x h c y 9 T Z W N 0 a W 9 u M S 5 t I K I Y A C i g F A A A A A A A A A A A A A A A A A A A A A A A A A A A A C t O T S 7 J z M 9 T C I b Q h t Y A U E s B A i 0 A F A A C A A g A 4 1 L 1 W B b 3 p s O m A A A A 9 w A A A B I A A A A A A A A A A A A A A A A A A A A A A E N v b m Z p Z y 9 Q Y W N r Y W d l L n h t b F B L A Q I t A B Q A A g A I A O N S 9 V g P y u m r p A A A A O k A A A A T A A A A A A A A A A A A A A A A A P I A A A B b Q 2 9 u d G V u d F 9 U e X B l c 1 0 u e G 1 s U E s B A i 0 A F A A C A A g A 4 1 L 1 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O b G a s 7 U a d I k W A 9 G 6 D 2 z U w A A A A A A g A A A A A A E G Y A A A A B A A A g A A A A N 6 2 9 E u + K c V M a w m w x K 1 2 P j h e f / C K U l N X P s 8 n w X 3 3 V H x Y A A A A A D o A A A A A C A A A g A A A A c z k Q V d O q p D V 2 l e 3 b g x l w V z o p Q p f 1 Z u X 4 y X X D 0 H 1 W l c J Q A A A A Y 5 L r t L 8 k a g i 2 v m J d H o 6 f m j 9 T K m g I Z X B 3 q s V G g j 1 s Q r p g t W D H 6 / 9 r h U 7 8 I s P h e 1 C z B p 3 6 P 0 7 w z u n s n Y C d v g + X t k y U 4 T B m N L i k D F Q 1 q H 1 z F c t A A A A A i f M O x c n V s 7 7 n u 8 X a k a o O P / 6 3 r S I b z 4 q r p O N 1 0 A F 3 v t Y Z J h 0 G h r W M L a / F L E x + Y d + 4 v p e E 1 w Y w o E x M Q S E J C 4 m y Y Q = = < / D a t a M a s h u p > 
</file>

<file path=customXml/itemProps1.xml><?xml version="1.0" encoding="utf-8"?>
<ds:datastoreItem xmlns:ds="http://schemas.openxmlformats.org/officeDocument/2006/customXml" ds:itemID="{6AE3C97B-B9F0-403A-BF5F-014AEC3C86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Stefan</vt:lpstr>
      <vt:lpstr>Christiaan</vt:lpstr>
      <vt:lpstr>Derrick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Christiaan Oberholzer</dc:creator>
  <cp:lastModifiedBy>Stefan Oberholzer</cp:lastModifiedBy>
  <cp:lastPrinted>2024-07-29T17:38:55Z</cp:lastPrinted>
  <dcterms:created xsi:type="dcterms:W3CDTF">2023-09-18T15:21:34Z</dcterms:created>
  <dcterms:modified xsi:type="dcterms:W3CDTF">2024-09-16T13:53:12Z</dcterms:modified>
</cp:coreProperties>
</file>