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https://d.docs.live.net/2fd3bccd6dbaea2b/GitGud/DriveDashboardPython/"/>
    </mc:Choice>
  </mc:AlternateContent>
  <xr:revisionPtr revIDLastSave="2" documentId="11_827B1A28EC29E536E13BCA8A87AF1E0808C0452D" xr6:coauthVersionLast="47" xr6:coauthVersionMax="47" xr10:uidLastSave="{03019B32-D834-48E8-BB07-1E79455A56B0}"/>
  <bookViews>
    <workbookView xWindow="2910" yWindow="-16320" windowWidth="19440" windowHeight="11040" xr2:uid="{00000000-000D-0000-FFFF-FFFF00000000}"/>
  </bookViews>
  <sheets>
    <sheet name="Stefan" sheetId="1" r:id="rId1"/>
    <sheet name="Christiaan" sheetId="2" r:id="rId2"/>
    <sheet name="Derrick" sheetId="3" r:id="rId3"/>
  </sheets>
  <definedNames>
    <definedName name="Username" localSheetId="1">Christiaan!$J$21</definedName>
    <definedName name="Username" localSheetId="2">Derrick!$J$21</definedName>
    <definedName name="Username" localSheetId="0">Stefan!$J$21</definedName>
    <definedName name="Usernam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9" i="3" l="1"/>
  <c r="J23" i="3"/>
  <c r="J31" i="3" s="1"/>
  <c r="J32" i="3" s="1"/>
  <c r="J22" i="3"/>
  <c r="J24" i="3" s="1"/>
  <c r="G9" i="3" s="1"/>
  <c r="I22" i="3"/>
  <c r="P17" i="3" a="1"/>
  <c r="P23" i="3" s="1"/>
  <c r="O20" i="3"/>
  <c r="O17" i="3" a="1"/>
  <c r="O22" i="3" s="1"/>
  <c r="N21" i="3"/>
  <c r="N17" i="3" a="1"/>
  <c r="N18" i="3" s="1"/>
  <c r="N17" i="3"/>
  <c r="N15" i="3"/>
  <c r="C10" i="3"/>
  <c r="C8" i="3"/>
  <c r="F7" i="3"/>
  <c r="C7" i="3"/>
  <c r="F6" i="3"/>
  <c r="F8" i="3" s="1"/>
  <c r="E5" i="3"/>
  <c r="B2" i="3"/>
  <c r="J29" i="2"/>
  <c r="J23" i="2"/>
  <c r="J31" i="2" s="1"/>
  <c r="J32" i="2" s="1"/>
  <c r="J22" i="2"/>
  <c r="I22" i="2"/>
  <c r="P21" i="2"/>
  <c r="P18" i="2"/>
  <c r="P17" i="2" a="1"/>
  <c r="P23" i="2" s="1"/>
  <c r="O17" i="2" a="1"/>
  <c r="O19" i="2" s="1"/>
  <c r="N18" i="2"/>
  <c r="N17" i="2" a="1"/>
  <c r="N23" i="2" s="1"/>
  <c r="N15" i="2"/>
  <c r="C10" i="2"/>
  <c r="C8" i="2"/>
  <c r="C7" i="2"/>
  <c r="F6" i="2"/>
  <c r="E5" i="2"/>
  <c r="B2" i="2"/>
  <c r="J31" i="1"/>
  <c r="J32" i="1" s="1"/>
  <c r="J29" i="1"/>
  <c r="J28" i="1"/>
  <c r="J30" i="1" s="1"/>
  <c r="J24" i="1"/>
  <c r="G9" i="1" s="1"/>
  <c r="J23" i="1"/>
  <c r="J22" i="1"/>
  <c r="I22" i="1"/>
  <c r="P17" i="1" a="1"/>
  <c r="P20" i="1" s="1"/>
  <c r="O17" i="1" a="1"/>
  <c r="O17" i="1" s="1"/>
  <c r="N22" i="1"/>
  <c r="N21" i="1"/>
  <c r="N19" i="1"/>
  <c r="N18" i="1"/>
  <c r="N17" i="1" a="1"/>
  <c r="N23" i="1" s="1"/>
  <c r="N17" i="1"/>
  <c r="N15" i="1"/>
  <c r="C10" i="1"/>
  <c r="C8" i="1"/>
  <c r="C7" i="1"/>
  <c r="F6" i="1"/>
  <c r="F8" i="1" s="1"/>
  <c r="E5" i="1"/>
  <c r="B2" i="1"/>
  <c r="J33" i="1" l="1"/>
  <c r="J30" i="3"/>
  <c r="J33" i="3" s="1"/>
  <c r="P21" i="1"/>
  <c r="F7" i="2"/>
  <c r="N17" i="2"/>
  <c r="O20" i="2"/>
  <c r="N19" i="3"/>
  <c r="O23" i="3"/>
  <c r="O21" i="2"/>
  <c r="N20" i="3"/>
  <c r="P17" i="3"/>
  <c r="P18" i="1"/>
  <c r="O19" i="1"/>
  <c r="O22" i="2"/>
  <c r="F7" i="1"/>
  <c r="O20" i="1"/>
  <c r="F8" i="2"/>
  <c r="N22" i="3"/>
  <c r="P18" i="3"/>
  <c r="N19" i="2"/>
  <c r="O23" i="2"/>
  <c r="J24" i="2"/>
  <c r="G9" i="2" s="1"/>
  <c r="O21" i="1"/>
  <c r="N20" i="2"/>
  <c r="C9" i="2" s="1"/>
  <c r="P17" i="2"/>
  <c r="N23" i="3"/>
  <c r="P19" i="3"/>
  <c r="O18" i="1"/>
  <c r="P22" i="1"/>
  <c r="P23" i="1"/>
  <c r="O22" i="1"/>
  <c r="N21" i="2"/>
  <c r="O17" i="3"/>
  <c r="P20" i="3"/>
  <c r="J28" i="3"/>
  <c r="O23" i="1"/>
  <c r="N22" i="2"/>
  <c r="P21" i="3"/>
  <c r="N20" i="1"/>
  <c r="C9" i="1" s="1"/>
  <c r="P17" i="1"/>
  <c r="P19" i="2"/>
  <c r="O18" i="3"/>
  <c r="P22" i="3"/>
  <c r="O17" i="2"/>
  <c r="P20" i="2"/>
  <c r="J28" i="2"/>
  <c r="J30" i="2" s="1"/>
  <c r="J33" i="2" s="1"/>
  <c r="O19" i="3"/>
  <c r="P19" i="1"/>
  <c r="O18" i="2"/>
  <c r="P22" i="2"/>
  <c r="O21" i="3"/>
  <c r="G6" i="2" l="1"/>
  <c r="J34" i="2"/>
  <c r="J34" i="1"/>
  <c r="G6" i="1"/>
  <c r="G6" i="3"/>
  <c r="C9" i="3"/>
  <c r="J34" i="3" s="1"/>
  <c r="G7" i="3" l="1"/>
  <c r="C6" i="3"/>
  <c r="C11" i="3" s="1"/>
  <c r="G8" i="3"/>
  <c r="C6" i="2"/>
  <c r="C11" i="2" s="1"/>
  <c r="G8" i="2"/>
  <c r="G7" i="2"/>
  <c r="C6" i="1"/>
  <c r="C11" i="1" s="1"/>
  <c r="G8" i="1"/>
  <c r="G7" i="1"/>
  <c r="J25" i="1" l="1"/>
  <c r="J26" i="1" s="1"/>
  <c r="J27" i="1" s="1" a="1"/>
  <c r="J27" i="1" s="1"/>
  <c r="F9" i="1" s="1"/>
  <c r="C12" i="1"/>
  <c r="C12" i="3"/>
  <c r="J25" i="3"/>
  <c r="J26" i="3" s="1"/>
  <c r="J27" i="3" s="1" a="1"/>
  <c r="J27" i="3" s="1"/>
  <c r="F9" i="3" s="1"/>
  <c r="C12" i="2"/>
  <c r="J25" i="2"/>
  <c r="J26" i="2" s="1"/>
  <c r="J27" i="2" s="1" a="1"/>
  <c r="J27" i="2" s="1"/>
  <c r="F9" i="2" s="1"/>
</calcChain>
</file>

<file path=xl/sharedStrings.xml><?xml version="1.0" encoding="utf-8"?>
<sst xmlns="http://schemas.openxmlformats.org/spreadsheetml/2006/main" count="222" uniqueCount="55">
  <si>
    <t>Description</t>
  </si>
  <si>
    <t>Value</t>
  </si>
  <si>
    <t>Distance</t>
  </si>
  <si>
    <t>Points</t>
  </si>
  <si>
    <t>Python Data</t>
  </si>
  <si>
    <t>Distance Points</t>
  </si>
  <si>
    <t>Driving Profile</t>
  </si>
  <si>
    <t>Month-to-Date</t>
  </si>
  <si>
    <t>Drive Penalties</t>
  </si>
  <si>
    <t>Lower</t>
  </si>
  <si>
    <t>Upper</t>
  </si>
  <si>
    <t>Blue</t>
  </si>
  <si>
    <t>Bronze</t>
  </si>
  <si>
    <t>Silver</t>
  </si>
  <si>
    <t>Gold</t>
  </si>
  <si>
    <t>Diamond</t>
  </si>
  <si>
    <t>Claim Free Years</t>
  </si>
  <si>
    <t>End of Month</t>
  </si>
  <si>
    <t>Night Penalty</t>
  </si>
  <si>
    <t>Night Time Driving</t>
  </si>
  <si>
    <t>Daily Average</t>
  </si>
  <si>
    <t>No-Drive Days</t>
  </si>
  <si>
    <t>Remaining</t>
  </si>
  <si>
    <t>MultiPoint Check</t>
  </si>
  <si>
    <t>Accumulated Points</t>
  </si>
  <si>
    <t>Config Data</t>
  </si>
  <si>
    <t>Vitality Drive Status</t>
  </si>
  <si>
    <t>Predict Status</t>
  </si>
  <si>
    <t>Username</t>
  </si>
  <si>
    <t>Stefan</t>
  </si>
  <si>
    <t>Report Date</t>
  </si>
  <si>
    <t>Last Month's Status</t>
  </si>
  <si>
    <t>Points on No-Drive Day</t>
  </si>
  <si>
    <t>Calculated Data</t>
  </si>
  <si>
    <t>Days Past</t>
  </si>
  <si>
    <t>Days Left</t>
  </si>
  <si>
    <t>Rem Dist Points</t>
  </si>
  <si>
    <t>Driving Status</t>
  </si>
  <si>
    <t>Rem - Dist</t>
  </si>
  <si>
    <t>Category</t>
  </si>
  <si>
    <t>Fuel %</t>
  </si>
  <si>
    <t>Color</t>
  </si>
  <si>
    <t>Distance Upper Limit</t>
  </si>
  <si>
    <t>#8EA9DB</t>
  </si>
  <si>
    <t>#F4B084</t>
  </si>
  <si>
    <t>Count No-Drive Days</t>
  </si>
  <si>
    <t>#DBDBDB</t>
  </si>
  <si>
    <t>No-Drive Day Points</t>
  </si>
  <si>
    <t>#FFD966</t>
  </si>
  <si>
    <t>Count Drive Days</t>
  </si>
  <si>
    <t>#D9B3FF</t>
  </si>
  <si>
    <t>Drive Day Points</t>
  </si>
  <si>
    <t>Current Drive Points</t>
  </si>
  <si>
    <t>Christiaan</t>
  </si>
  <si>
    <t>Derrick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</si>
</sst>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1C09]#,##0.00"/>
    <numFmt numFmtId="165" formatCode="0.0"/>
  </numFmts>
  <fonts count="7"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20"/>
      <color theme="1"/>
      <name val="Calibri"/>
      <family val="2"/>
      <scheme val="minor"/>
    </font>
    <font>
      <sz val="10"/>
      <color theme="1"/>
      <name val="72 Monospace"/>
      <family val="3"/>
    </font>
    <font>
      <b/>
      <sz val="11"/>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theme="7" tint="0.39994506668294322"/>
        <bgColor indexed="64"/>
      </patternFill>
    </fill>
    <fill>
      <patternFill patternType="solid">
        <fgColor rgb="FFD9B3FF"/>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ashed">
        <color indexed="64"/>
      </top>
      <bottom style="thin">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ouble">
        <color indexed="64"/>
      </top>
      <bottom style="thin">
        <color indexed="64"/>
      </bottom>
      <diagonal/>
    </border>
  </borders>
  <cellStyleXfs count="6">
    <xf numFmtId="0" fontId="0" fillId="0" borderId="0"/>
    <xf numFmtId="0" fontId="1" fillId="3" borderId="0">
      <alignment horizontal="center" vertical="center"/>
    </xf>
    <xf numFmtId="0" fontId="1" fillId="4" borderId="1">
      <alignment horizontal="center" vertical="center"/>
    </xf>
    <xf numFmtId="0" fontId="1" fillId="5" borderId="0"/>
    <xf numFmtId="0" fontId="1" fillId="6" borderId="1">
      <alignment horizontal="center" vertical="center"/>
    </xf>
    <xf numFmtId="0" fontId="1" fillId="7" borderId="1">
      <alignment horizontal="center" vertical="center"/>
    </xf>
  </cellStyleXfs>
  <cellXfs count="74">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Alignment="1">
      <alignment vertical="center"/>
    </xf>
    <xf numFmtId="1" fontId="0" fillId="0" borderId="1" xfId="0" applyNumberFormat="1" applyBorder="1" applyAlignment="1">
      <alignment horizontal="center" vertical="center"/>
    </xf>
    <xf numFmtId="0" fontId="2" fillId="0" borderId="0" xfId="0" applyFont="1"/>
    <xf numFmtId="0" fontId="0" fillId="0" borderId="0" xfId="0" applyAlignment="1">
      <alignment horizontal="left"/>
    </xf>
    <xf numFmtId="1" fontId="0" fillId="0" borderId="0" xfId="0" applyNumberFormat="1"/>
    <xf numFmtId="0" fontId="0" fillId="0" borderId="6"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3" fillId="0" borderId="0" xfId="0" applyFont="1" applyAlignment="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1" fontId="0" fillId="0" borderId="7" xfId="0" applyNumberFormat="1" applyBorder="1" applyAlignment="1">
      <alignment horizontal="center" vertical="center"/>
    </xf>
    <xf numFmtId="0" fontId="0" fillId="3" borderId="7" xfId="1" applyFont="1" applyBorder="1">
      <alignment horizontal="center" vertical="center"/>
    </xf>
    <xf numFmtId="0" fontId="0" fillId="4" borderId="7" xfId="2" applyFont="1" applyBorder="1">
      <alignment horizontal="center" vertical="center"/>
    </xf>
    <xf numFmtId="0" fontId="0" fillId="5" borderId="7" xfId="3" applyFont="1" applyBorder="1" applyAlignment="1">
      <alignment horizontal="center" vertical="center"/>
    </xf>
    <xf numFmtId="0" fontId="0" fillId="6" borderId="7" xfId="4" applyFont="1" applyBorder="1">
      <alignment horizontal="center" vertical="center"/>
    </xf>
    <xf numFmtId="0" fontId="1" fillId="7" borderId="8" xfId="5" applyBorder="1">
      <alignment horizontal="center" vertical="center"/>
    </xf>
    <xf numFmtId="0" fontId="0" fillId="3" borderId="1" xfId="1" applyFont="1" applyBorder="1">
      <alignment horizontal="center" vertical="center"/>
    </xf>
    <xf numFmtId="0" fontId="0" fillId="4" borderId="1" xfId="2" applyFont="1">
      <alignment horizontal="center" vertical="center"/>
    </xf>
    <xf numFmtId="0" fontId="0" fillId="5" borderId="1" xfId="3" applyFont="1" applyBorder="1" applyAlignment="1">
      <alignment horizontal="center" vertical="center"/>
    </xf>
    <xf numFmtId="0" fontId="0" fillId="6" borderId="1" xfId="4" applyFont="1">
      <alignment horizontal="center" vertical="center"/>
    </xf>
    <xf numFmtId="0" fontId="1" fillId="7" borderId="2" xfId="5" applyBorder="1">
      <alignment horizontal="center" vertical="center"/>
    </xf>
    <xf numFmtId="1" fontId="0" fillId="0" borderId="6" xfId="0" applyNumberFormat="1" applyBorder="1" applyAlignment="1">
      <alignment horizontal="center" vertical="center"/>
    </xf>
    <xf numFmtId="0" fontId="0" fillId="3" borderId="6" xfId="1" applyFont="1" applyBorder="1">
      <alignment horizontal="center" vertical="center"/>
    </xf>
    <xf numFmtId="0" fontId="0" fillId="4" borderId="6" xfId="2" applyFont="1" applyBorder="1">
      <alignment horizontal="center" vertical="center"/>
    </xf>
    <xf numFmtId="0" fontId="0" fillId="5" borderId="6" xfId="3" applyFont="1" applyBorder="1" applyAlignment="1">
      <alignment horizontal="center" vertical="center"/>
    </xf>
    <xf numFmtId="0" fontId="0" fillId="6" borderId="6" xfId="4" applyFont="1" applyBorder="1">
      <alignment horizontal="center" vertical="center"/>
    </xf>
    <xf numFmtId="0" fontId="1" fillId="7" borderId="5" xfId="5" applyBorder="1">
      <alignment horizontal="center" vertical="center"/>
    </xf>
    <xf numFmtId="0" fontId="0" fillId="3" borderId="3" xfId="1" applyFont="1" applyBorder="1">
      <alignment horizontal="center" vertical="center"/>
    </xf>
    <xf numFmtId="9" fontId="0" fillId="3" borderId="1" xfId="1" applyNumberFormat="1" applyFont="1" applyBorder="1">
      <alignment horizontal="center" vertical="center"/>
    </xf>
    <xf numFmtId="9" fontId="5" fillId="3" borderId="2" xfId="1" applyNumberFormat="1" applyFont="1" applyBorder="1">
      <alignment horizontal="center" vertical="center"/>
    </xf>
    <xf numFmtId="0" fontId="0" fillId="4" borderId="3" xfId="2" applyFont="1" applyBorder="1">
      <alignment horizontal="center" vertical="center"/>
    </xf>
    <xf numFmtId="9" fontId="0" fillId="4" borderId="1" xfId="2" applyNumberFormat="1" applyFont="1">
      <alignment horizontal="center" vertical="center"/>
    </xf>
    <xf numFmtId="9" fontId="5" fillId="4" borderId="2" xfId="2" applyNumberFormat="1" applyFont="1" applyBorder="1">
      <alignment horizontal="center" vertical="center"/>
    </xf>
    <xf numFmtId="0" fontId="0" fillId="5" borderId="3" xfId="3" applyFont="1" applyBorder="1" applyAlignment="1">
      <alignment horizontal="center" vertical="center"/>
    </xf>
    <xf numFmtId="9" fontId="0" fillId="5" borderId="1" xfId="3" applyNumberFormat="1" applyFont="1" applyBorder="1" applyAlignment="1">
      <alignment horizontal="center" vertical="center"/>
    </xf>
    <xf numFmtId="9" fontId="5" fillId="5" borderId="2" xfId="3" applyNumberFormat="1" applyFont="1" applyBorder="1" applyAlignment="1">
      <alignment horizontal="center" vertical="center"/>
    </xf>
    <xf numFmtId="0" fontId="1" fillId="6" borderId="3" xfId="4" applyBorder="1">
      <alignment horizontal="center" vertical="center"/>
    </xf>
    <xf numFmtId="0" fontId="1" fillId="6" borderId="1" xfId="4">
      <alignment horizontal="center" vertical="center"/>
    </xf>
    <xf numFmtId="9" fontId="1" fillId="6" borderId="1" xfId="4" applyNumberFormat="1">
      <alignment horizontal="center" vertical="center"/>
    </xf>
    <xf numFmtId="9" fontId="5" fillId="6" borderId="2" xfId="4" applyNumberFormat="1" applyFont="1" applyBorder="1">
      <alignment horizontal="center" vertical="center"/>
    </xf>
    <xf numFmtId="0" fontId="1" fillId="7" borderId="9" xfId="5" applyBorder="1">
      <alignment horizontal="center" vertical="center"/>
    </xf>
    <xf numFmtId="0" fontId="1" fillId="7" borderId="6" xfId="5" applyBorder="1">
      <alignment horizontal="center" vertical="center"/>
    </xf>
    <xf numFmtId="9" fontId="1" fillId="7" borderId="6" xfId="5" applyNumberFormat="1" applyBorder="1">
      <alignment horizontal="center" vertical="center"/>
    </xf>
    <xf numFmtId="9" fontId="5" fillId="7" borderId="5" xfId="5" applyNumberFormat="1" applyFont="1" applyBorder="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1" fontId="0" fillId="0" borderId="12" xfId="0" applyNumberFormat="1" applyBorder="1" applyAlignment="1">
      <alignment horizontal="center" vertical="center"/>
    </xf>
    <xf numFmtId="1" fontId="0" fillId="0" borderId="14" xfId="0" applyNumberFormat="1" applyBorder="1" applyAlignment="1">
      <alignment horizontal="center" vertical="center"/>
    </xf>
    <xf numFmtId="14" fontId="0" fillId="0" borderId="1" xfId="0" applyNumberFormat="1" applyBorder="1" applyAlignment="1">
      <alignment horizontal="center" vertical="center"/>
    </xf>
    <xf numFmtId="1" fontId="0" fillId="0" borderId="13" xfId="0" applyNumberForma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0" fontId="0" fillId="0" borderId="18" xfId="0" applyBorder="1" applyAlignment="1">
      <alignment horizontal="center" vertical="center"/>
    </xf>
    <xf numFmtId="165" fontId="0" fillId="0" borderId="6" xfId="0" applyNumberFormat="1" applyBorder="1" applyAlignment="1">
      <alignment horizontal="center" vertical="center"/>
    </xf>
    <xf numFmtId="0" fontId="6" fillId="0" borderId="0" xfId="0" applyFont="1"/>
    <xf numFmtId="0" fontId="6" fillId="0" borderId="0" xfId="0" applyFont="1" applyAlignment="1">
      <alignment horizontal="center" vertical="center"/>
    </xf>
    <xf numFmtId="0" fontId="0" fillId="2" borderId="1" xfId="0" applyFill="1" applyBorder="1" applyAlignment="1">
      <alignment horizontal="center" vertical="center"/>
    </xf>
    <xf numFmtId="0" fontId="0" fillId="0" borderId="4" xfId="0" applyBorder="1"/>
    <xf numFmtId="0" fontId="0" fillId="0" borderId="3" xfId="0" applyBorder="1"/>
    <xf numFmtId="0" fontId="4" fillId="0" borderId="0" xfId="0" applyFont="1" applyAlignment="1">
      <alignment horizontal="center" vertical="center"/>
    </xf>
    <xf numFmtId="0" fontId="0" fillId="0" borderId="0" xfId="0" applyAlignment="1">
      <alignment horizontal="center" vertical="center"/>
    </xf>
    <xf numFmtId="0" fontId="0" fillId="0" borderId="0" xfId="0"/>
  </cellXfs>
  <cellStyles count="6">
    <cellStyle name="Blue" xfId="1" xr:uid="{00000000-0005-0000-0000-000001000000}"/>
    <cellStyle name="Bronze" xfId="2" xr:uid="{00000000-0005-0000-0000-000002000000}"/>
    <cellStyle name="Diamond" xfId="5" xr:uid="{00000000-0005-0000-0000-000005000000}"/>
    <cellStyle name="Gold" xfId="4" xr:uid="{00000000-0005-0000-0000-000004000000}"/>
    <cellStyle name="Normal" xfId="0" builtinId="0"/>
    <cellStyle name="Silver" xfId="3" xr:uid="{00000000-0005-0000-0000-000003000000}"/>
  </cellStyles>
  <dxfs count="115">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thin">
          <color auto="1"/>
        </bottom>
        <vertical style="thin">
          <color auto="1"/>
        </vertical>
        <horizontal style="thin">
          <color auto="1"/>
        </horizontal>
      </border>
    </dxf>
  </dxfs>
  <tableStyles count="22" defaultTableStyle="TableStyleMedium2" defaultPivotStyle="PivotStyleLight16">
    <tableStyle name="Table Style 1" pivot="0" count="1" xr9:uid="{00000000-0011-0000-FFFF-FFFF00000000}">
      <tableStyleElement type="wholeTable" dxfId="114"/>
    </tableStyle>
    <tableStyle name="Table Style 1 10" pivot="0" count="1" xr9:uid="{00000000-0011-0000-FFFF-FFFF01000000}">
      <tableStyleElement type="wholeTable" dxfId="113"/>
    </tableStyle>
    <tableStyle name="Table Style 1 11" pivot="0" count="1" xr9:uid="{00000000-0011-0000-FFFF-FFFF02000000}">
      <tableStyleElement type="wholeTable" dxfId="112"/>
    </tableStyle>
    <tableStyle name="Table Style 1 12" pivot="0" count="1" xr9:uid="{00000000-0011-0000-FFFF-FFFF03000000}">
      <tableStyleElement type="wholeTable" dxfId="111"/>
    </tableStyle>
    <tableStyle name="Table Style 1 13" pivot="0" count="1" xr9:uid="{00000000-0011-0000-FFFF-FFFF04000000}">
      <tableStyleElement type="wholeTable" dxfId="110"/>
    </tableStyle>
    <tableStyle name="Table Style 1 14" pivot="0" count="1" xr9:uid="{00000000-0011-0000-FFFF-FFFF05000000}">
      <tableStyleElement type="wholeTable" dxfId="109"/>
    </tableStyle>
    <tableStyle name="Table Style 1 15" pivot="0" count="1" xr9:uid="{00000000-0011-0000-FFFF-FFFF06000000}">
      <tableStyleElement type="wholeTable" dxfId="108"/>
    </tableStyle>
    <tableStyle name="Table Style 1 16" pivot="0" count="1" xr9:uid="{00000000-0011-0000-FFFF-FFFF07000000}">
      <tableStyleElement type="wholeTable" dxfId="107"/>
    </tableStyle>
    <tableStyle name="Table Style 1 17" pivot="0" count="1" xr9:uid="{00000000-0011-0000-FFFF-FFFF08000000}">
      <tableStyleElement type="wholeTable" dxfId="106"/>
    </tableStyle>
    <tableStyle name="Table Style 1 18" pivot="0" count="1" xr9:uid="{00000000-0011-0000-FFFF-FFFF09000000}">
      <tableStyleElement type="wholeTable" dxfId="105"/>
    </tableStyle>
    <tableStyle name="Table Style 1 19" pivot="0" count="1" xr9:uid="{00000000-0011-0000-FFFF-FFFF0A000000}">
      <tableStyleElement type="wholeTable" dxfId="104"/>
    </tableStyle>
    <tableStyle name="Table Style 1 2" pivot="0" count="1" xr9:uid="{00000000-0011-0000-FFFF-FFFF0B000000}">
      <tableStyleElement type="wholeTable" dxfId="103"/>
    </tableStyle>
    <tableStyle name="Table Style 1 20" pivot="0" count="1" xr9:uid="{00000000-0011-0000-FFFF-FFFF0C000000}">
      <tableStyleElement type="wholeTable" dxfId="102"/>
    </tableStyle>
    <tableStyle name="Table Style 1 21" pivot="0" count="1" xr9:uid="{00000000-0011-0000-FFFF-FFFF0D000000}">
      <tableStyleElement type="wholeTable" dxfId="101"/>
    </tableStyle>
    <tableStyle name="Table Style 1 22" pivot="0" count="1" xr9:uid="{00000000-0011-0000-FFFF-FFFF0E000000}">
      <tableStyleElement type="wholeTable" dxfId="100"/>
    </tableStyle>
    <tableStyle name="Table Style 1 3" pivot="0" count="1" xr9:uid="{00000000-0011-0000-FFFF-FFFF0F000000}">
      <tableStyleElement type="wholeTable" dxfId="99"/>
    </tableStyle>
    <tableStyle name="Table Style 1 4" pivot="0" count="1" xr9:uid="{00000000-0011-0000-FFFF-FFFF10000000}">
      <tableStyleElement type="wholeTable" dxfId="98"/>
    </tableStyle>
    <tableStyle name="Table Style 1 5" pivot="0" count="1" xr9:uid="{00000000-0011-0000-FFFF-FFFF11000000}">
      <tableStyleElement type="wholeTable" dxfId="97"/>
    </tableStyle>
    <tableStyle name="Table Style 1 6" pivot="0" count="1" xr9:uid="{00000000-0011-0000-FFFF-FFFF12000000}">
      <tableStyleElement type="wholeTable" dxfId="96"/>
    </tableStyle>
    <tableStyle name="Table Style 1 7" pivot="0" count="1" xr9:uid="{00000000-0011-0000-FFFF-FFFF13000000}">
      <tableStyleElement type="wholeTable" dxfId="95"/>
    </tableStyle>
    <tableStyle name="Table Style 1 8" pivot="0" count="1" xr9:uid="{00000000-0011-0000-FFFF-FFFF14000000}">
      <tableStyleElement type="wholeTable" dxfId="94"/>
    </tableStyle>
    <tableStyle name="Table Style 1 9" pivot="0" count="1" xr9:uid="{00000000-0011-0000-FFFF-FFFF15000000}">
      <tableStyleElement type="wholeTable" dxfId="9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istancePointsStefan615" displayName="DistancePointsStefan615" ref="L6:R13" totalsRowShown="0" headerRowDxfId="92" dataDxfId="90" headerRowBorderDxfId="91" tableBorderDxfId="89" totalsRowBorderDxfId="88">
  <autoFilter ref="L6:R13" xr:uid="{00000000-0009-0000-0100-000001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000-000001000000}" name="Lower" dataDxfId="87"/>
    <tableColumn id="2" xr3:uid="{00000000-0010-0000-0000-000002000000}" name="Upper" dataDxfId="86"/>
    <tableColumn id="3" xr3:uid="{00000000-0010-0000-0000-000003000000}" name="Blue" dataDxfId="85" dataCellStyle="Blue"/>
    <tableColumn id="4" xr3:uid="{00000000-0010-0000-0000-000004000000}" name="Bronze" dataDxfId="84" dataCellStyle="Bronze"/>
    <tableColumn id="5" xr3:uid="{00000000-0010-0000-0000-000005000000}" name="Silver" dataDxfId="83" dataCellStyle="Silver"/>
    <tableColumn id="6" xr3:uid="{00000000-0010-0000-0000-000006000000}" name="Gold" dataDxfId="82" dataCellStyle="Gold"/>
    <tableColumn id="7" xr3:uid="{00000000-0010-0000-0000-000007000000}" name="Diamond" dataDxfId="81" dataCellStyle="Diamond"/>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rivingStatusStefan716" displayName="DrivingStatusStefan716" ref="M26:Q31" totalsRowShown="0" headerRowDxfId="80" headerRowBorderDxfId="79" tableBorderDxfId="78" totalsRowBorderDxfId="77">
  <autoFilter ref="M26:Q31" xr:uid="{00000000-0009-0000-0100-000002000000}">
    <filterColumn colId="0" hiddenButton="1"/>
    <filterColumn colId="1" hiddenButton="1"/>
    <filterColumn colId="2" hiddenButton="1"/>
    <filterColumn colId="3" hiddenButton="1"/>
    <filterColumn colId="4" hiddenButton="1"/>
  </autoFilter>
  <tableColumns count="5">
    <tableColumn id="1" xr3:uid="{00000000-0010-0000-0100-000001000000}" name="Lower" dataDxfId="76" dataCellStyle="Silver"/>
    <tableColumn id="2" xr3:uid="{00000000-0010-0000-0100-000002000000}" name="Upper" dataDxfId="75" dataCellStyle="Silver"/>
    <tableColumn id="3" xr3:uid="{00000000-0010-0000-0100-000003000000}" name="Category" dataDxfId="74" dataCellStyle="Silver"/>
    <tableColumn id="4" xr3:uid="{00000000-0010-0000-0100-000004000000}" name="Fuel %" dataDxfId="73" dataCellStyle="Silver"/>
    <tableColumn id="5" xr3:uid="{00000000-0010-0000-0100-000005000000}" name="Color" dataDxfId="72" dataCellStyle="Silver"/>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DistancePointsStefan4" displayName="DistancePointsStefan4" ref="L6:R13" totalsRowShown="0" headerRowDxfId="71" dataDxfId="69" headerRowBorderDxfId="70" tableBorderDxfId="68" totalsRowBorderDxfId="67">
  <autoFilter ref="L6:R13" xr:uid="{00000000-0009-0000-0100-000003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200-000001000000}" name="Lower" dataDxfId="66"/>
    <tableColumn id="2" xr3:uid="{00000000-0010-0000-0200-000002000000}" name="Upper" dataDxfId="65"/>
    <tableColumn id="3" xr3:uid="{00000000-0010-0000-0200-000003000000}" name="Blue" dataDxfId="64" dataCellStyle="Blue"/>
    <tableColumn id="4" xr3:uid="{00000000-0010-0000-0200-000004000000}" name="Bronze" dataDxfId="63" dataCellStyle="Bronze"/>
    <tableColumn id="5" xr3:uid="{00000000-0010-0000-0200-000005000000}" name="Silver" dataDxfId="62" dataCellStyle="Silver"/>
    <tableColumn id="6" xr3:uid="{00000000-0010-0000-0200-000006000000}" name="Gold" dataDxfId="61" dataCellStyle="Gold"/>
    <tableColumn id="7" xr3:uid="{00000000-0010-0000-0200-000007000000}" name="Diamond" dataDxfId="60" dataCellStyle="Diamond"/>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DrivingStatusStefan5" displayName="DrivingStatusStefan5" ref="M26:Q31" totalsRowShown="0" headerRowDxfId="59" headerRowBorderDxfId="58" tableBorderDxfId="57" totalsRowBorderDxfId="56">
  <autoFilter ref="M26:Q31" xr:uid="{00000000-0009-0000-0100-000004000000}">
    <filterColumn colId="0" hiddenButton="1"/>
    <filterColumn colId="1" hiddenButton="1"/>
    <filterColumn colId="2" hiddenButton="1"/>
    <filterColumn colId="3" hiddenButton="1"/>
    <filterColumn colId="4" hiddenButton="1"/>
  </autoFilter>
  <tableColumns count="5">
    <tableColumn id="1" xr3:uid="{00000000-0010-0000-0300-000001000000}" name="Lower" dataDxfId="55" dataCellStyle="Silver"/>
    <tableColumn id="2" xr3:uid="{00000000-0010-0000-0300-000002000000}" name="Upper" dataDxfId="54" dataCellStyle="Silver"/>
    <tableColumn id="3" xr3:uid="{00000000-0010-0000-0300-000003000000}" name="Category" dataDxfId="53" dataCellStyle="Silver"/>
    <tableColumn id="4" xr3:uid="{00000000-0010-0000-0300-000004000000}" name="Fuel %" dataDxfId="52" dataCellStyle="Silver"/>
    <tableColumn id="5" xr3:uid="{00000000-0010-0000-0300-000005000000}" name="Color" dataDxfId="51" dataCellStyle="Silver"/>
  </tableColumns>
  <tableStyleInfo name="Table Style 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DistancePointsStefan2" displayName="DistancePointsStefan2" ref="L6:R13" totalsRowShown="0" headerRowDxfId="50" dataDxfId="48" headerRowBorderDxfId="49" tableBorderDxfId="47" totalsRowBorderDxfId="46">
  <autoFilter ref="L6:R13" xr:uid="{00000000-0009-0000-0100-000005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400-000001000000}" name="Lower" dataDxfId="45"/>
    <tableColumn id="2" xr3:uid="{00000000-0010-0000-0400-000002000000}" name="Upper" dataDxfId="44"/>
    <tableColumn id="3" xr3:uid="{00000000-0010-0000-0400-000003000000}" name="Blue" dataDxfId="43" dataCellStyle="Blue"/>
    <tableColumn id="4" xr3:uid="{00000000-0010-0000-0400-000004000000}" name="Bronze" dataDxfId="42" dataCellStyle="Bronze"/>
    <tableColumn id="5" xr3:uid="{00000000-0010-0000-0400-000005000000}" name="Silver" dataDxfId="41" dataCellStyle="Silver"/>
    <tableColumn id="6" xr3:uid="{00000000-0010-0000-0400-000006000000}" name="Gold" dataDxfId="40" dataCellStyle="Gold"/>
    <tableColumn id="7" xr3:uid="{00000000-0010-0000-0400-000007000000}" name="Diamond" dataDxfId="39" dataCellStyle="Diamond"/>
  </tableColumns>
  <tableStyleInfo name="Table Style 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rivingStatusStefan3" displayName="DrivingStatusStefan3" ref="M26:Q31" totalsRowShown="0" headerRowDxfId="38" headerRowBorderDxfId="37" tableBorderDxfId="36" totalsRowBorderDxfId="35">
  <autoFilter ref="M26:Q31" xr:uid="{00000000-0009-0000-0100-000006000000}">
    <filterColumn colId="0" hiddenButton="1"/>
    <filterColumn colId="1" hiddenButton="1"/>
    <filterColumn colId="2" hiddenButton="1"/>
    <filterColumn colId="3" hiddenButton="1"/>
    <filterColumn colId="4" hiddenButton="1"/>
  </autoFilter>
  <tableColumns count="5">
    <tableColumn id="1" xr3:uid="{00000000-0010-0000-0500-000001000000}" name="Lower" dataDxfId="34" dataCellStyle="Silver"/>
    <tableColumn id="2" xr3:uid="{00000000-0010-0000-0500-000002000000}" name="Upper" dataDxfId="33" dataCellStyle="Silver"/>
    <tableColumn id="3" xr3:uid="{00000000-0010-0000-0500-000003000000}" name="Category" dataDxfId="32" dataCellStyle="Silver"/>
    <tableColumn id="4" xr3:uid="{00000000-0010-0000-0500-000004000000}" name="Fuel %" dataDxfId="31" dataCellStyle="Silver"/>
    <tableColumn id="5" xr3:uid="{00000000-0010-0000-0500-000005000000}" name="Color" dataDxfId="30"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pageSetUpPr fitToPage="1"/>
  </sheetPr>
  <dimension ref="B2:AC34"/>
  <sheetViews>
    <sheetView tabSelected="1" zoomScaleNormal="100" workbookViewId="0">
      <selection activeCell="J19" sqref="J19"/>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44" width="8.85546875" style="2" customWidth="1"/>
    <col min="45" max="16384" width="8.85546875" style="2"/>
  </cols>
  <sheetData>
    <row r="2" spans="2:29" ht="14.45" customHeight="1" x14ac:dyDescent="0.25">
      <c r="B2" s="71" t="str">
        <f>_xlfn.CONCAT("Drive Summary ",J13, " ",TEXT(J14, "mmmm yyyy"))</f>
        <v>Drive Summary Stefan September 2025</v>
      </c>
      <c r="C2" s="72"/>
      <c r="D2" s="72"/>
      <c r="E2" s="73"/>
      <c r="F2" s="72"/>
      <c r="G2" s="72"/>
      <c r="H2" s="13"/>
    </row>
    <row r="3" spans="2:29" ht="14.45" customHeight="1" x14ac:dyDescent="0.25">
      <c r="B3" s="72"/>
      <c r="C3" s="72"/>
      <c r="D3" s="72"/>
      <c r="E3" s="73"/>
      <c r="F3" s="72"/>
      <c r="G3" s="72"/>
      <c r="H3" s="13"/>
    </row>
    <row r="5" spans="2:29" x14ac:dyDescent="0.25">
      <c r="B5" s="14" t="s">
        <v>0</v>
      </c>
      <c r="C5" s="15" t="s">
        <v>1</v>
      </c>
      <c r="E5" s="14" t="str">
        <f ca="1">TEXT(TODAY(), "mmmm yyyy")</f>
        <v>October 2025</v>
      </c>
      <c r="F5" s="14" t="s">
        <v>2</v>
      </c>
      <c r="G5" s="16" t="s">
        <v>3</v>
      </c>
      <c r="I5" s="68" t="s">
        <v>4</v>
      </c>
      <c r="J5" s="70"/>
      <c r="L5" s="68" t="s">
        <v>5</v>
      </c>
      <c r="M5" s="69"/>
      <c r="N5" s="69"/>
      <c r="O5" s="69"/>
      <c r="P5" s="69"/>
      <c r="Q5" s="69"/>
      <c r="R5" s="70"/>
      <c r="AB5" s="72"/>
      <c r="AC5" s="72"/>
    </row>
    <row r="6" spans="2:29" x14ac:dyDescent="0.25">
      <c r="B6" s="1" t="s">
        <v>6</v>
      </c>
      <c r="C6" s="6">
        <f>MIN(1500, IF($C$13,G7,G6+G9))</f>
        <v>1420</v>
      </c>
      <c r="E6" s="1" t="s">
        <v>7</v>
      </c>
      <c r="F6" s="6">
        <f>J9</f>
        <v>1601.64</v>
      </c>
      <c r="G6" s="17">
        <f>J33</f>
        <v>1420</v>
      </c>
      <c r="I6" s="1" t="s">
        <v>8</v>
      </c>
      <c r="J6" s="1">
        <v>80</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1601.64</v>
      </c>
      <c r="G7" s="6">
        <f>G6/J23*J22</f>
        <v>1420</v>
      </c>
      <c r="I7" s="1" t="s">
        <v>18</v>
      </c>
      <c r="J7" s="1">
        <v>0</v>
      </c>
      <c r="L7" s="11">
        <v>0</v>
      </c>
      <c r="M7" s="1">
        <v>299</v>
      </c>
      <c r="N7" s="23">
        <v>300</v>
      </c>
      <c r="O7" s="24">
        <v>300</v>
      </c>
      <c r="P7" s="25">
        <v>300</v>
      </c>
      <c r="Q7" s="26">
        <v>300</v>
      </c>
      <c r="R7" s="27">
        <v>300</v>
      </c>
      <c r="AB7" s="3"/>
    </row>
    <row r="8" spans="2:29" ht="15" customHeight="1" thickBot="1" x14ac:dyDescent="0.3">
      <c r="B8" s="1" t="s">
        <v>19</v>
      </c>
      <c r="C8" s="6">
        <f>300-J7</f>
        <v>300</v>
      </c>
      <c r="E8" s="10" t="s">
        <v>20</v>
      </c>
      <c r="F8" s="65">
        <f>F6/J23</f>
        <v>53.388000000000005</v>
      </c>
      <c r="G8" s="65">
        <f>G6/J23</f>
        <v>47.333333333333336</v>
      </c>
      <c r="I8" s="1" t="s">
        <v>21</v>
      </c>
      <c r="J8" s="1">
        <v>0</v>
      </c>
      <c r="L8" s="11">
        <v>300</v>
      </c>
      <c r="M8" s="1">
        <v>599</v>
      </c>
      <c r="N8" s="23">
        <v>100</v>
      </c>
      <c r="O8" s="24">
        <v>150</v>
      </c>
      <c r="P8" s="25">
        <v>200</v>
      </c>
      <c r="Q8" s="26">
        <v>250</v>
      </c>
      <c r="R8" s="27">
        <v>300</v>
      </c>
    </row>
    <row r="9" spans="2:29" ht="15.75" customHeight="1" thickTop="1" x14ac:dyDescent="0.25">
      <c r="B9" s="1" t="s">
        <v>5</v>
      </c>
      <c r="C9" s="6">
        <f>VLOOKUP(IF(C13,F7,F6),N17:P23,3)</f>
        <v>200</v>
      </c>
      <c r="E9" s="64" t="s">
        <v>22</v>
      </c>
      <c r="F9" s="63">
        <f>IF(J27&gt;=M13, "Unlimited", J27-F6)</f>
        <v>197.3599999999999</v>
      </c>
      <c r="G9" s="63">
        <f>50*J24 + IF(J22&lt;30,(30-J22)*G8,0)</f>
        <v>0</v>
      </c>
      <c r="I9" s="1" t="s">
        <v>2</v>
      </c>
      <c r="J9" s="6">
        <v>1601.64</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2520</v>
      </c>
      <c r="I11" s="68" t="s">
        <v>25</v>
      </c>
      <c r="J11" s="70"/>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200</v>
      </c>
      <c r="T12" s="2"/>
      <c r="Z12" s="8"/>
    </row>
    <row r="13" spans="2:29" x14ac:dyDescent="0.25">
      <c r="B13" s="1" t="s">
        <v>27</v>
      </c>
      <c r="C13" s="1" t="b">
        <v>0</v>
      </c>
      <c r="I13" s="1" t="s">
        <v>28</v>
      </c>
      <c r="J13" s="1" t="s">
        <v>29</v>
      </c>
      <c r="L13" s="12">
        <v>1800</v>
      </c>
      <c r="M13" s="10">
        <v>1800</v>
      </c>
      <c r="N13" s="29">
        <v>5</v>
      </c>
      <c r="O13" s="30">
        <v>10</v>
      </c>
      <c r="P13" s="31">
        <v>25</v>
      </c>
      <c r="Q13" s="32">
        <v>60</v>
      </c>
      <c r="R13" s="33">
        <v>100</v>
      </c>
      <c r="Z13" s="8"/>
      <c r="AA13" s="3"/>
    </row>
    <row r="14" spans="2:29" x14ac:dyDescent="0.25">
      <c r="I14" s="1" t="s">
        <v>30</v>
      </c>
      <c r="J14" s="58">
        <v>45930</v>
      </c>
    </row>
    <row r="15" spans="2:29" x14ac:dyDescent="0.25">
      <c r="D15" s="4"/>
      <c r="I15" s="28" t="s">
        <v>16</v>
      </c>
      <c r="J15" s="6">
        <v>300</v>
      </c>
      <c r="N15" s="68" t="str">
        <f>_xlfn.CONCAT("Distance Points for ",J17)</f>
        <v>Distance Points for Diamond</v>
      </c>
      <c r="O15" s="69"/>
      <c r="P15" s="70"/>
      <c r="V15" s="9"/>
      <c r="AA15" s="3"/>
      <c r="AB15" s="3"/>
    </row>
    <row r="16" spans="2:29" x14ac:dyDescent="0.25">
      <c r="I16" s="28" t="s">
        <v>23</v>
      </c>
      <c r="J16" s="28">
        <v>300</v>
      </c>
      <c r="N16" s="16" t="s">
        <v>9</v>
      </c>
      <c r="O16" s="16" t="s">
        <v>10</v>
      </c>
      <c r="P16" s="16" t="s">
        <v>3</v>
      </c>
    </row>
    <row r="17" spans="5:17" ht="14.45" customHeight="1" x14ac:dyDescent="0.25">
      <c r="I17" s="6" t="s">
        <v>31</v>
      </c>
      <c r="J17" s="6" t="s">
        <v>15</v>
      </c>
      <c r="N17" s="1">
        <f t="array" ref="N17:N23">DistancePointsStefan615[Lower]</f>
        <v>0</v>
      </c>
      <c r="O17" s="1">
        <f t="array" ref="O17:O23">DistancePointsStefan615[Upper]</f>
        <v>299</v>
      </c>
      <c r="P17" s="1">
        <f t="array" ref="P17:P23">_xlfn.XLOOKUP(J17,DistancePointsStefan615[#Headers],DistancePointsStefan615[])</f>
        <v>300</v>
      </c>
    </row>
    <row r="18" spans="5:17" x14ac:dyDescent="0.25">
      <c r="I18" s="6" t="s">
        <v>32</v>
      </c>
      <c r="J18" s="1">
        <v>49</v>
      </c>
      <c r="N18" s="1">
        <v>300</v>
      </c>
      <c r="O18" s="1">
        <v>599</v>
      </c>
      <c r="P18" s="1">
        <v>300</v>
      </c>
    </row>
    <row r="19" spans="5:17" x14ac:dyDescent="0.25">
      <c r="N19" s="1">
        <v>600</v>
      </c>
      <c r="O19" s="1">
        <v>899</v>
      </c>
      <c r="P19" s="1">
        <v>300</v>
      </c>
    </row>
    <row r="20" spans="5:17" x14ac:dyDescent="0.25">
      <c r="I20" s="68" t="s">
        <v>33</v>
      </c>
      <c r="J20" s="70"/>
      <c r="N20" s="1">
        <v>900</v>
      </c>
      <c r="O20" s="1">
        <v>1199</v>
      </c>
      <c r="P20" s="1">
        <v>300</v>
      </c>
    </row>
    <row r="21" spans="5:17" x14ac:dyDescent="0.25">
      <c r="I21" s="16" t="s">
        <v>0</v>
      </c>
      <c r="J21" s="16" t="s">
        <v>1</v>
      </c>
      <c r="N21" s="1">
        <v>1200</v>
      </c>
      <c r="O21" s="1">
        <v>1499</v>
      </c>
      <c r="P21" s="1">
        <v>300</v>
      </c>
    </row>
    <row r="22" spans="5:17" x14ac:dyDescent="0.25">
      <c r="I22" s="52" t="str">
        <f>_xlfn.CONCAT("Days ",TEXT(J14, "mmm yyyy"))</f>
        <v>Days Sept 2025</v>
      </c>
      <c r="J22" s="55">
        <f>DAY(EOMONTH(J14, 0))</f>
        <v>30</v>
      </c>
      <c r="N22" s="1">
        <v>1500</v>
      </c>
      <c r="O22" s="1">
        <v>1799</v>
      </c>
      <c r="P22" s="1">
        <v>200</v>
      </c>
    </row>
    <row r="23" spans="5:17" x14ac:dyDescent="0.25">
      <c r="I23" s="52" t="s">
        <v>34</v>
      </c>
      <c r="J23" s="55">
        <f>DAY(J14)</f>
        <v>30</v>
      </c>
      <c r="N23" s="1">
        <v>1800</v>
      </c>
      <c r="O23" s="1">
        <v>1800</v>
      </c>
      <c r="P23" s="1">
        <v>100</v>
      </c>
    </row>
    <row r="24" spans="5:17" x14ac:dyDescent="0.25">
      <c r="I24" s="51" t="s">
        <v>35</v>
      </c>
      <c r="J24" s="54">
        <f>J22-J23</f>
        <v>0</v>
      </c>
    </row>
    <row r="25" spans="5:17" x14ac:dyDescent="0.25">
      <c r="I25" s="53" t="s">
        <v>36</v>
      </c>
      <c r="J25" s="56">
        <f>C11-VLOOKUP(C11,M27:O31,1,TRUE)</f>
        <v>20</v>
      </c>
      <c r="M25" s="68" t="s">
        <v>37</v>
      </c>
      <c r="N25" s="69"/>
      <c r="O25" s="69"/>
      <c r="P25" s="69"/>
      <c r="Q25" s="70"/>
    </row>
    <row r="26" spans="5:17" x14ac:dyDescent="0.25">
      <c r="I26" s="55" t="s">
        <v>38</v>
      </c>
      <c r="J26" s="57">
        <f>MAX(0,C9-J25)</f>
        <v>180</v>
      </c>
      <c r="M26" s="16" t="s">
        <v>9</v>
      </c>
      <c r="N26" s="16" t="s">
        <v>10</v>
      </c>
      <c r="O26" s="16" t="s">
        <v>39</v>
      </c>
      <c r="P26" s="16" t="s">
        <v>40</v>
      </c>
      <c r="Q26" s="16" t="s">
        <v>41</v>
      </c>
    </row>
    <row r="27" spans="5:17" x14ac:dyDescent="0.25">
      <c r="I27" s="54" t="s">
        <v>42</v>
      </c>
      <c r="J27" s="54">
        <f t="array" ref="J27">MAX(_xlfn._xlws.FILTER(_xlfn.ANCHORARRAY(O17),_xlfn.ANCHORARRAY( P17)&gt;=J26))</f>
        <v>1799</v>
      </c>
      <c r="M27" s="34">
        <v>0</v>
      </c>
      <c r="N27" s="23">
        <v>799</v>
      </c>
      <c r="O27" s="23" t="s">
        <v>11</v>
      </c>
      <c r="P27" s="35">
        <v>0.05</v>
      </c>
      <c r="Q27" s="36" t="s">
        <v>43</v>
      </c>
    </row>
    <row r="28" spans="5:17" x14ac:dyDescent="0.25">
      <c r="I28" s="62" t="s">
        <v>32</v>
      </c>
      <c r="J28" s="62">
        <f>IF(ISBLANK(J18),ROUND(50-J6/J23,0),J18)</f>
        <v>49</v>
      </c>
      <c r="M28" s="37">
        <v>800</v>
      </c>
      <c r="N28" s="24">
        <v>1599</v>
      </c>
      <c r="O28" s="24" t="s">
        <v>12</v>
      </c>
      <c r="P28" s="38">
        <v>0.1</v>
      </c>
      <c r="Q28" s="39" t="s">
        <v>44</v>
      </c>
    </row>
    <row r="29" spans="5:17" x14ac:dyDescent="0.25">
      <c r="I29" s="61" t="s">
        <v>45</v>
      </c>
      <c r="J29" s="61">
        <f>J8</f>
        <v>0</v>
      </c>
      <c r="M29" s="40">
        <v>1600</v>
      </c>
      <c r="N29" s="25">
        <v>2199</v>
      </c>
      <c r="O29" s="25" t="s">
        <v>13</v>
      </c>
      <c r="P29" s="41">
        <v>0.2</v>
      </c>
      <c r="Q29" s="42" t="s">
        <v>46</v>
      </c>
    </row>
    <row r="30" spans="5:17" x14ac:dyDescent="0.25">
      <c r="I30" s="60" t="s">
        <v>47</v>
      </c>
      <c r="J30" s="60">
        <f>J29*J28</f>
        <v>0</v>
      </c>
      <c r="M30" s="43">
        <v>2200</v>
      </c>
      <c r="N30" s="44">
        <v>2499</v>
      </c>
      <c r="O30" s="44" t="s">
        <v>14</v>
      </c>
      <c r="P30" s="45">
        <v>0.35</v>
      </c>
      <c r="Q30" s="46" t="s">
        <v>48</v>
      </c>
    </row>
    <row r="31" spans="5:17" x14ac:dyDescent="0.25">
      <c r="E31" s="66"/>
      <c r="I31" s="53" t="s">
        <v>49</v>
      </c>
      <c r="J31" s="53">
        <f>J23-J29</f>
        <v>30</v>
      </c>
      <c r="M31" s="47">
        <v>2500</v>
      </c>
      <c r="N31" s="48">
        <v>3000</v>
      </c>
      <c r="O31" s="48" t="s">
        <v>15</v>
      </c>
      <c r="P31" s="49">
        <v>0.5</v>
      </c>
      <c r="Q31" s="50" t="s">
        <v>50</v>
      </c>
    </row>
    <row r="32" spans="5:17" x14ac:dyDescent="0.25">
      <c r="I32" s="54" t="s">
        <v>51</v>
      </c>
      <c r="J32" s="59">
        <f>50*J31-J6</f>
        <v>1420</v>
      </c>
    </row>
    <row r="33" spans="5:10" x14ac:dyDescent="0.25">
      <c r="I33" s="1" t="s">
        <v>6</v>
      </c>
      <c r="J33" s="6">
        <f>J30+J32</f>
        <v>1420</v>
      </c>
    </row>
    <row r="34" spans="5:10" x14ac:dyDescent="0.25">
      <c r="E34" s="66"/>
      <c r="F34" s="67"/>
      <c r="I34" s="1" t="s">
        <v>52</v>
      </c>
      <c r="J34" s="6">
        <f>J33+SUM(C7:C10)</f>
        <v>2520</v>
      </c>
    </row>
  </sheetData>
  <mergeCells count="8">
    <mergeCell ref="AB5:AC5"/>
    <mergeCell ref="I5:J5"/>
    <mergeCell ref="N15:P15"/>
    <mergeCell ref="B2:G3"/>
    <mergeCell ref="L5:R5"/>
    <mergeCell ref="I20:J20"/>
    <mergeCell ref="M25:Q25"/>
    <mergeCell ref="I11:J11"/>
  </mergeCells>
  <conditionalFormatting sqref="B11:C12">
    <cfRule type="expression" dxfId="29" priority="1">
      <formula>$C$12="Blue"</formula>
    </cfRule>
    <cfRule type="expression" dxfId="28" priority="2">
      <formula>$C$12="Bronze"</formula>
    </cfRule>
    <cfRule type="expression" dxfId="27" priority="3">
      <formula>$C$12="Silver"</formula>
    </cfRule>
    <cfRule type="expression" dxfId="26" priority="4">
      <formula>$C$12="Gold"</formula>
    </cfRule>
    <cfRule type="expression" dxfId="25" priority="5">
      <formula>$C$12="Diamond"</formula>
    </cfRule>
  </conditionalFormatting>
  <conditionalFormatting sqref="P17:P23">
    <cfRule type="expression" dxfId="24" priority="6">
      <formula>$J$17="Blue"</formula>
    </cfRule>
    <cfRule type="expression" dxfId="23" priority="7">
      <formula>$J$17="Bronze"</formula>
    </cfRule>
    <cfRule type="expression" dxfId="22" priority="8">
      <formula>$J$17="Silver"</formula>
    </cfRule>
    <cfRule type="expression" dxfId="21" priority="9">
      <formula>$J$17="Gold"</formula>
    </cfRule>
    <cfRule type="expression" dxfId="2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000-000000000000}"/>
    <dataValidation type="whole" allowBlank="1" showInputMessage="1" showErrorMessage="1" prompt="Enter a value here to overwrite the No-Drive Day calculation" sqref="J18" xr:uid="{00000000-0002-0000-0000-000001000000}">
      <formula1>0</formula1>
      <formula2>50</formula2>
    </dataValidation>
  </dataValidations>
  <pageMargins left="0.7" right="0.7" top="0.75" bottom="0.75" header="0.3" footer="0.3"/>
  <pageSetup scale="43"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pageSetUpPr fitToPage="1"/>
  </sheetPr>
  <dimension ref="B2:AC34"/>
  <sheetViews>
    <sheetView zoomScaleNormal="100" workbookViewId="0">
      <selection activeCell="R13" sqref="R13"/>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44" width="8.85546875" style="2" customWidth="1"/>
    <col min="45" max="16384" width="8.85546875" style="2"/>
  </cols>
  <sheetData>
    <row r="2" spans="2:29" ht="14.45" customHeight="1" x14ac:dyDescent="0.25">
      <c r="B2" s="71" t="str">
        <f>_xlfn.CONCAT("Drive Summary ",J13, " ",TEXT(J14, "mmmm yyyy"))</f>
        <v>Drive Summary Christiaan May 2025</v>
      </c>
      <c r="C2" s="72"/>
      <c r="D2" s="72"/>
      <c r="E2" s="73"/>
      <c r="F2" s="72"/>
      <c r="G2" s="72"/>
      <c r="H2" s="13"/>
    </row>
    <row r="3" spans="2:29" ht="14.45" customHeight="1" x14ac:dyDescent="0.25">
      <c r="B3" s="72"/>
      <c r="C3" s="72"/>
      <c r="D3" s="72"/>
      <c r="E3" s="73"/>
      <c r="F3" s="72"/>
      <c r="G3" s="72"/>
      <c r="H3" s="13"/>
    </row>
    <row r="5" spans="2:29" x14ac:dyDescent="0.25">
      <c r="B5" s="14" t="s">
        <v>0</v>
      </c>
      <c r="C5" s="15" t="s">
        <v>1</v>
      </c>
      <c r="E5" s="14" t="str">
        <f ca="1">TEXT(TODAY(), "mmmm yyyy")</f>
        <v>October 2025</v>
      </c>
      <c r="F5" s="14" t="s">
        <v>2</v>
      </c>
      <c r="G5" s="16" t="s">
        <v>3</v>
      </c>
      <c r="I5" s="68" t="s">
        <v>4</v>
      </c>
      <c r="J5" s="70"/>
      <c r="L5" s="68" t="s">
        <v>5</v>
      </c>
      <c r="M5" s="69"/>
      <c r="N5" s="69"/>
      <c r="O5" s="69"/>
      <c r="P5" s="69"/>
      <c r="Q5" s="69"/>
      <c r="R5" s="70"/>
      <c r="AB5" s="72"/>
      <c r="AC5" s="72"/>
    </row>
    <row r="6" spans="2:29" x14ac:dyDescent="0.25">
      <c r="B6" s="1" t="s">
        <v>6</v>
      </c>
      <c r="C6" s="6">
        <f>MIN(1500, IF($C$13,G7,G6+G9))</f>
        <v>1500</v>
      </c>
      <c r="E6" s="1" t="s">
        <v>7</v>
      </c>
      <c r="F6" s="6">
        <f>J9</f>
        <v>1496.702</v>
      </c>
      <c r="G6" s="17">
        <f>J33</f>
        <v>1550</v>
      </c>
      <c r="I6" s="1" t="s">
        <v>8</v>
      </c>
      <c r="J6" s="1">
        <v>0</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1496.702</v>
      </c>
      <c r="G7" s="6">
        <f>G6/J23*J22</f>
        <v>1550</v>
      </c>
      <c r="I7" s="1" t="s">
        <v>18</v>
      </c>
      <c r="J7" s="1">
        <v>18</v>
      </c>
      <c r="L7" s="11">
        <v>0</v>
      </c>
      <c r="M7" s="1">
        <v>299</v>
      </c>
      <c r="N7" s="23">
        <v>300</v>
      </c>
      <c r="O7" s="24">
        <v>300</v>
      </c>
      <c r="P7" s="25">
        <v>300</v>
      </c>
      <c r="Q7" s="26">
        <v>300</v>
      </c>
      <c r="R7" s="27">
        <v>300</v>
      </c>
      <c r="AB7" s="3"/>
    </row>
    <row r="8" spans="2:29" ht="15" customHeight="1" thickBot="1" x14ac:dyDescent="0.3">
      <c r="B8" s="1" t="s">
        <v>19</v>
      </c>
      <c r="C8" s="6">
        <f>300-J7</f>
        <v>282</v>
      </c>
      <c r="E8" s="10" t="s">
        <v>20</v>
      </c>
      <c r="F8" s="65">
        <f>F6/J23</f>
        <v>48.280709677419352</v>
      </c>
      <c r="G8" s="65">
        <f>G6/J23</f>
        <v>50</v>
      </c>
      <c r="I8" s="1" t="s">
        <v>21</v>
      </c>
      <c r="J8" s="1">
        <v>2</v>
      </c>
      <c r="L8" s="11">
        <v>300</v>
      </c>
      <c r="M8" s="1">
        <v>599</v>
      </c>
      <c r="N8" s="23">
        <v>100</v>
      </c>
      <c r="O8" s="24">
        <v>150</v>
      </c>
      <c r="P8" s="25">
        <v>200</v>
      </c>
      <c r="Q8" s="26">
        <v>250</v>
      </c>
      <c r="R8" s="27">
        <v>300</v>
      </c>
    </row>
    <row r="9" spans="2:29" ht="15.75" customHeight="1" thickTop="1" x14ac:dyDescent="0.25">
      <c r="B9" s="1" t="s">
        <v>5</v>
      </c>
      <c r="C9" s="6">
        <f>VLOOKUP(IF(C13,F7,F6),N17:P23,3)</f>
        <v>300</v>
      </c>
      <c r="E9" s="64" t="s">
        <v>22</v>
      </c>
      <c r="F9" s="63">
        <f>IF(J27&gt;=M13, "Unlimited", J27-F6)</f>
        <v>302.298</v>
      </c>
      <c r="G9" s="63">
        <f>50*J24 + IF(J22&lt;30,(30-J22)*G8,0)</f>
        <v>0</v>
      </c>
      <c r="I9" s="1" t="s">
        <v>2</v>
      </c>
      <c r="J9" s="6">
        <v>1496.702</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2682</v>
      </c>
      <c r="I11" s="68" t="s">
        <v>25</v>
      </c>
      <c r="J11" s="70"/>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200</v>
      </c>
      <c r="T12" s="2"/>
      <c r="Z12" s="8"/>
    </row>
    <row r="13" spans="2:29" x14ac:dyDescent="0.25">
      <c r="B13" s="1" t="s">
        <v>27</v>
      </c>
      <c r="C13" s="1" t="b">
        <v>0</v>
      </c>
      <c r="I13" s="1" t="s">
        <v>28</v>
      </c>
      <c r="J13" s="1" t="s">
        <v>53</v>
      </c>
      <c r="L13" s="12">
        <v>1800</v>
      </c>
      <c r="M13" s="10">
        <v>1800</v>
      </c>
      <c r="N13" s="29">
        <v>5</v>
      </c>
      <c r="O13" s="30">
        <v>10</v>
      </c>
      <c r="P13" s="31">
        <v>25</v>
      </c>
      <c r="Q13" s="32">
        <v>60</v>
      </c>
      <c r="R13" s="33">
        <v>100</v>
      </c>
      <c r="Z13" s="8"/>
      <c r="AA13" s="3"/>
    </row>
    <row r="14" spans="2:29" x14ac:dyDescent="0.25">
      <c r="I14" s="1" t="s">
        <v>30</v>
      </c>
      <c r="J14" s="58">
        <v>45808</v>
      </c>
    </row>
    <row r="15" spans="2:29" x14ac:dyDescent="0.25">
      <c r="D15" s="4"/>
      <c r="I15" s="28" t="s">
        <v>16</v>
      </c>
      <c r="J15" s="6">
        <v>300</v>
      </c>
      <c r="N15" s="68" t="str">
        <f>_xlfn.CONCAT("Distance Points for ",J17)</f>
        <v>Distance Points for Diamond</v>
      </c>
      <c r="O15" s="69"/>
      <c r="P15" s="70"/>
      <c r="V15" s="9"/>
      <c r="AA15" s="3"/>
      <c r="AB15" s="3"/>
    </row>
    <row r="16" spans="2:29" x14ac:dyDescent="0.25">
      <c r="I16" s="28" t="s">
        <v>23</v>
      </c>
      <c r="J16" s="28">
        <v>300</v>
      </c>
      <c r="N16" s="16" t="s">
        <v>9</v>
      </c>
      <c r="O16" s="16" t="s">
        <v>10</v>
      </c>
      <c r="P16" s="16" t="s">
        <v>3</v>
      </c>
    </row>
    <row r="17" spans="9:17" ht="14.45" customHeight="1" x14ac:dyDescent="0.25">
      <c r="I17" s="6" t="s">
        <v>31</v>
      </c>
      <c r="J17" s="6" t="s">
        <v>15</v>
      </c>
      <c r="N17" s="1">
        <f t="array" ref="N17:N23">DistancePointsStefan4[Lower]</f>
        <v>0</v>
      </c>
      <c r="O17" s="1">
        <f t="array" ref="O17:O23">DistancePointsStefan4[Upper]</f>
        <v>299</v>
      </c>
      <c r="P17" s="1">
        <f t="array" ref="P17:P23">_xlfn.XLOOKUP(J17,DistancePointsStefan4[#Headers],DistancePointsStefan4[])</f>
        <v>300</v>
      </c>
    </row>
    <row r="18" spans="9:17" x14ac:dyDescent="0.25">
      <c r="I18" s="6" t="s">
        <v>32</v>
      </c>
      <c r="J18" s="1"/>
      <c r="N18" s="1">
        <v>300</v>
      </c>
      <c r="O18" s="1">
        <v>599</v>
      </c>
      <c r="P18" s="1">
        <v>300</v>
      </c>
    </row>
    <row r="19" spans="9:17" x14ac:dyDescent="0.25">
      <c r="N19" s="1">
        <v>600</v>
      </c>
      <c r="O19" s="1">
        <v>899</v>
      </c>
      <c r="P19" s="1">
        <v>300</v>
      </c>
    </row>
    <row r="20" spans="9:17" x14ac:dyDescent="0.25">
      <c r="I20" s="68" t="s">
        <v>33</v>
      </c>
      <c r="J20" s="70"/>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May 2025</v>
      </c>
      <c r="J22" s="55">
        <f>DAY(EOMONTH(J14, 0))</f>
        <v>31</v>
      </c>
      <c r="N22" s="1">
        <v>1500</v>
      </c>
      <c r="O22" s="1">
        <v>1799</v>
      </c>
      <c r="P22" s="1">
        <v>200</v>
      </c>
    </row>
    <row r="23" spans="9:17" x14ac:dyDescent="0.25">
      <c r="I23" s="52" t="s">
        <v>34</v>
      </c>
      <c r="J23" s="55">
        <f>DAY(J14)</f>
        <v>31</v>
      </c>
      <c r="N23" s="1">
        <v>1800</v>
      </c>
      <c r="O23" s="1">
        <v>1800</v>
      </c>
      <c r="P23" s="1">
        <v>100</v>
      </c>
    </row>
    <row r="24" spans="9:17" x14ac:dyDescent="0.25">
      <c r="I24" s="51" t="s">
        <v>35</v>
      </c>
      <c r="J24" s="54">
        <f>J22-J23</f>
        <v>0</v>
      </c>
    </row>
    <row r="25" spans="9:17" x14ac:dyDescent="0.25">
      <c r="I25" s="53" t="s">
        <v>36</v>
      </c>
      <c r="J25" s="56">
        <f>C11-VLOOKUP(C11,M27:O31,1,TRUE)</f>
        <v>182</v>
      </c>
      <c r="M25" s="68" t="s">
        <v>37</v>
      </c>
      <c r="N25" s="69"/>
      <c r="O25" s="69"/>
      <c r="P25" s="69"/>
      <c r="Q25" s="70"/>
    </row>
    <row r="26" spans="9:17" x14ac:dyDescent="0.25">
      <c r="I26" s="55" t="s">
        <v>38</v>
      </c>
      <c r="J26" s="57">
        <f>MAX(0,C9-J25)</f>
        <v>118</v>
      </c>
      <c r="M26" s="16" t="s">
        <v>9</v>
      </c>
      <c r="N26" s="16" t="s">
        <v>10</v>
      </c>
      <c r="O26" s="16" t="s">
        <v>39</v>
      </c>
      <c r="P26" s="16" t="s">
        <v>40</v>
      </c>
      <c r="Q26" s="16" t="s">
        <v>41</v>
      </c>
    </row>
    <row r="27" spans="9:17" x14ac:dyDescent="0.25">
      <c r="I27" s="54" t="s">
        <v>42</v>
      </c>
      <c r="J27" s="54">
        <f t="array" ref="J27">MAX(_xlfn._xlws.FILTER(_xlfn.ANCHORARRAY(O17),_xlfn.ANCHORARRAY( P17)&gt;=J26))</f>
        <v>1799</v>
      </c>
      <c r="M27" s="34">
        <v>0</v>
      </c>
      <c r="N27" s="23">
        <v>799</v>
      </c>
      <c r="O27" s="23" t="s">
        <v>11</v>
      </c>
      <c r="P27" s="35">
        <v>0.05</v>
      </c>
      <c r="Q27" s="36" t="s">
        <v>43</v>
      </c>
    </row>
    <row r="28" spans="9:17" x14ac:dyDescent="0.25">
      <c r="I28" s="62" t="s">
        <v>32</v>
      </c>
      <c r="J28" s="62">
        <f>IF(ISBLANK(J18),ROUND(50-J6/J23,0),J18)</f>
        <v>50</v>
      </c>
      <c r="M28" s="37">
        <v>800</v>
      </c>
      <c r="N28" s="24">
        <v>1599</v>
      </c>
      <c r="O28" s="24" t="s">
        <v>12</v>
      </c>
      <c r="P28" s="38">
        <v>0.1</v>
      </c>
      <c r="Q28" s="39" t="s">
        <v>44</v>
      </c>
    </row>
    <row r="29" spans="9:17" x14ac:dyDescent="0.25">
      <c r="I29" s="61" t="s">
        <v>45</v>
      </c>
      <c r="J29" s="61">
        <f>J8</f>
        <v>2</v>
      </c>
      <c r="M29" s="40">
        <v>1600</v>
      </c>
      <c r="N29" s="25">
        <v>2199</v>
      </c>
      <c r="O29" s="25" t="s">
        <v>13</v>
      </c>
      <c r="P29" s="41">
        <v>0.2</v>
      </c>
      <c r="Q29" s="42" t="s">
        <v>46</v>
      </c>
    </row>
    <row r="30" spans="9:17" x14ac:dyDescent="0.25">
      <c r="I30" s="60" t="s">
        <v>47</v>
      </c>
      <c r="J30" s="60">
        <f>J29*J28</f>
        <v>100</v>
      </c>
      <c r="M30" s="43">
        <v>2200</v>
      </c>
      <c r="N30" s="44">
        <v>2499</v>
      </c>
      <c r="O30" s="44" t="s">
        <v>14</v>
      </c>
      <c r="P30" s="45">
        <v>0.35</v>
      </c>
      <c r="Q30" s="46" t="s">
        <v>48</v>
      </c>
    </row>
    <row r="31" spans="9:17" x14ac:dyDescent="0.25">
      <c r="I31" s="53" t="s">
        <v>49</v>
      </c>
      <c r="J31" s="53">
        <f>J23-J29</f>
        <v>29</v>
      </c>
      <c r="M31" s="47">
        <v>2500</v>
      </c>
      <c r="N31" s="48">
        <v>3000</v>
      </c>
      <c r="O31" s="48" t="s">
        <v>15</v>
      </c>
      <c r="P31" s="49">
        <v>0.5</v>
      </c>
      <c r="Q31" s="50" t="s">
        <v>50</v>
      </c>
    </row>
    <row r="32" spans="9:17" x14ac:dyDescent="0.25">
      <c r="I32" s="54" t="s">
        <v>51</v>
      </c>
      <c r="J32" s="59">
        <f>50*J31-J6</f>
        <v>1450</v>
      </c>
    </row>
    <row r="33" spans="9:10" x14ac:dyDescent="0.25">
      <c r="I33" s="1" t="s">
        <v>6</v>
      </c>
      <c r="J33" s="6">
        <f>J30+J32</f>
        <v>1550</v>
      </c>
    </row>
    <row r="34" spans="9:10" x14ac:dyDescent="0.25">
      <c r="I34" s="1" t="s">
        <v>52</v>
      </c>
      <c r="J34" s="6">
        <f>J33+SUM(C7:C10)</f>
        <v>2732</v>
      </c>
    </row>
  </sheetData>
  <mergeCells count="8">
    <mergeCell ref="AB5:AC5"/>
    <mergeCell ref="I5:J5"/>
    <mergeCell ref="N15:P15"/>
    <mergeCell ref="B2:G3"/>
    <mergeCell ref="L5:R5"/>
    <mergeCell ref="I20:J20"/>
    <mergeCell ref="M25:Q25"/>
    <mergeCell ref="I11:J11"/>
  </mergeCells>
  <conditionalFormatting sqref="B11:C12">
    <cfRule type="expression" dxfId="19" priority="1">
      <formula>$C$12="Blue"</formula>
    </cfRule>
    <cfRule type="expression" dxfId="18" priority="2">
      <formula>$C$12="Bronze"</formula>
    </cfRule>
    <cfRule type="expression" dxfId="17" priority="3">
      <formula>$C$12="Silver"</formula>
    </cfRule>
    <cfRule type="expression" dxfId="16" priority="4">
      <formula>$C$12="Gold"</formula>
    </cfRule>
    <cfRule type="expression" dxfId="15" priority="5">
      <formula>$C$12="Diamond"</formula>
    </cfRule>
  </conditionalFormatting>
  <conditionalFormatting sqref="P17:P23">
    <cfRule type="expression" dxfId="14" priority="6">
      <formula>$J$17="Blue"</formula>
    </cfRule>
    <cfRule type="expression" dxfId="13" priority="7">
      <formula>$J$17="Bronze"</formula>
    </cfRule>
    <cfRule type="expression" dxfId="12" priority="8">
      <formula>$J$17="Silver"</formula>
    </cfRule>
    <cfRule type="expression" dxfId="11" priority="9">
      <formula>$J$17="Gold"</formula>
    </cfRule>
    <cfRule type="expression" dxfId="1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100-000000000000}"/>
    <dataValidation type="whole" allowBlank="1" showInputMessage="1" showErrorMessage="1" prompt="Enter a value here to overwrite the No-Drive Day calculation" sqref="J18" xr:uid="{00000000-0002-0000-0100-000001000000}">
      <formula1>0</formula1>
      <formula2>50</formula2>
    </dataValidation>
  </dataValidations>
  <pageMargins left="0.7" right="0.7" top="0.75" bottom="0.75" header="0.3" footer="0.3"/>
  <pageSetup scale="32" orientation="portrait"/>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B2:AC34"/>
  <sheetViews>
    <sheetView zoomScaleNormal="100" workbookViewId="0">
      <selection activeCell="R13" sqref="R13"/>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44" width="8.85546875" style="2" customWidth="1"/>
    <col min="45" max="16384" width="8.85546875" style="2"/>
  </cols>
  <sheetData>
    <row r="2" spans="2:29" ht="14.45" customHeight="1" x14ac:dyDescent="0.25">
      <c r="B2" s="71" t="str">
        <f>_xlfn.CONCAT("Drive Summary ",J13, " ",TEXT(J14, "mmmm yyyy"))</f>
        <v>Drive Summary Derrick May 2025</v>
      </c>
      <c r="C2" s="72"/>
      <c r="D2" s="72"/>
      <c r="E2" s="73"/>
      <c r="F2" s="72"/>
      <c r="G2" s="72"/>
      <c r="H2" s="13"/>
    </row>
    <row r="3" spans="2:29" ht="14.45" customHeight="1" x14ac:dyDescent="0.25">
      <c r="B3" s="72"/>
      <c r="C3" s="72"/>
      <c r="D3" s="72"/>
      <c r="E3" s="73"/>
      <c r="F3" s="72"/>
      <c r="G3" s="72"/>
      <c r="H3" s="13"/>
    </row>
    <row r="5" spans="2:29" x14ac:dyDescent="0.25">
      <c r="B5" s="14" t="s">
        <v>0</v>
      </c>
      <c r="C5" s="15" t="s">
        <v>1</v>
      </c>
      <c r="E5" s="14" t="str">
        <f ca="1">TEXT(TODAY(), "mmmm yyyy")</f>
        <v>October 2025</v>
      </c>
      <c r="F5" s="14" t="s">
        <v>2</v>
      </c>
      <c r="G5" s="16" t="s">
        <v>3</v>
      </c>
      <c r="I5" s="68" t="s">
        <v>4</v>
      </c>
      <c r="J5" s="70"/>
      <c r="L5" s="68" t="s">
        <v>5</v>
      </c>
      <c r="M5" s="69"/>
      <c r="N5" s="69"/>
      <c r="O5" s="69"/>
      <c r="P5" s="69"/>
      <c r="Q5" s="69"/>
      <c r="R5" s="70"/>
      <c r="AB5" s="72"/>
      <c r="AC5" s="72"/>
    </row>
    <row r="6" spans="2:29" x14ac:dyDescent="0.25">
      <c r="B6" s="1" t="s">
        <v>6</v>
      </c>
      <c r="C6" s="6">
        <f>MIN(1500, IF($C$13,G7,G6+G9))</f>
        <v>1500</v>
      </c>
      <c r="E6" s="1" t="s">
        <v>7</v>
      </c>
      <c r="F6" s="6">
        <f>J9</f>
        <v>1500</v>
      </c>
      <c r="G6" s="17">
        <f>J33</f>
        <v>1392</v>
      </c>
      <c r="I6" s="1" t="s">
        <v>8</v>
      </c>
      <c r="J6" s="1">
        <v>8</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1660.7142857142856</v>
      </c>
      <c r="G7" s="6">
        <f>G6/J23*J22</f>
        <v>1541.1428571428571</v>
      </c>
      <c r="I7" s="1" t="s">
        <v>18</v>
      </c>
      <c r="J7" s="1">
        <v>0</v>
      </c>
      <c r="L7" s="11">
        <v>0</v>
      </c>
      <c r="M7" s="1">
        <v>299</v>
      </c>
      <c r="N7" s="23">
        <v>300</v>
      </c>
      <c r="O7" s="24">
        <v>300</v>
      </c>
      <c r="P7" s="25">
        <v>300</v>
      </c>
      <c r="Q7" s="26">
        <v>300</v>
      </c>
      <c r="R7" s="27">
        <v>300</v>
      </c>
      <c r="AB7" s="3"/>
    </row>
    <row r="8" spans="2:29" ht="15" customHeight="1" thickBot="1" x14ac:dyDescent="0.3">
      <c r="B8" s="1" t="s">
        <v>19</v>
      </c>
      <c r="C8" s="6">
        <f>300-J7</f>
        <v>300</v>
      </c>
      <c r="E8" s="10" t="s">
        <v>20</v>
      </c>
      <c r="F8" s="65">
        <f>F6/J23</f>
        <v>53.571428571428569</v>
      </c>
      <c r="G8" s="65">
        <f>G6/J23</f>
        <v>49.714285714285715</v>
      </c>
      <c r="I8" s="1" t="s">
        <v>21</v>
      </c>
      <c r="J8" s="1">
        <v>4</v>
      </c>
      <c r="L8" s="11">
        <v>300</v>
      </c>
      <c r="M8" s="1">
        <v>599</v>
      </c>
      <c r="N8" s="23">
        <v>100</v>
      </c>
      <c r="O8" s="24">
        <v>150</v>
      </c>
      <c r="P8" s="25">
        <v>200</v>
      </c>
      <c r="Q8" s="26">
        <v>250</v>
      </c>
      <c r="R8" s="27">
        <v>300</v>
      </c>
    </row>
    <row r="9" spans="2:29" ht="15.75" customHeight="1" thickTop="1" x14ac:dyDescent="0.25">
      <c r="B9" s="1" t="s">
        <v>5</v>
      </c>
      <c r="C9" s="6">
        <f>VLOOKUP(IF(C13,F7,F6),N17:P23,3)</f>
        <v>200</v>
      </c>
      <c r="E9" s="64" t="s">
        <v>22</v>
      </c>
      <c r="F9" s="63" t="str">
        <f>IF(J27&gt;=M13, "Unlimited", J27-F6)</f>
        <v>Unlimited</v>
      </c>
      <c r="G9" s="63">
        <f>50*J24 + IF(J22&lt;30,(30-J22)*G8,0)</f>
        <v>150</v>
      </c>
      <c r="I9" s="1" t="s">
        <v>2</v>
      </c>
      <c r="J9" s="1">
        <v>1500</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2600</v>
      </c>
      <c r="I11" s="68" t="s">
        <v>25</v>
      </c>
      <c r="J11" s="70"/>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200</v>
      </c>
      <c r="T12" s="2"/>
      <c r="Z12" s="8"/>
    </row>
    <row r="13" spans="2:29" x14ac:dyDescent="0.25">
      <c r="B13" s="1" t="s">
        <v>27</v>
      </c>
      <c r="C13" s="1" t="b">
        <v>0</v>
      </c>
      <c r="I13" s="1" t="s">
        <v>28</v>
      </c>
      <c r="J13" s="1" t="s">
        <v>54</v>
      </c>
      <c r="L13" s="12">
        <v>1800</v>
      </c>
      <c r="M13" s="10">
        <v>1800</v>
      </c>
      <c r="N13" s="29">
        <v>5</v>
      </c>
      <c r="O13" s="30">
        <v>10</v>
      </c>
      <c r="P13" s="31">
        <v>25</v>
      </c>
      <c r="Q13" s="32">
        <v>60</v>
      </c>
      <c r="R13" s="33">
        <v>100</v>
      </c>
      <c r="Z13" s="8"/>
      <c r="AA13" s="3"/>
    </row>
    <row r="14" spans="2:29" x14ac:dyDescent="0.25">
      <c r="I14" s="1" t="s">
        <v>30</v>
      </c>
      <c r="J14" s="58">
        <v>45805</v>
      </c>
    </row>
    <row r="15" spans="2:29" x14ac:dyDescent="0.25">
      <c r="D15" s="4"/>
      <c r="I15" s="28" t="s">
        <v>16</v>
      </c>
      <c r="J15" s="6">
        <v>300</v>
      </c>
      <c r="N15" s="68" t="str">
        <f>_xlfn.CONCAT("Distance Points for ",J17)</f>
        <v>Distance Points for Diamond</v>
      </c>
      <c r="O15" s="69"/>
      <c r="P15" s="70"/>
      <c r="V15" s="9"/>
      <c r="AA15" s="3"/>
      <c r="AB15" s="3"/>
    </row>
    <row r="16" spans="2:29" x14ac:dyDescent="0.25">
      <c r="I16" s="28" t="s">
        <v>23</v>
      </c>
      <c r="J16" s="28">
        <v>300</v>
      </c>
      <c r="N16" s="16" t="s">
        <v>9</v>
      </c>
      <c r="O16" s="16" t="s">
        <v>10</v>
      </c>
      <c r="P16" s="16" t="s">
        <v>3</v>
      </c>
    </row>
    <row r="17" spans="9:17" ht="14.45" customHeight="1" x14ac:dyDescent="0.25">
      <c r="I17" s="6" t="s">
        <v>31</v>
      </c>
      <c r="J17" s="6" t="s">
        <v>15</v>
      </c>
      <c r="N17" s="1">
        <f t="array" ref="N17:N23">DistancePointsStefan2[Lower]</f>
        <v>0</v>
      </c>
      <c r="O17" s="1">
        <f t="array" ref="O17:O23">DistancePointsStefan2[Upper]</f>
        <v>299</v>
      </c>
      <c r="P17" s="1">
        <f t="array" ref="P17:P23">_xlfn.XLOOKUP(J17,DistancePointsStefan2[#Headers],DistancePointsStefan2[])</f>
        <v>300</v>
      </c>
    </row>
    <row r="18" spans="9:17" x14ac:dyDescent="0.25">
      <c r="I18" s="6" t="s">
        <v>32</v>
      </c>
      <c r="J18" s="1"/>
      <c r="N18" s="1">
        <v>300</v>
      </c>
      <c r="O18" s="1">
        <v>599</v>
      </c>
      <c r="P18" s="1">
        <v>300</v>
      </c>
    </row>
    <row r="19" spans="9:17" x14ac:dyDescent="0.25">
      <c r="N19" s="1">
        <v>600</v>
      </c>
      <c r="O19" s="1">
        <v>899</v>
      </c>
      <c r="P19" s="1">
        <v>300</v>
      </c>
    </row>
    <row r="20" spans="9:17" x14ac:dyDescent="0.25">
      <c r="I20" s="68" t="s">
        <v>33</v>
      </c>
      <c r="J20" s="70"/>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May 2025</v>
      </c>
      <c r="J22" s="55">
        <f>DAY(EOMONTH(J14, 0))</f>
        <v>31</v>
      </c>
      <c r="N22" s="1">
        <v>1500</v>
      </c>
      <c r="O22" s="1">
        <v>1799</v>
      </c>
      <c r="P22" s="1">
        <v>200</v>
      </c>
    </row>
    <row r="23" spans="9:17" x14ac:dyDescent="0.25">
      <c r="I23" s="52" t="s">
        <v>34</v>
      </c>
      <c r="J23" s="55">
        <f>DAY(J14)</f>
        <v>28</v>
      </c>
      <c r="N23" s="1">
        <v>1800</v>
      </c>
      <c r="O23" s="1">
        <v>1800</v>
      </c>
      <c r="P23" s="1">
        <v>100</v>
      </c>
    </row>
    <row r="24" spans="9:17" x14ac:dyDescent="0.25">
      <c r="I24" s="51" t="s">
        <v>35</v>
      </c>
      <c r="J24" s="54">
        <f>J22-J23</f>
        <v>3</v>
      </c>
    </row>
    <row r="25" spans="9:17" x14ac:dyDescent="0.25">
      <c r="I25" s="53" t="s">
        <v>36</v>
      </c>
      <c r="J25" s="56">
        <f>C11-VLOOKUP(C11,M27:O31,1,TRUE)</f>
        <v>100</v>
      </c>
      <c r="M25" s="68" t="s">
        <v>37</v>
      </c>
      <c r="N25" s="69"/>
      <c r="O25" s="69"/>
      <c r="P25" s="69"/>
      <c r="Q25" s="70"/>
    </row>
    <row r="26" spans="9:17" x14ac:dyDescent="0.25">
      <c r="I26" s="55" t="s">
        <v>38</v>
      </c>
      <c r="J26" s="57">
        <f>MAX(0,C9-J25)</f>
        <v>100</v>
      </c>
      <c r="M26" s="16" t="s">
        <v>9</v>
      </c>
      <c r="N26" s="16" t="s">
        <v>10</v>
      </c>
      <c r="O26" s="16" t="s">
        <v>39</v>
      </c>
      <c r="P26" s="16" t="s">
        <v>40</v>
      </c>
      <c r="Q26" s="16" t="s">
        <v>41</v>
      </c>
    </row>
    <row r="27" spans="9:17" x14ac:dyDescent="0.25">
      <c r="I27" s="54" t="s">
        <v>42</v>
      </c>
      <c r="J27" s="54">
        <f t="array" ref="J27">MAX(_xlfn._xlws.FILTER(_xlfn.ANCHORARRAY(O17),_xlfn.ANCHORARRAY( P17)&gt;=J26))</f>
        <v>1800</v>
      </c>
      <c r="M27" s="34">
        <v>0</v>
      </c>
      <c r="N27" s="23">
        <v>799</v>
      </c>
      <c r="O27" s="23" t="s">
        <v>11</v>
      </c>
      <c r="P27" s="35">
        <v>0.05</v>
      </c>
      <c r="Q27" s="36" t="s">
        <v>43</v>
      </c>
    </row>
    <row r="28" spans="9:17" x14ac:dyDescent="0.25">
      <c r="I28" s="62" t="s">
        <v>32</v>
      </c>
      <c r="J28" s="62">
        <f>IF(ISBLANK(J18),ROUND(50-J6/J23,0),J18)</f>
        <v>50</v>
      </c>
      <c r="M28" s="37">
        <v>800</v>
      </c>
      <c r="N28" s="24">
        <v>1599</v>
      </c>
      <c r="O28" s="24" t="s">
        <v>12</v>
      </c>
      <c r="P28" s="38">
        <v>0.1</v>
      </c>
      <c r="Q28" s="39" t="s">
        <v>44</v>
      </c>
    </row>
    <row r="29" spans="9:17" x14ac:dyDescent="0.25">
      <c r="I29" s="61" t="s">
        <v>45</v>
      </c>
      <c r="J29" s="61">
        <f>J8</f>
        <v>4</v>
      </c>
      <c r="M29" s="40">
        <v>1600</v>
      </c>
      <c r="N29" s="25">
        <v>2199</v>
      </c>
      <c r="O29" s="25" t="s">
        <v>13</v>
      </c>
      <c r="P29" s="41">
        <v>0.2</v>
      </c>
      <c r="Q29" s="42" t="s">
        <v>46</v>
      </c>
    </row>
    <row r="30" spans="9:17" x14ac:dyDescent="0.25">
      <c r="I30" s="60" t="s">
        <v>47</v>
      </c>
      <c r="J30" s="60">
        <f>J29*J28</f>
        <v>200</v>
      </c>
      <c r="M30" s="43">
        <v>2200</v>
      </c>
      <c r="N30" s="44">
        <v>2499</v>
      </c>
      <c r="O30" s="44" t="s">
        <v>14</v>
      </c>
      <c r="P30" s="45">
        <v>0.35</v>
      </c>
      <c r="Q30" s="46" t="s">
        <v>48</v>
      </c>
    </row>
    <row r="31" spans="9:17" x14ac:dyDescent="0.25">
      <c r="I31" s="53" t="s">
        <v>49</v>
      </c>
      <c r="J31" s="53">
        <f>J23-J29</f>
        <v>24</v>
      </c>
      <c r="M31" s="47">
        <v>2500</v>
      </c>
      <c r="N31" s="48">
        <v>3000</v>
      </c>
      <c r="O31" s="48" t="s">
        <v>15</v>
      </c>
      <c r="P31" s="49">
        <v>0.5</v>
      </c>
      <c r="Q31" s="50" t="s">
        <v>50</v>
      </c>
    </row>
    <row r="32" spans="9:17" x14ac:dyDescent="0.25">
      <c r="I32" s="54" t="s">
        <v>51</v>
      </c>
      <c r="J32" s="59">
        <f>50*J31-J6</f>
        <v>1192</v>
      </c>
    </row>
    <row r="33" spans="9:10" x14ac:dyDescent="0.25">
      <c r="I33" s="1" t="s">
        <v>6</v>
      </c>
      <c r="J33" s="6">
        <f>J30+J32</f>
        <v>1392</v>
      </c>
    </row>
    <row r="34" spans="9:10" x14ac:dyDescent="0.25">
      <c r="I34" s="1" t="s">
        <v>52</v>
      </c>
      <c r="J34" s="6">
        <f>J33+SUM(C7:C10)</f>
        <v>2492</v>
      </c>
    </row>
  </sheetData>
  <mergeCells count="8">
    <mergeCell ref="AB5:AC5"/>
    <mergeCell ref="I5:J5"/>
    <mergeCell ref="N15:P15"/>
    <mergeCell ref="B2:G3"/>
    <mergeCell ref="L5:R5"/>
    <mergeCell ref="I20:J20"/>
    <mergeCell ref="M25:Q25"/>
    <mergeCell ref="I11:J11"/>
  </mergeCells>
  <conditionalFormatting sqref="B11:C12">
    <cfRule type="expression" dxfId="9" priority="1">
      <formula>$C$12="Blue"</formula>
    </cfRule>
    <cfRule type="expression" dxfId="8" priority="2">
      <formula>$C$12="Bronze"</formula>
    </cfRule>
    <cfRule type="expression" dxfId="7" priority="3">
      <formula>$C$12="Silver"</formula>
    </cfRule>
    <cfRule type="expression" dxfId="6" priority="4">
      <formula>$C$12="Gold"</formula>
    </cfRule>
    <cfRule type="expression" dxfId="5" priority="5">
      <formula>$C$12="Diamond"</formula>
    </cfRule>
  </conditionalFormatting>
  <conditionalFormatting sqref="P17:P23">
    <cfRule type="expression" dxfId="4" priority="6">
      <formula>$J$17="Blue"</formula>
    </cfRule>
    <cfRule type="expression" dxfId="3" priority="7">
      <formula>$J$17="Bronze"</formula>
    </cfRule>
    <cfRule type="expression" dxfId="2" priority="8">
      <formula>$J$17="Silver"</formula>
    </cfRule>
    <cfRule type="expression" dxfId="1" priority="9">
      <formula>$J$17="Gold"</formula>
    </cfRule>
    <cfRule type="expression" dxfId="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200-000000000000}"/>
    <dataValidation type="whole" allowBlank="1" showInputMessage="1" showErrorMessage="1" prompt="Enter a value here to overwrite the No-Drive Day calculation" sqref="J18" xr:uid="{00000000-0002-0000-0200-000001000000}">
      <formula1>0</formula1>
      <formula2>50</formula2>
    </dataValidation>
  </dataValidations>
  <pageMargins left="0.7" right="0.7" top="0.75" bottom="0.75" header="0.3" footer="0.3"/>
  <pageSetup scale="32" orientation="portrait"/>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Stefan!Username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Christiaan Oberholzer</dc:creator>
  <cp:lastModifiedBy>Stefan Oberholzer</cp:lastModifiedBy>
  <cp:lastPrinted>2025-07-16T06:34:50Z</cp:lastPrinted>
  <dcterms:created xsi:type="dcterms:W3CDTF">2023-09-18T15:21:34Z</dcterms:created>
  <dcterms:modified xsi:type="dcterms:W3CDTF">2025-10-08T12:38:11Z</dcterms:modified>
</cp:coreProperties>
</file>