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defaultThemeVersion="166925"/>
  <mc:AlternateContent xmlns:mc="http://schemas.openxmlformats.org/markup-compatibility/2006">
    <mc:Choice Requires="x15">
      <x15ac:absPath xmlns:x15ac="http://schemas.microsoft.com/office/spreadsheetml/2010/11/ac" url="https://d.docs.live.net/2fd3bccd6dbaea2b/GitGud/DriveDashboardPython/"/>
    </mc:Choice>
  </mc:AlternateContent>
  <xr:revisionPtr revIDLastSave="0" documentId="11_DB39829FABD98605447DF927DA0E9D26FCE77716" xr6:coauthVersionLast="47" xr6:coauthVersionMax="47" xr10:uidLastSave="{00000000-0000-0000-0000-000000000000}"/>
  <bookViews>
    <workbookView xWindow="-120" yWindow="-120" windowWidth="20730" windowHeight="11040" activeTab="1" xr2:uid="{00000000-000D-0000-FFFF-FFFF00000000}"/>
  </bookViews>
  <sheets>
    <sheet name="Stefan" sheetId="1" r:id="rId1"/>
    <sheet name="Christiaan" sheetId="2" r:id="rId2"/>
    <sheet name="Derrick" sheetId="3" r:id="rId3"/>
  </sheets>
  <definedNames>
    <definedName name="Username" localSheetId="1">Christiaan!$J$21</definedName>
    <definedName name="Username" localSheetId="2">Derrick!$J$21</definedName>
    <definedName name="Username" localSheetId="0">Stefan!$J$21</definedName>
    <definedName name="Username">#REF!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29" i="3" l="1"/>
  <c r="J31" i="3" s="1"/>
  <c r="J32" i="3" s="1"/>
  <c r="J28" i="3"/>
  <c r="J24" i="3"/>
  <c r="G9" i="3" s="1"/>
  <c r="J23" i="3"/>
  <c r="J22" i="3"/>
  <c r="I22" i="3"/>
  <c r="P17" i="3" a="1"/>
  <c r="P23" i="3" s="1"/>
  <c r="O20" i="3"/>
  <c r="O17" i="3" a="1"/>
  <c r="O22" i="3" s="1"/>
  <c r="N21" i="3"/>
  <c r="N17" i="3" a="1"/>
  <c r="N18" i="3" s="1"/>
  <c r="N17" i="3"/>
  <c r="N15" i="3"/>
  <c r="C10" i="3"/>
  <c r="C8" i="3"/>
  <c r="F7" i="3"/>
  <c r="C7" i="3"/>
  <c r="F6" i="3"/>
  <c r="F8" i="3" s="1"/>
  <c r="E5" i="3"/>
  <c r="B2" i="3"/>
  <c r="J29" i="2"/>
  <c r="J23" i="2"/>
  <c r="J31" i="2" s="1"/>
  <c r="J32" i="2" s="1"/>
  <c r="J22" i="2"/>
  <c r="I22" i="2"/>
  <c r="P17" i="2" a="1"/>
  <c r="P23" i="2" s="1"/>
  <c r="O22" i="2"/>
  <c r="O17" i="2" a="1"/>
  <c r="O19" i="2" s="1"/>
  <c r="O17" i="2"/>
  <c r="N22" i="2"/>
  <c r="N21" i="2"/>
  <c r="N20" i="2"/>
  <c r="N19" i="2"/>
  <c r="N18" i="2"/>
  <c r="N17" i="2" a="1"/>
  <c r="N23" i="2" s="1"/>
  <c r="N17" i="2"/>
  <c r="N15" i="2"/>
  <c r="C10" i="2"/>
  <c r="C8" i="2"/>
  <c r="C7" i="2"/>
  <c r="F6" i="2"/>
  <c r="F8" i="2" s="1"/>
  <c r="E5" i="2"/>
  <c r="B2" i="2"/>
  <c r="J31" i="1"/>
  <c r="J32" i="1" s="1"/>
  <c r="J29" i="1"/>
  <c r="J30" i="1" s="1"/>
  <c r="J28" i="1"/>
  <c r="J23" i="1"/>
  <c r="J24" i="1" s="1"/>
  <c r="G9" i="1" s="1"/>
  <c r="J22" i="1"/>
  <c r="I22" i="1"/>
  <c r="P23" i="1"/>
  <c r="P17" i="1" a="1"/>
  <c r="P19" i="1" s="1"/>
  <c r="O23" i="1"/>
  <c r="O22" i="1"/>
  <c r="O21" i="1"/>
  <c r="O20" i="1"/>
  <c r="O19" i="1"/>
  <c r="O17" i="1" a="1"/>
  <c r="O18" i="1" s="1"/>
  <c r="O17" i="1"/>
  <c r="N22" i="1"/>
  <c r="N21" i="1"/>
  <c r="N19" i="1"/>
  <c r="N18" i="1"/>
  <c r="N17" i="1" a="1"/>
  <c r="N23" i="1" s="1"/>
  <c r="N17" i="1"/>
  <c r="N15" i="1"/>
  <c r="C10" i="1"/>
  <c r="C8" i="1"/>
  <c r="F7" i="1"/>
  <c r="C7" i="1"/>
  <c r="F6" i="1"/>
  <c r="E5" i="1"/>
  <c r="B2" i="1"/>
  <c r="J33" i="1" l="1"/>
  <c r="N19" i="3"/>
  <c r="O23" i="3"/>
  <c r="P20" i="2"/>
  <c r="J28" i="2"/>
  <c r="J30" i="2" s="1"/>
  <c r="J33" i="2" s="1"/>
  <c r="P18" i="1"/>
  <c r="P21" i="2"/>
  <c r="C9" i="2" s="1"/>
  <c r="P20" i="1"/>
  <c r="P21" i="1"/>
  <c r="F7" i="2"/>
  <c r="O20" i="2"/>
  <c r="P22" i="1"/>
  <c r="O21" i="2"/>
  <c r="N20" i="3"/>
  <c r="C9" i="3" s="1"/>
  <c r="P17" i="3"/>
  <c r="N22" i="3"/>
  <c r="P18" i="3"/>
  <c r="O23" i="2"/>
  <c r="J24" i="2"/>
  <c r="G9" i="2" s="1"/>
  <c r="P17" i="2"/>
  <c r="N23" i="3"/>
  <c r="P19" i="3"/>
  <c r="O17" i="3"/>
  <c r="P20" i="3"/>
  <c r="F8" i="1"/>
  <c r="P18" i="2"/>
  <c r="P21" i="3"/>
  <c r="N20" i="1"/>
  <c r="C9" i="1" s="1"/>
  <c r="P17" i="1"/>
  <c r="P19" i="2"/>
  <c r="O18" i="3"/>
  <c r="P22" i="3"/>
  <c r="J30" i="3"/>
  <c r="J33" i="3" s="1"/>
  <c r="O19" i="3"/>
  <c r="O18" i="2"/>
  <c r="P22" i="2"/>
  <c r="O21" i="3"/>
  <c r="G6" i="2" l="1"/>
  <c r="J34" i="2"/>
  <c r="J34" i="3"/>
  <c r="G6" i="3"/>
  <c r="J34" i="1"/>
  <c r="G6" i="1"/>
  <c r="G7" i="3" l="1"/>
  <c r="C6" i="3"/>
  <c r="C11" i="3" s="1"/>
  <c r="G8" i="3"/>
  <c r="G8" i="1"/>
  <c r="G7" i="1"/>
  <c r="C6" i="1"/>
  <c r="C11" i="1" s="1"/>
  <c r="G8" i="2"/>
  <c r="G7" i="2"/>
  <c r="C6" i="2"/>
  <c r="C11" i="2" s="1"/>
  <c r="C12" i="2" l="1"/>
  <c r="J25" i="2"/>
  <c r="J26" i="2" s="1"/>
  <c r="J27" i="2" s="1" a="1"/>
  <c r="J27" i="2" s="1"/>
  <c r="F9" i="2" s="1"/>
  <c r="J25" i="1"/>
  <c r="J26" i="1" s="1"/>
  <c r="J27" i="1" s="1" a="1"/>
  <c r="J27" i="1" s="1"/>
  <c r="F9" i="1" s="1"/>
  <c r="C12" i="1"/>
  <c r="C12" i="3"/>
  <c r="J25" i="3"/>
  <c r="J26" i="3" s="1"/>
  <c r="J27" i="3" s="1" a="1"/>
  <c r="J27" i="3" s="1"/>
  <c r="F9" i="3" s="1"/>
</calcChain>
</file>

<file path=xl/sharedStrings.xml><?xml version="1.0" encoding="utf-8"?>
<sst xmlns="http://schemas.openxmlformats.org/spreadsheetml/2006/main" count="222" uniqueCount="55">
  <si>
    <t>Description</t>
  </si>
  <si>
    <t>Value</t>
  </si>
  <si>
    <t>Distance</t>
  </si>
  <si>
    <t>Points</t>
  </si>
  <si>
    <t>Python Data</t>
  </si>
  <si>
    <t>Distance Points</t>
  </si>
  <si>
    <t>Driving Profile</t>
  </si>
  <si>
    <t>Month-to-Date</t>
  </si>
  <si>
    <t>Drive Penalties</t>
  </si>
  <si>
    <t>Lower</t>
  </si>
  <si>
    <t>Upper</t>
  </si>
  <si>
    <t>Blue</t>
  </si>
  <si>
    <t>Bronze</t>
  </si>
  <si>
    <t>Silver</t>
  </si>
  <si>
    <t>Gold</t>
  </si>
  <si>
    <t>Diamond</t>
  </si>
  <si>
    <t>Claim Free Years</t>
  </si>
  <si>
    <t>End of Month</t>
  </si>
  <si>
    <t>Night Penalty</t>
  </si>
  <si>
    <t>Night Time Driving</t>
  </si>
  <si>
    <t>Daily Average</t>
  </si>
  <si>
    <t>No-Drive Days</t>
  </si>
  <si>
    <t>Remaining</t>
  </si>
  <si>
    <t>MultiPoint Check</t>
  </si>
  <si>
    <t>Accumulated Points</t>
  </si>
  <si>
    <t>Config Data</t>
  </si>
  <si>
    <t>Vitality Drive Status</t>
  </si>
  <si>
    <t>Predict Status</t>
  </si>
  <si>
    <t>Username</t>
  </si>
  <si>
    <t>Stefan</t>
  </si>
  <si>
    <t>Report Date</t>
  </si>
  <si>
    <t>Last Month's Status</t>
  </si>
  <si>
    <t>Points on No-Drive Day</t>
  </si>
  <si>
    <t>Calculated Data</t>
  </si>
  <si>
    <t>Days Past</t>
  </si>
  <si>
    <t>Days Left</t>
  </si>
  <si>
    <t>Rem Dist Points</t>
  </si>
  <si>
    <t>Driving Status</t>
  </si>
  <si>
    <t>Rem - Dist</t>
  </si>
  <si>
    <t>Category</t>
  </si>
  <si>
    <t>Fuel %</t>
  </si>
  <si>
    <t>Color</t>
  </si>
  <si>
    <t>Distance Upper Limit</t>
  </si>
  <si>
    <t>#8EA9DB</t>
  </si>
  <si>
    <t>#F4B084</t>
  </si>
  <si>
    <t>Count No-Drive Days</t>
  </si>
  <si>
    <t>#DBDBDB</t>
  </si>
  <si>
    <t>No-Drive Day Points</t>
  </si>
  <si>
    <t>#FFD966</t>
  </si>
  <si>
    <t>Count Drive Days</t>
  </si>
  <si>
    <t>#D9B3FF</t>
  </si>
  <si>
    <t>Drive Day Points</t>
  </si>
  <si>
    <t>Current Drive Points</t>
  </si>
  <si>
    <t>Christiaan</t>
  </si>
  <si>
    <t>Derrick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</si>
</sst>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R-1C09]#,##0.00"/>
    <numFmt numFmtId="165" formatCode="0.0"/>
  </numFmts>
  <fonts count="6" x14ac:knownFonts="1">
    <font>
      <sz val="11"/>
      <color theme="1"/>
      <name val="Calibri"/>
      <family val="2"/>
      <scheme val="minor"/>
    </font>
    <font>
      <sz val="11"/>
      <color theme="1"/>
      <name val="Calibri"/>
      <family val="2"/>
      <scheme val="minor"/>
    </font>
    <font>
      <sz val="11"/>
      <name val="Calibri"/>
      <family val="2"/>
      <scheme val="minor"/>
    </font>
    <font>
      <sz val="22"/>
      <color theme="1"/>
      <name val="Calibri"/>
      <family val="2"/>
      <scheme val="minor"/>
    </font>
    <font>
      <sz val="20"/>
      <color theme="1"/>
      <name val="Calibri"/>
      <family val="2"/>
      <scheme val="minor"/>
    </font>
    <font>
      <sz val="10"/>
      <color theme="1"/>
      <name val="72 Monospace"/>
      <family val="3"/>
    </font>
  </fonts>
  <fills count="8">
    <fill>
      <patternFill patternType="none"/>
    </fill>
    <fill>
      <patternFill patternType="gray125"/>
    </fill>
    <fill>
      <patternFill patternType="solid">
        <fgColor theme="2" tint="-9.9978637043366805E-2"/>
        <bgColor indexed="64"/>
      </patternFill>
    </fill>
    <fill>
      <patternFill patternType="solid">
        <fgColor theme="4" tint="0.39994506668294322"/>
        <bgColor indexed="64"/>
      </patternFill>
    </fill>
    <fill>
      <patternFill patternType="solid">
        <fgColor theme="5" tint="0.39994506668294322"/>
        <bgColor indexed="64"/>
      </patternFill>
    </fill>
    <fill>
      <patternFill patternType="solid">
        <fgColor theme="6" tint="0.59996337778862885"/>
        <bgColor indexed="64"/>
      </patternFill>
    </fill>
    <fill>
      <patternFill patternType="solid">
        <fgColor theme="7" tint="0.39994506668294322"/>
        <bgColor indexed="64"/>
      </patternFill>
    </fill>
    <fill>
      <patternFill patternType="solid">
        <fgColor rgb="FFD9B3FF"/>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dotted">
        <color indexed="64"/>
      </top>
      <bottom style="thin">
        <color indexed="64"/>
      </bottom>
      <diagonal/>
    </border>
    <border>
      <left style="thin">
        <color indexed="64"/>
      </left>
      <right/>
      <top style="dotted">
        <color indexed="64"/>
      </top>
      <bottom style="dotted">
        <color indexed="64"/>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style="dotted">
        <color indexed="64"/>
      </top>
      <bottom style="thin">
        <color indexed="64"/>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dashed">
        <color indexed="64"/>
      </top>
      <bottom style="thin">
        <color indexed="64"/>
      </bottom>
      <diagonal/>
    </border>
    <border>
      <left style="thin">
        <color indexed="64"/>
      </left>
      <right style="thin">
        <color indexed="64"/>
      </right>
      <top style="dashed">
        <color indexed="64"/>
      </top>
      <bottom style="dashed">
        <color indexed="64"/>
      </bottom>
      <diagonal/>
    </border>
    <border>
      <left style="thin">
        <color indexed="64"/>
      </left>
      <right style="thin">
        <color indexed="64"/>
      </right>
      <top style="thin">
        <color indexed="64"/>
      </top>
      <bottom style="dashed">
        <color indexed="64"/>
      </bottom>
      <diagonal/>
    </border>
    <border>
      <left style="thin">
        <color indexed="64"/>
      </left>
      <right style="thin">
        <color indexed="64"/>
      </right>
      <top style="double">
        <color indexed="64"/>
      </top>
      <bottom style="thin">
        <color indexed="64"/>
      </bottom>
      <diagonal/>
    </border>
  </borders>
  <cellStyleXfs count="6">
    <xf numFmtId="0" fontId="0" fillId="0" borderId="0"/>
    <xf numFmtId="0" fontId="1" fillId="3" borderId="0">
      <alignment horizontal="center" vertical="center"/>
    </xf>
    <xf numFmtId="0" fontId="1" fillId="4" borderId="1">
      <alignment horizontal="center" vertical="center"/>
    </xf>
    <xf numFmtId="0" fontId="1" fillId="5" borderId="0"/>
    <xf numFmtId="0" fontId="1" fillId="6" borderId="1">
      <alignment horizontal="center" vertical="center"/>
    </xf>
    <xf numFmtId="0" fontId="1" fillId="7" borderId="1">
      <alignment horizontal="center" vertical="center"/>
    </xf>
  </cellStyleXfs>
  <cellXfs count="72">
    <xf numFmtId="0" fontId="0" fillId="0" borderId="0" xfId="0"/>
    <xf numFmtId="0" fontId="0" fillId="0" borderId="1" xfId="0" applyBorder="1" applyAlignment="1">
      <alignment horizontal="center" vertical="center"/>
    </xf>
    <xf numFmtId="0" fontId="0" fillId="0" borderId="0" xfId="0" applyAlignment="1">
      <alignment horizontal="center" vertical="center"/>
    </xf>
    <xf numFmtId="1" fontId="0" fillId="0" borderId="0" xfId="0" applyNumberFormat="1" applyAlignment="1">
      <alignment horizontal="center" vertical="center"/>
    </xf>
    <xf numFmtId="164" fontId="0" fillId="0" borderId="0" xfId="0" applyNumberFormat="1" applyAlignment="1">
      <alignment horizontal="center" vertical="center"/>
    </xf>
    <xf numFmtId="0" fontId="0" fillId="0" borderId="0" xfId="0" applyAlignment="1">
      <alignment vertical="center"/>
    </xf>
    <xf numFmtId="1" fontId="0" fillId="0" borderId="1" xfId="0" applyNumberFormat="1" applyBorder="1" applyAlignment="1">
      <alignment horizontal="center" vertical="center"/>
    </xf>
    <xf numFmtId="0" fontId="2" fillId="0" borderId="0" xfId="0" applyFont="1"/>
    <xf numFmtId="0" fontId="0" fillId="0" borderId="0" xfId="0" applyAlignment="1">
      <alignment horizontal="left"/>
    </xf>
    <xf numFmtId="1" fontId="0" fillId="0" borderId="0" xfId="0" applyNumberFormat="1"/>
    <xf numFmtId="0" fontId="0" fillId="0" borderId="6" xfId="0" applyBorder="1" applyAlignment="1">
      <alignment horizontal="center" vertical="center"/>
    </xf>
    <xf numFmtId="0" fontId="0" fillId="0" borderId="3" xfId="0" applyBorder="1" applyAlignment="1">
      <alignment horizontal="center" vertical="center"/>
    </xf>
    <xf numFmtId="0" fontId="0" fillId="0" borderId="9" xfId="0" applyBorder="1" applyAlignment="1">
      <alignment horizontal="center" vertical="center"/>
    </xf>
    <xf numFmtId="0" fontId="3" fillId="0" borderId="0" xfId="0" applyFont="1" applyAlignment="1">
      <alignment vertical="center"/>
    </xf>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1" xfId="0" applyFill="1" applyBorder="1" applyAlignment="1">
      <alignment horizontal="center" vertical="center"/>
    </xf>
    <xf numFmtId="1" fontId="0" fillId="0" borderId="7" xfId="0" applyNumberFormat="1" applyBorder="1" applyAlignment="1">
      <alignment horizontal="center" vertical="center"/>
    </xf>
    <xf numFmtId="0" fontId="0" fillId="3" borderId="7" xfId="1" applyFont="1" applyBorder="1">
      <alignment horizontal="center" vertical="center"/>
    </xf>
    <xf numFmtId="0" fontId="0" fillId="4" borderId="7" xfId="2" applyFont="1" applyBorder="1">
      <alignment horizontal="center" vertical="center"/>
    </xf>
    <xf numFmtId="0" fontId="0" fillId="5" borderId="7" xfId="3" applyFont="1" applyBorder="1" applyAlignment="1">
      <alignment horizontal="center" vertical="center"/>
    </xf>
    <xf numFmtId="0" fontId="0" fillId="6" borderId="7" xfId="4" applyFont="1" applyBorder="1">
      <alignment horizontal="center" vertical="center"/>
    </xf>
    <xf numFmtId="0" fontId="1" fillId="7" borderId="8" xfId="5" applyBorder="1">
      <alignment horizontal="center" vertical="center"/>
    </xf>
    <xf numFmtId="0" fontId="0" fillId="3" borderId="1" xfId="1" applyFont="1" applyBorder="1">
      <alignment horizontal="center" vertical="center"/>
    </xf>
    <xf numFmtId="0" fontId="0" fillId="4" borderId="1" xfId="2" applyFont="1">
      <alignment horizontal="center" vertical="center"/>
    </xf>
    <xf numFmtId="0" fontId="0" fillId="5" borderId="1" xfId="3" applyFont="1" applyBorder="1" applyAlignment="1">
      <alignment horizontal="center" vertical="center"/>
    </xf>
    <xf numFmtId="0" fontId="0" fillId="6" borderId="1" xfId="4" applyFont="1">
      <alignment horizontal="center" vertical="center"/>
    </xf>
    <xf numFmtId="0" fontId="1" fillId="7" borderId="2" xfId="5" applyBorder="1">
      <alignment horizontal="center" vertical="center"/>
    </xf>
    <xf numFmtId="1" fontId="0" fillId="0" borderId="6" xfId="0" applyNumberFormat="1" applyBorder="1" applyAlignment="1">
      <alignment horizontal="center" vertical="center"/>
    </xf>
    <xf numFmtId="0" fontId="0" fillId="3" borderId="6" xfId="1" applyFont="1" applyBorder="1">
      <alignment horizontal="center" vertical="center"/>
    </xf>
    <xf numFmtId="0" fontId="0" fillId="4" borderId="6" xfId="2" applyFont="1" applyBorder="1">
      <alignment horizontal="center" vertical="center"/>
    </xf>
    <xf numFmtId="0" fontId="0" fillId="5" borderId="6" xfId="3" applyFont="1" applyBorder="1" applyAlignment="1">
      <alignment horizontal="center" vertical="center"/>
    </xf>
    <xf numFmtId="0" fontId="0" fillId="6" borderId="6" xfId="4" applyFont="1" applyBorder="1">
      <alignment horizontal="center" vertical="center"/>
    </xf>
    <xf numFmtId="0" fontId="1" fillId="7" borderId="5" xfId="5" applyBorder="1">
      <alignment horizontal="center" vertical="center"/>
    </xf>
    <xf numFmtId="0" fontId="0" fillId="3" borderId="3" xfId="1" applyFont="1" applyBorder="1">
      <alignment horizontal="center" vertical="center"/>
    </xf>
    <xf numFmtId="9" fontId="0" fillId="3" borderId="1" xfId="1" applyNumberFormat="1" applyFont="1" applyBorder="1">
      <alignment horizontal="center" vertical="center"/>
    </xf>
    <xf numFmtId="9" fontId="5" fillId="3" borderId="2" xfId="1" applyNumberFormat="1" applyFont="1" applyBorder="1">
      <alignment horizontal="center" vertical="center"/>
    </xf>
    <xf numFmtId="0" fontId="0" fillId="4" borderId="3" xfId="2" applyFont="1" applyBorder="1">
      <alignment horizontal="center" vertical="center"/>
    </xf>
    <xf numFmtId="9" fontId="0" fillId="4" borderId="1" xfId="2" applyNumberFormat="1" applyFont="1">
      <alignment horizontal="center" vertical="center"/>
    </xf>
    <xf numFmtId="9" fontId="5" fillId="4" borderId="2" xfId="2" applyNumberFormat="1" applyFont="1" applyBorder="1">
      <alignment horizontal="center" vertical="center"/>
    </xf>
    <xf numFmtId="0" fontId="0" fillId="5" borderId="3" xfId="3" applyFont="1" applyBorder="1" applyAlignment="1">
      <alignment horizontal="center" vertical="center"/>
    </xf>
    <xf numFmtId="9" fontId="0" fillId="5" borderId="1" xfId="3" applyNumberFormat="1" applyFont="1" applyBorder="1" applyAlignment="1">
      <alignment horizontal="center" vertical="center"/>
    </xf>
    <xf numFmtId="9" fontId="5" fillId="5" borderId="2" xfId="3" applyNumberFormat="1" applyFont="1" applyBorder="1" applyAlignment="1">
      <alignment horizontal="center" vertical="center"/>
    </xf>
    <xf numFmtId="0" fontId="1" fillId="6" borderId="3" xfId="4" applyBorder="1">
      <alignment horizontal="center" vertical="center"/>
    </xf>
    <xf numFmtId="0" fontId="1" fillId="6" borderId="1" xfId="4">
      <alignment horizontal="center" vertical="center"/>
    </xf>
    <xf numFmtId="9" fontId="1" fillId="6" borderId="1" xfId="4" applyNumberFormat="1">
      <alignment horizontal="center" vertical="center"/>
    </xf>
    <xf numFmtId="9" fontId="5" fillId="6" borderId="2" xfId="4" applyNumberFormat="1" applyFont="1" applyBorder="1">
      <alignment horizontal="center" vertical="center"/>
    </xf>
    <xf numFmtId="0" fontId="1" fillId="7" borderId="9" xfId="5" applyBorder="1">
      <alignment horizontal="center" vertical="center"/>
    </xf>
    <xf numFmtId="0" fontId="1" fillId="7" borderId="6" xfId="5" applyBorder="1">
      <alignment horizontal="center" vertical="center"/>
    </xf>
    <xf numFmtId="9" fontId="1" fillId="7" borderId="6" xfId="5" applyNumberFormat="1" applyBorder="1">
      <alignment horizontal="center" vertical="center"/>
    </xf>
    <xf numFmtId="9" fontId="5" fillId="7" borderId="5" xfId="5" applyNumberFormat="1" applyFont="1" applyBorder="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1" fontId="0" fillId="0" borderId="12" xfId="0" applyNumberFormat="1" applyBorder="1" applyAlignment="1">
      <alignment horizontal="center" vertical="center"/>
    </xf>
    <xf numFmtId="1" fontId="0" fillId="0" borderId="14" xfId="0" applyNumberFormat="1" applyBorder="1" applyAlignment="1">
      <alignment horizontal="center" vertical="center"/>
    </xf>
    <xf numFmtId="14" fontId="0" fillId="0" borderId="1" xfId="0" applyNumberFormat="1" applyBorder="1" applyAlignment="1">
      <alignment horizontal="center" vertical="center"/>
    </xf>
    <xf numFmtId="1" fontId="0" fillId="0" borderId="13" xfId="0" applyNumberFormat="1"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1" fontId="0" fillId="0" borderId="17" xfId="0" applyNumberFormat="1" applyBorder="1" applyAlignment="1">
      <alignment horizontal="center" vertical="center"/>
    </xf>
    <xf numFmtId="1" fontId="0" fillId="0" borderId="18" xfId="0" applyNumberFormat="1" applyBorder="1" applyAlignment="1">
      <alignment horizontal="center" vertical="center"/>
    </xf>
    <xf numFmtId="0" fontId="0" fillId="0" borderId="18" xfId="0" applyBorder="1" applyAlignment="1">
      <alignment horizontal="center" vertical="center"/>
    </xf>
    <xf numFmtId="165" fontId="0" fillId="0" borderId="6" xfId="0" applyNumberFormat="1" applyBorder="1" applyAlignment="1">
      <alignment horizontal="center" vertical="center"/>
    </xf>
    <xf numFmtId="0" fontId="0" fillId="2" borderId="1" xfId="0" applyFill="1" applyBorder="1" applyAlignment="1">
      <alignment horizontal="center" vertical="center"/>
    </xf>
    <xf numFmtId="0" fontId="0" fillId="0" borderId="4" xfId="0" applyBorder="1"/>
    <xf numFmtId="0" fontId="0" fillId="0" borderId="3" xfId="0" applyBorder="1"/>
    <xf numFmtId="0" fontId="4" fillId="0" borderId="0" xfId="0" applyFont="1" applyAlignment="1">
      <alignment horizontal="center" vertical="center"/>
    </xf>
    <xf numFmtId="0" fontId="0" fillId="0" borderId="0" xfId="0" applyAlignment="1">
      <alignment horizontal="center" vertical="center"/>
    </xf>
    <xf numFmtId="0" fontId="0" fillId="0" borderId="0" xfId="0"/>
  </cellXfs>
  <cellStyles count="6">
    <cellStyle name="Blue" xfId="1" xr:uid="{00000000-0005-0000-0000-000001000000}"/>
    <cellStyle name="Bronze" xfId="2" xr:uid="{00000000-0005-0000-0000-000002000000}"/>
    <cellStyle name="Diamond" xfId="5" xr:uid="{00000000-0005-0000-0000-000005000000}"/>
    <cellStyle name="Gold" xfId="4" xr:uid="{00000000-0005-0000-0000-000004000000}"/>
    <cellStyle name="Normal" xfId="0" builtinId="0"/>
    <cellStyle name="Silver" xfId="3" xr:uid="{00000000-0005-0000-0000-000003000000}"/>
  </cellStyles>
  <dxfs count="115">
    <dxf>
      <fill>
        <patternFill>
          <bgColor rgb="FFD9B3FF"/>
        </patternFill>
      </fill>
    </dxf>
    <dxf>
      <fill>
        <patternFill>
          <bgColor rgb="FFFFD966"/>
        </patternFill>
      </fill>
    </dxf>
    <dxf>
      <fill>
        <patternFill>
          <bgColor rgb="FFDBDBDB"/>
        </patternFill>
      </fill>
    </dxf>
    <dxf>
      <fill>
        <patternFill>
          <bgColor rgb="FFF4B084"/>
        </patternFill>
      </fill>
    </dxf>
    <dxf>
      <fill>
        <patternFill>
          <bgColor rgb="FF8EA9DB"/>
        </patternFill>
      </fill>
    </dxf>
    <dxf>
      <fill>
        <patternFill>
          <bgColor rgb="FFD9B3FF"/>
        </patternFill>
      </fill>
    </dxf>
    <dxf>
      <fill>
        <patternFill>
          <bgColor rgb="FFFFD966"/>
        </patternFill>
      </fill>
    </dxf>
    <dxf>
      <fill>
        <patternFill>
          <bgColor rgb="FFDBDBDB"/>
        </patternFill>
      </fill>
    </dxf>
    <dxf>
      <fill>
        <patternFill>
          <bgColor rgb="FFF4B084"/>
        </patternFill>
      </fill>
    </dxf>
    <dxf>
      <fill>
        <patternFill>
          <bgColor rgb="FF8EA9DB"/>
        </patternFill>
      </fill>
    </dxf>
    <dxf>
      <fill>
        <patternFill>
          <bgColor rgb="FFD9B3FF"/>
        </patternFill>
      </fill>
    </dxf>
    <dxf>
      <fill>
        <patternFill>
          <bgColor rgb="FFFFD966"/>
        </patternFill>
      </fill>
    </dxf>
    <dxf>
      <fill>
        <patternFill>
          <bgColor rgb="FFDBDBDB"/>
        </patternFill>
      </fill>
    </dxf>
    <dxf>
      <fill>
        <patternFill>
          <bgColor rgb="FFF4B084"/>
        </patternFill>
      </fill>
    </dxf>
    <dxf>
      <fill>
        <patternFill>
          <bgColor rgb="FF8EA9DB"/>
        </patternFill>
      </fill>
    </dxf>
    <dxf>
      <fill>
        <patternFill>
          <bgColor rgb="FFD9B3FF"/>
        </patternFill>
      </fill>
    </dxf>
    <dxf>
      <fill>
        <patternFill>
          <bgColor rgb="FFFFD966"/>
        </patternFill>
      </fill>
    </dxf>
    <dxf>
      <fill>
        <patternFill>
          <bgColor rgb="FFDBDBDB"/>
        </patternFill>
      </fill>
    </dxf>
    <dxf>
      <fill>
        <patternFill>
          <bgColor rgb="FFF4B084"/>
        </patternFill>
      </fill>
    </dxf>
    <dxf>
      <fill>
        <patternFill>
          <bgColor rgb="FF8EA9DB"/>
        </patternFill>
      </fill>
    </dxf>
    <dxf>
      <fill>
        <patternFill>
          <bgColor rgb="FFD9B3FF"/>
        </patternFill>
      </fill>
    </dxf>
    <dxf>
      <fill>
        <patternFill>
          <bgColor rgb="FFFFD966"/>
        </patternFill>
      </fill>
    </dxf>
    <dxf>
      <fill>
        <patternFill>
          <bgColor rgb="FFDBDBDB"/>
        </patternFill>
      </fill>
    </dxf>
    <dxf>
      <fill>
        <patternFill>
          <bgColor rgb="FFF4B084"/>
        </patternFill>
      </fill>
    </dxf>
    <dxf>
      <fill>
        <patternFill>
          <bgColor rgb="FF8EA9DB"/>
        </patternFill>
      </fill>
    </dxf>
    <dxf>
      <fill>
        <patternFill>
          <bgColor rgb="FFD9B3FF"/>
        </patternFill>
      </fill>
    </dxf>
    <dxf>
      <fill>
        <patternFill>
          <bgColor rgb="FFFFD966"/>
        </patternFill>
      </fill>
    </dxf>
    <dxf>
      <fill>
        <patternFill>
          <bgColor rgb="FFDBDBDB"/>
        </patternFill>
      </fill>
    </dxf>
    <dxf>
      <fill>
        <patternFill>
          <bgColor rgb="FFF4B084"/>
        </patternFill>
      </fill>
    </dxf>
    <dxf>
      <fill>
        <patternFill>
          <bgColor rgb="FF8EA9DB"/>
        </patternFill>
      </fill>
    </dxf>
    <dxf>
      <font>
        <strike val="0"/>
        <condense val="0"/>
        <extend val="0"/>
        <outline val="0"/>
        <shadow val="0"/>
        <vertAlign val="baseline"/>
        <sz val="10"/>
        <color theme="1"/>
        <name val="72 Monospace"/>
        <family val="3"/>
      </font>
      <numFmt numFmtId="13" formatCode="0%"/>
      <alignment horizontal="center" vertical="center"/>
      <border outline="0">
        <left style="thin">
          <color indexed="64"/>
        </left>
        <right/>
        <top style="thin">
          <color indexed="64"/>
        </top>
        <bottom style="thin">
          <color indexed="64"/>
        </bottom>
      </border>
    </dxf>
    <dxf>
      <font>
        <strike val="0"/>
        <condense val="0"/>
        <extend val="0"/>
        <outline val="0"/>
        <shadow val="0"/>
        <vertAlign val="baseline"/>
        <sz val="11"/>
        <color theme="1"/>
        <name val="Calibri"/>
        <family val="2"/>
        <scheme val="minor"/>
      </font>
      <numFmt numFmtId="13" formatCode="0%"/>
      <alignment horizontal="center" vertical="center"/>
      <border outline="0">
        <left style="thin">
          <color indexed="64"/>
        </left>
        <right style="thin">
          <color indexed="64"/>
        </right>
        <top style="thin">
          <color indexed="64"/>
        </top>
        <bottom style="thin">
          <color indexed="64"/>
        </bottom>
      </border>
    </dxf>
    <dxf>
      <font>
        <strike val="0"/>
        <condense val="0"/>
        <extend val="0"/>
        <outline val="0"/>
        <shadow val="0"/>
        <vertAlign val="baseline"/>
        <sz val="11"/>
        <color theme="1"/>
        <name val="Calibri"/>
        <family val="2"/>
        <scheme val="minor"/>
      </font>
      <alignment horizontal="center" vertical="center"/>
      <border>
        <left style="thin">
          <color indexed="64"/>
        </left>
        <right style="thin">
          <color indexed="64"/>
        </right>
        <top style="thin">
          <color indexed="64"/>
        </top>
        <bottom style="thin">
          <color indexed="64"/>
        </bottom>
        <vertical/>
        <horizontal/>
      </border>
    </dxf>
    <dxf>
      <font>
        <strike val="0"/>
        <condense val="0"/>
        <extend val="0"/>
        <outline val="0"/>
        <shadow val="0"/>
        <vertAlign val="baseline"/>
        <sz val="11"/>
        <color theme="1"/>
        <name val="Calibri"/>
        <family val="2"/>
        <scheme val="minor"/>
      </font>
      <alignment horizontal="center" vertical="center"/>
      <border>
        <left style="thin">
          <color indexed="64"/>
        </left>
        <right style="thin">
          <color indexed="64"/>
        </right>
        <top style="thin">
          <color indexed="64"/>
        </top>
        <bottom style="thin">
          <color indexed="64"/>
        </bottom>
        <vertical/>
        <horizontal/>
      </border>
    </dxf>
    <dxf>
      <font>
        <strike val="0"/>
        <condense val="0"/>
        <extend val="0"/>
        <outline val="0"/>
        <shadow val="0"/>
        <vertAlign val="baseline"/>
        <sz val="11"/>
        <color theme="1"/>
        <name val="Calibri"/>
        <family val="2"/>
        <scheme val="minor"/>
      </font>
      <alignment horizontal="center" vertical="center"/>
      <border>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strike val="0"/>
        <condense val="0"/>
        <extend val="0"/>
        <outline val="0"/>
        <shadow val="0"/>
        <vertAlign val="baseline"/>
        <sz val="11"/>
        <color theme="1"/>
        <name val="Calibri"/>
        <family val="2"/>
        <scheme val="minor"/>
      </font>
      <fill>
        <patternFill patternType="solid">
          <fgColor indexed="64"/>
          <bgColor theme="2" tint="-9.9978637043366805E-2"/>
        </patternFill>
      </fill>
      <alignment horizontal="center" vertical="center"/>
      <border outline="0">
        <left style="thin">
          <color indexed="64"/>
        </left>
        <right style="thin">
          <color indexed="64"/>
        </right>
        <top/>
        <bottom/>
      </border>
    </dxf>
    <dxf>
      <alignment horizontal="center" vertical="center"/>
      <border>
        <left style="thin">
          <color indexed="64"/>
        </left>
        <right/>
        <top style="thin">
          <color indexed="64"/>
        </top>
        <bottom style="thin">
          <color indexed="64"/>
        </bottom>
      </border>
    </dxf>
    <dxf>
      <alignment horizontal="center" vertical="center"/>
      <border outline="0">
        <left style="thin">
          <color indexed="64"/>
        </left>
        <right style="thin">
          <color indexed="64"/>
        </right>
        <top style="thin">
          <color indexed="64"/>
        </top>
        <bottom style="thin">
          <color indexed="64"/>
        </bottom>
      </border>
    </dxf>
    <dxf>
      <alignment horizontal="center" vertical="center"/>
      <border>
        <left style="thin">
          <color indexed="64"/>
        </left>
        <right style="thin">
          <color indexed="64"/>
        </right>
        <top style="thin">
          <color indexed="64"/>
        </top>
        <bottom style="thin">
          <color indexed="64"/>
        </bottom>
        <vertical/>
        <horizontal/>
      </border>
    </dxf>
    <dxf>
      <alignment horizontal="center" vertical="center"/>
      <border>
        <left style="thin">
          <color indexed="64"/>
        </left>
        <right style="thin">
          <color indexed="64"/>
        </right>
        <top style="thin">
          <color indexed="64"/>
        </top>
        <bottom style="thin">
          <color indexed="64"/>
        </bottom>
        <vertical/>
        <horizontal/>
      </border>
    </dxf>
    <dxf>
      <alignment horizontal="center" vertical="center"/>
      <border>
        <left style="thin">
          <color indexed="64"/>
        </left>
        <right style="thin">
          <color indexed="64"/>
        </right>
        <top style="thin">
          <color indexed="64"/>
        </top>
        <bottom style="thin">
          <color indexed="64"/>
        </bottom>
        <vertical/>
        <horizontal/>
      </border>
    </dxf>
    <dxf>
      <alignment horizontal="center" vertical="center"/>
      <border>
        <left style="thin">
          <color indexed="64"/>
        </left>
        <right style="thin">
          <color indexed="64"/>
        </right>
        <top style="thin">
          <color indexed="64"/>
        </top>
        <bottom style="thin">
          <color indexed="64"/>
        </bottom>
        <vertical/>
        <horizontal/>
      </border>
    </dxf>
    <dxf>
      <alignment horizontal="center" vertical="center"/>
      <border>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alignment horizontal="center" vertical="center"/>
    </dxf>
    <dxf>
      <border outline="0">
        <bottom style="thin">
          <color rgb="FF000000"/>
        </bottom>
      </border>
    </dxf>
    <dxf>
      <fill>
        <patternFill patternType="solid">
          <fgColor indexed="64"/>
          <bgColor theme="6" tint="0.79998168889431442"/>
        </patternFill>
      </fill>
      <alignment horizontal="center" vertical="center"/>
      <border outline="0">
        <left style="thin">
          <color indexed="64"/>
        </left>
        <right style="thin">
          <color indexed="64"/>
        </right>
        <top/>
        <bottom/>
      </border>
    </dxf>
    <dxf>
      <font>
        <strike val="0"/>
        <condense val="0"/>
        <extend val="0"/>
        <outline val="0"/>
        <shadow val="0"/>
        <vertAlign val="baseline"/>
        <sz val="10"/>
        <color theme="1"/>
        <name val="72 Monospace"/>
        <family val="3"/>
      </font>
      <numFmt numFmtId="13" formatCode="0%"/>
      <alignment horizontal="center" vertical="center"/>
      <border outline="0">
        <left style="thin">
          <color indexed="64"/>
        </left>
        <right/>
        <top style="thin">
          <color indexed="64"/>
        </top>
        <bottom style="thin">
          <color indexed="64"/>
        </bottom>
      </border>
    </dxf>
    <dxf>
      <font>
        <strike val="0"/>
        <condense val="0"/>
        <extend val="0"/>
        <outline val="0"/>
        <shadow val="0"/>
        <vertAlign val="baseline"/>
        <sz val="11"/>
        <color theme="1"/>
        <name val="Calibri"/>
        <family val="2"/>
        <scheme val="minor"/>
      </font>
      <numFmt numFmtId="13" formatCode="0%"/>
      <alignment horizontal="center" vertical="center"/>
      <border outline="0">
        <left style="thin">
          <color indexed="64"/>
        </left>
        <right style="thin">
          <color indexed="64"/>
        </right>
        <top style="thin">
          <color indexed="64"/>
        </top>
        <bottom style="thin">
          <color indexed="64"/>
        </bottom>
      </border>
    </dxf>
    <dxf>
      <font>
        <strike val="0"/>
        <condense val="0"/>
        <extend val="0"/>
        <outline val="0"/>
        <shadow val="0"/>
        <vertAlign val="baseline"/>
        <sz val="11"/>
        <color theme="1"/>
        <name val="Calibri"/>
        <family val="2"/>
        <scheme val="minor"/>
      </font>
      <alignment horizontal="center" vertical="center"/>
      <border>
        <left style="thin">
          <color indexed="64"/>
        </left>
        <right style="thin">
          <color indexed="64"/>
        </right>
        <top style="thin">
          <color indexed="64"/>
        </top>
        <bottom style="thin">
          <color indexed="64"/>
        </bottom>
        <vertical/>
        <horizontal/>
      </border>
    </dxf>
    <dxf>
      <font>
        <strike val="0"/>
        <condense val="0"/>
        <extend val="0"/>
        <outline val="0"/>
        <shadow val="0"/>
        <vertAlign val="baseline"/>
        <sz val="11"/>
        <color theme="1"/>
        <name val="Calibri"/>
        <family val="2"/>
        <scheme val="minor"/>
      </font>
      <alignment horizontal="center" vertical="center"/>
      <border>
        <left style="thin">
          <color indexed="64"/>
        </left>
        <right style="thin">
          <color indexed="64"/>
        </right>
        <top style="thin">
          <color indexed="64"/>
        </top>
        <bottom style="thin">
          <color indexed="64"/>
        </bottom>
        <vertical/>
        <horizontal/>
      </border>
    </dxf>
    <dxf>
      <font>
        <strike val="0"/>
        <condense val="0"/>
        <extend val="0"/>
        <outline val="0"/>
        <shadow val="0"/>
        <vertAlign val="baseline"/>
        <sz val="11"/>
        <color theme="1"/>
        <name val="Calibri"/>
        <family val="2"/>
        <scheme val="minor"/>
      </font>
      <alignment horizontal="center" vertical="center"/>
      <border>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strike val="0"/>
        <condense val="0"/>
        <extend val="0"/>
        <outline val="0"/>
        <shadow val="0"/>
        <vertAlign val="baseline"/>
        <sz val="11"/>
        <color theme="1"/>
        <name val="Calibri"/>
        <family val="2"/>
        <scheme val="minor"/>
      </font>
      <fill>
        <patternFill patternType="solid">
          <fgColor indexed="64"/>
          <bgColor theme="2" tint="-9.9978637043366805E-2"/>
        </patternFill>
      </fill>
      <alignment horizontal="center" vertical="center"/>
      <border outline="0">
        <left style="thin">
          <color indexed="64"/>
        </left>
        <right style="thin">
          <color indexed="64"/>
        </right>
        <top/>
        <bottom/>
      </border>
    </dxf>
    <dxf>
      <alignment horizontal="center" vertical="center"/>
      <border>
        <left style="thin">
          <color indexed="64"/>
        </left>
        <right/>
        <top style="thin">
          <color indexed="64"/>
        </top>
        <bottom style="thin">
          <color indexed="64"/>
        </bottom>
      </border>
    </dxf>
    <dxf>
      <alignment horizontal="center" vertical="center"/>
      <border outline="0">
        <left style="thin">
          <color indexed="64"/>
        </left>
        <right style="thin">
          <color indexed="64"/>
        </right>
        <top style="thin">
          <color indexed="64"/>
        </top>
        <bottom style="thin">
          <color indexed="64"/>
        </bottom>
      </border>
    </dxf>
    <dxf>
      <alignment horizontal="center" vertical="center"/>
      <border>
        <left style="thin">
          <color indexed="64"/>
        </left>
        <right style="thin">
          <color indexed="64"/>
        </right>
        <top style="thin">
          <color indexed="64"/>
        </top>
        <bottom style="thin">
          <color indexed="64"/>
        </bottom>
        <vertical/>
        <horizontal/>
      </border>
    </dxf>
    <dxf>
      <alignment horizontal="center" vertical="center"/>
      <border>
        <left style="thin">
          <color indexed="64"/>
        </left>
        <right style="thin">
          <color indexed="64"/>
        </right>
        <top style="thin">
          <color indexed="64"/>
        </top>
        <bottom style="thin">
          <color indexed="64"/>
        </bottom>
        <vertical/>
        <horizontal/>
      </border>
    </dxf>
    <dxf>
      <alignment horizontal="center" vertical="center"/>
      <border>
        <left style="thin">
          <color indexed="64"/>
        </left>
        <right style="thin">
          <color indexed="64"/>
        </right>
        <top style="thin">
          <color indexed="64"/>
        </top>
        <bottom style="thin">
          <color indexed="64"/>
        </bottom>
        <vertical/>
        <horizontal/>
      </border>
    </dxf>
    <dxf>
      <alignment horizontal="center" vertical="center"/>
      <border>
        <left style="thin">
          <color indexed="64"/>
        </left>
        <right style="thin">
          <color indexed="64"/>
        </right>
        <top style="thin">
          <color indexed="64"/>
        </top>
        <bottom style="thin">
          <color indexed="64"/>
        </bottom>
        <vertical/>
        <horizontal/>
      </border>
    </dxf>
    <dxf>
      <alignment horizontal="center" vertical="center"/>
      <border>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alignment horizontal="center" vertical="center"/>
    </dxf>
    <dxf>
      <border outline="0">
        <bottom style="thin">
          <color rgb="FF000000"/>
        </bottom>
      </border>
    </dxf>
    <dxf>
      <fill>
        <patternFill patternType="solid">
          <fgColor indexed="64"/>
          <bgColor theme="6" tint="0.79998168889431442"/>
        </patternFill>
      </fill>
      <alignment horizontal="center" vertical="center"/>
      <border outline="0">
        <left style="thin">
          <color indexed="64"/>
        </left>
        <right style="thin">
          <color indexed="64"/>
        </right>
        <top/>
        <bottom/>
      </border>
    </dxf>
    <dxf>
      <font>
        <strike val="0"/>
        <condense val="0"/>
        <extend val="0"/>
        <outline val="0"/>
        <shadow val="0"/>
        <vertAlign val="baseline"/>
        <sz val="10"/>
        <color theme="1"/>
        <name val="72 Monospace"/>
        <family val="3"/>
      </font>
      <numFmt numFmtId="13" formatCode="0%"/>
      <alignment horizontal="center" vertical="center"/>
      <border outline="0">
        <left style="thin">
          <color indexed="64"/>
        </left>
        <right/>
        <top style="thin">
          <color indexed="64"/>
        </top>
        <bottom style="thin">
          <color indexed="64"/>
        </bottom>
      </border>
    </dxf>
    <dxf>
      <font>
        <strike val="0"/>
        <condense val="0"/>
        <extend val="0"/>
        <outline val="0"/>
        <shadow val="0"/>
        <vertAlign val="baseline"/>
        <sz val="11"/>
        <color theme="1"/>
        <name val="Calibri"/>
        <family val="2"/>
        <scheme val="minor"/>
      </font>
      <numFmt numFmtId="13" formatCode="0%"/>
      <alignment horizontal="center" vertical="center"/>
      <border outline="0">
        <left style="thin">
          <color indexed="64"/>
        </left>
        <right style="thin">
          <color indexed="64"/>
        </right>
        <top style="thin">
          <color indexed="64"/>
        </top>
        <bottom style="thin">
          <color indexed="64"/>
        </bottom>
      </border>
    </dxf>
    <dxf>
      <font>
        <strike val="0"/>
        <condense val="0"/>
        <extend val="0"/>
        <outline val="0"/>
        <shadow val="0"/>
        <vertAlign val="baseline"/>
        <sz val="11"/>
        <color theme="1"/>
        <name val="Calibri"/>
        <family val="2"/>
        <scheme val="minor"/>
      </font>
      <alignment horizontal="center" vertical="center"/>
      <border>
        <left style="thin">
          <color indexed="64"/>
        </left>
        <right style="thin">
          <color indexed="64"/>
        </right>
        <top style="thin">
          <color indexed="64"/>
        </top>
        <bottom style="thin">
          <color indexed="64"/>
        </bottom>
        <vertical/>
        <horizontal/>
      </border>
    </dxf>
    <dxf>
      <font>
        <strike val="0"/>
        <condense val="0"/>
        <extend val="0"/>
        <outline val="0"/>
        <shadow val="0"/>
        <vertAlign val="baseline"/>
        <sz val="11"/>
        <color theme="1"/>
        <name val="Calibri"/>
        <family val="2"/>
        <scheme val="minor"/>
      </font>
      <alignment horizontal="center" vertical="center"/>
      <border>
        <left style="thin">
          <color indexed="64"/>
        </left>
        <right style="thin">
          <color indexed="64"/>
        </right>
        <top style="thin">
          <color indexed="64"/>
        </top>
        <bottom style="thin">
          <color indexed="64"/>
        </bottom>
        <vertical/>
        <horizontal/>
      </border>
    </dxf>
    <dxf>
      <font>
        <strike val="0"/>
        <condense val="0"/>
        <extend val="0"/>
        <outline val="0"/>
        <shadow val="0"/>
        <vertAlign val="baseline"/>
        <sz val="11"/>
        <color theme="1"/>
        <name val="Calibri"/>
        <family val="2"/>
        <scheme val="minor"/>
      </font>
      <alignment horizontal="center" vertical="center"/>
      <border>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strike val="0"/>
        <condense val="0"/>
        <extend val="0"/>
        <outline val="0"/>
        <shadow val="0"/>
        <vertAlign val="baseline"/>
        <sz val="11"/>
        <color theme="1"/>
        <name val="Calibri"/>
        <family val="2"/>
        <scheme val="minor"/>
      </font>
      <fill>
        <patternFill patternType="solid">
          <fgColor indexed="64"/>
          <bgColor theme="2" tint="-9.9978637043366805E-2"/>
        </patternFill>
      </fill>
      <alignment horizontal="center" vertical="center"/>
      <border outline="0">
        <left style="thin">
          <color indexed="64"/>
        </left>
        <right style="thin">
          <color indexed="64"/>
        </right>
        <top/>
        <bottom/>
      </border>
    </dxf>
    <dxf>
      <alignment horizontal="center" vertical="center"/>
      <border>
        <left style="thin">
          <color indexed="64"/>
        </left>
        <right/>
        <top style="thin">
          <color indexed="64"/>
        </top>
        <bottom style="thin">
          <color indexed="64"/>
        </bottom>
      </border>
    </dxf>
    <dxf>
      <alignment horizontal="center" vertical="center"/>
      <border outline="0">
        <left style="thin">
          <color indexed="64"/>
        </left>
        <right style="thin">
          <color indexed="64"/>
        </right>
        <top style="thin">
          <color indexed="64"/>
        </top>
        <bottom style="thin">
          <color indexed="64"/>
        </bottom>
      </border>
    </dxf>
    <dxf>
      <alignment horizontal="center" vertical="center"/>
      <border>
        <left style="thin">
          <color indexed="64"/>
        </left>
        <right style="thin">
          <color indexed="64"/>
        </right>
        <top style="thin">
          <color indexed="64"/>
        </top>
        <bottom style="thin">
          <color indexed="64"/>
        </bottom>
        <vertical/>
        <horizontal/>
      </border>
    </dxf>
    <dxf>
      <alignment horizontal="center" vertical="center"/>
      <border>
        <left style="thin">
          <color indexed="64"/>
        </left>
        <right style="thin">
          <color indexed="64"/>
        </right>
        <top style="thin">
          <color indexed="64"/>
        </top>
        <bottom style="thin">
          <color indexed="64"/>
        </bottom>
        <vertical/>
        <horizontal/>
      </border>
    </dxf>
    <dxf>
      <alignment horizontal="center" vertical="center"/>
      <border>
        <left style="thin">
          <color indexed="64"/>
        </left>
        <right style="thin">
          <color indexed="64"/>
        </right>
        <top style="thin">
          <color indexed="64"/>
        </top>
        <bottom style="thin">
          <color indexed="64"/>
        </bottom>
        <vertical/>
        <horizontal/>
      </border>
    </dxf>
    <dxf>
      <alignment horizontal="center" vertical="center"/>
      <border>
        <left style="thin">
          <color indexed="64"/>
        </left>
        <right style="thin">
          <color indexed="64"/>
        </right>
        <top style="thin">
          <color indexed="64"/>
        </top>
        <bottom style="thin">
          <color indexed="64"/>
        </bottom>
        <vertical/>
        <horizontal/>
      </border>
    </dxf>
    <dxf>
      <alignment horizontal="center" vertical="center"/>
      <border>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alignment horizontal="center" vertical="center"/>
    </dxf>
    <dxf>
      <border outline="0">
        <bottom style="thin">
          <color rgb="FF000000"/>
        </bottom>
      </border>
    </dxf>
    <dxf>
      <fill>
        <patternFill patternType="solid">
          <fgColor indexed="64"/>
          <bgColor theme="6" tint="0.79998168889431442"/>
        </patternFill>
      </fill>
      <alignment horizontal="center" vertical="center"/>
      <border outline="0">
        <left style="thin">
          <color indexed="64"/>
        </left>
        <right style="thin">
          <color indexed="64"/>
        </right>
        <top/>
        <bottom/>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thin">
          <color auto="1"/>
        </bottom>
        <vertical style="thin">
          <color auto="1"/>
        </vertical>
        <horizontal style="thin">
          <color auto="1"/>
        </horizontal>
      </border>
    </dxf>
  </dxfs>
  <tableStyles count="22" defaultTableStyle="TableStyleMedium2" defaultPivotStyle="PivotStyleLight16">
    <tableStyle name="Table Style 1" pivot="0" count="1" xr9:uid="{00000000-0011-0000-FFFF-FFFF00000000}">
      <tableStyleElement type="wholeTable" dxfId="114"/>
    </tableStyle>
    <tableStyle name="Table Style 1 10" pivot="0" count="1" xr9:uid="{00000000-0011-0000-FFFF-FFFF01000000}">
      <tableStyleElement type="wholeTable" dxfId="113"/>
    </tableStyle>
    <tableStyle name="Table Style 1 11" pivot="0" count="1" xr9:uid="{00000000-0011-0000-FFFF-FFFF02000000}">
      <tableStyleElement type="wholeTable" dxfId="112"/>
    </tableStyle>
    <tableStyle name="Table Style 1 12" pivot="0" count="1" xr9:uid="{00000000-0011-0000-FFFF-FFFF03000000}">
      <tableStyleElement type="wholeTable" dxfId="111"/>
    </tableStyle>
    <tableStyle name="Table Style 1 13" pivot="0" count="1" xr9:uid="{00000000-0011-0000-FFFF-FFFF04000000}">
      <tableStyleElement type="wholeTable" dxfId="110"/>
    </tableStyle>
    <tableStyle name="Table Style 1 14" pivot="0" count="1" xr9:uid="{00000000-0011-0000-FFFF-FFFF05000000}">
      <tableStyleElement type="wholeTable" dxfId="109"/>
    </tableStyle>
    <tableStyle name="Table Style 1 15" pivot="0" count="1" xr9:uid="{00000000-0011-0000-FFFF-FFFF06000000}">
      <tableStyleElement type="wholeTable" dxfId="108"/>
    </tableStyle>
    <tableStyle name="Table Style 1 16" pivot="0" count="1" xr9:uid="{00000000-0011-0000-FFFF-FFFF07000000}">
      <tableStyleElement type="wholeTable" dxfId="107"/>
    </tableStyle>
    <tableStyle name="Table Style 1 17" pivot="0" count="1" xr9:uid="{00000000-0011-0000-FFFF-FFFF08000000}">
      <tableStyleElement type="wholeTable" dxfId="106"/>
    </tableStyle>
    <tableStyle name="Table Style 1 18" pivot="0" count="1" xr9:uid="{00000000-0011-0000-FFFF-FFFF09000000}">
      <tableStyleElement type="wholeTable" dxfId="105"/>
    </tableStyle>
    <tableStyle name="Table Style 1 19" pivot="0" count="1" xr9:uid="{00000000-0011-0000-FFFF-FFFF0A000000}">
      <tableStyleElement type="wholeTable" dxfId="104"/>
    </tableStyle>
    <tableStyle name="Table Style 1 2" pivot="0" count="1" xr9:uid="{00000000-0011-0000-FFFF-FFFF0B000000}">
      <tableStyleElement type="wholeTable" dxfId="103"/>
    </tableStyle>
    <tableStyle name="Table Style 1 20" pivot="0" count="1" xr9:uid="{00000000-0011-0000-FFFF-FFFF0C000000}">
      <tableStyleElement type="wholeTable" dxfId="102"/>
    </tableStyle>
    <tableStyle name="Table Style 1 21" pivot="0" count="1" xr9:uid="{00000000-0011-0000-FFFF-FFFF0D000000}">
      <tableStyleElement type="wholeTable" dxfId="101"/>
    </tableStyle>
    <tableStyle name="Table Style 1 22" pivot="0" count="1" xr9:uid="{00000000-0011-0000-FFFF-FFFF0E000000}">
      <tableStyleElement type="wholeTable" dxfId="100"/>
    </tableStyle>
    <tableStyle name="Table Style 1 3" pivot="0" count="1" xr9:uid="{00000000-0011-0000-FFFF-FFFF0F000000}">
      <tableStyleElement type="wholeTable" dxfId="99"/>
    </tableStyle>
    <tableStyle name="Table Style 1 4" pivot="0" count="1" xr9:uid="{00000000-0011-0000-FFFF-FFFF10000000}">
      <tableStyleElement type="wholeTable" dxfId="98"/>
    </tableStyle>
    <tableStyle name="Table Style 1 5" pivot="0" count="1" xr9:uid="{00000000-0011-0000-FFFF-FFFF11000000}">
      <tableStyleElement type="wholeTable" dxfId="97"/>
    </tableStyle>
    <tableStyle name="Table Style 1 6" pivot="0" count="1" xr9:uid="{00000000-0011-0000-FFFF-FFFF12000000}">
      <tableStyleElement type="wholeTable" dxfId="96"/>
    </tableStyle>
    <tableStyle name="Table Style 1 7" pivot="0" count="1" xr9:uid="{00000000-0011-0000-FFFF-FFFF13000000}">
      <tableStyleElement type="wholeTable" dxfId="95"/>
    </tableStyle>
    <tableStyle name="Table Style 1 8" pivot="0" count="1" xr9:uid="{00000000-0011-0000-FFFF-FFFF14000000}">
      <tableStyleElement type="wholeTable" dxfId="94"/>
    </tableStyle>
    <tableStyle name="Table Style 1 9" pivot="0" count="1" xr9:uid="{00000000-0011-0000-FFFF-FFFF15000000}">
      <tableStyleElement type="wholeTable" dxfId="9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DistancePointsStefan615" displayName="DistancePointsStefan615" ref="L6:R13" totalsRowShown="0" headerRowDxfId="92" dataDxfId="90" headerRowBorderDxfId="91" tableBorderDxfId="89" totalsRowBorderDxfId="88">
  <autoFilter ref="L6:R13" xr:uid="{00000000-0009-0000-0100-000001000000}">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0000000-0010-0000-0000-000001000000}" name="Lower" dataDxfId="87"/>
    <tableColumn id="2" xr3:uid="{00000000-0010-0000-0000-000002000000}" name="Upper" dataDxfId="86"/>
    <tableColumn id="3" xr3:uid="{00000000-0010-0000-0000-000003000000}" name="Blue" dataDxfId="85" dataCellStyle="Blue"/>
    <tableColumn id="4" xr3:uid="{00000000-0010-0000-0000-000004000000}" name="Bronze" dataDxfId="84" dataCellStyle="Bronze"/>
    <tableColumn id="5" xr3:uid="{00000000-0010-0000-0000-000005000000}" name="Silver" dataDxfId="83" dataCellStyle="Silver"/>
    <tableColumn id="6" xr3:uid="{00000000-0010-0000-0000-000006000000}" name="Gold" dataDxfId="82" dataCellStyle="Gold"/>
    <tableColumn id="7" xr3:uid="{00000000-0010-0000-0000-000007000000}" name="Diamond" dataDxfId="81" dataCellStyle="Diamond"/>
  </tableColumns>
  <tableStyleInfo name="Table Style 1"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DrivingStatusStefan716" displayName="DrivingStatusStefan716" ref="M26:Q31" totalsRowShown="0" headerRowDxfId="80" headerRowBorderDxfId="79" tableBorderDxfId="78" totalsRowBorderDxfId="77">
  <autoFilter ref="M26:Q31" xr:uid="{00000000-0009-0000-0100-000002000000}">
    <filterColumn colId="0" hiddenButton="1"/>
    <filterColumn colId="1" hiddenButton="1"/>
    <filterColumn colId="2" hiddenButton="1"/>
    <filterColumn colId="3" hiddenButton="1"/>
    <filterColumn colId="4" hiddenButton="1"/>
  </autoFilter>
  <tableColumns count="5">
    <tableColumn id="1" xr3:uid="{00000000-0010-0000-0100-000001000000}" name="Lower" dataDxfId="76" dataCellStyle="Silver"/>
    <tableColumn id="2" xr3:uid="{00000000-0010-0000-0100-000002000000}" name="Upper" dataDxfId="75" dataCellStyle="Silver"/>
    <tableColumn id="3" xr3:uid="{00000000-0010-0000-0100-000003000000}" name="Category" dataDxfId="74" dataCellStyle="Silver"/>
    <tableColumn id="4" xr3:uid="{00000000-0010-0000-0100-000004000000}" name="Fuel %" dataDxfId="73" dataCellStyle="Silver"/>
    <tableColumn id="5" xr3:uid="{00000000-0010-0000-0100-000005000000}" name="Color" dataDxfId="72" dataCellStyle="Silver"/>
  </tableColumns>
  <tableStyleInfo name="Table Style 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DistancePointsStefan4" displayName="DistancePointsStefan4" ref="L6:R13" totalsRowShown="0" headerRowDxfId="71" dataDxfId="69" headerRowBorderDxfId="70" tableBorderDxfId="68" totalsRowBorderDxfId="67">
  <autoFilter ref="L6:R13" xr:uid="{00000000-0009-0000-0100-000003000000}">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0000000-0010-0000-0200-000001000000}" name="Lower" dataDxfId="66"/>
    <tableColumn id="2" xr3:uid="{00000000-0010-0000-0200-000002000000}" name="Upper" dataDxfId="65"/>
    <tableColumn id="3" xr3:uid="{00000000-0010-0000-0200-000003000000}" name="Blue" dataDxfId="64" dataCellStyle="Blue"/>
    <tableColumn id="4" xr3:uid="{00000000-0010-0000-0200-000004000000}" name="Bronze" dataDxfId="63" dataCellStyle="Bronze"/>
    <tableColumn id="5" xr3:uid="{00000000-0010-0000-0200-000005000000}" name="Silver" dataDxfId="62" dataCellStyle="Silver"/>
    <tableColumn id="6" xr3:uid="{00000000-0010-0000-0200-000006000000}" name="Gold" dataDxfId="61" dataCellStyle="Gold"/>
    <tableColumn id="7" xr3:uid="{00000000-0010-0000-0200-000007000000}" name="Diamond" dataDxfId="60" dataCellStyle="Diamond"/>
  </tableColumns>
  <tableStyleInfo name="Table Style 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DrivingStatusStefan5" displayName="DrivingStatusStefan5" ref="M26:Q31" totalsRowShown="0" headerRowDxfId="59" headerRowBorderDxfId="58" tableBorderDxfId="57" totalsRowBorderDxfId="56">
  <autoFilter ref="M26:Q31" xr:uid="{00000000-0009-0000-0100-000004000000}">
    <filterColumn colId="0" hiddenButton="1"/>
    <filterColumn colId="1" hiddenButton="1"/>
    <filterColumn colId="2" hiddenButton="1"/>
    <filterColumn colId="3" hiddenButton="1"/>
    <filterColumn colId="4" hiddenButton="1"/>
  </autoFilter>
  <tableColumns count="5">
    <tableColumn id="1" xr3:uid="{00000000-0010-0000-0300-000001000000}" name="Lower" dataDxfId="55" dataCellStyle="Silver"/>
    <tableColumn id="2" xr3:uid="{00000000-0010-0000-0300-000002000000}" name="Upper" dataDxfId="54" dataCellStyle="Silver"/>
    <tableColumn id="3" xr3:uid="{00000000-0010-0000-0300-000003000000}" name="Category" dataDxfId="53" dataCellStyle="Silver"/>
    <tableColumn id="4" xr3:uid="{00000000-0010-0000-0300-000004000000}" name="Fuel %" dataDxfId="52" dataCellStyle="Silver"/>
    <tableColumn id="5" xr3:uid="{00000000-0010-0000-0300-000005000000}" name="Color" dataDxfId="51" dataCellStyle="Silver"/>
  </tableColumns>
  <tableStyleInfo name="Table Style 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DistancePointsStefan2" displayName="DistancePointsStefan2" ref="L6:R13" totalsRowShown="0" headerRowDxfId="50" dataDxfId="48" headerRowBorderDxfId="49" tableBorderDxfId="47" totalsRowBorderDxfId="46">
  <autoFilter ref="L6:R13" xr:uid="{00000000-0009-0000-0100-000005000000}">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0000000-0010-0000-0400-000001000000}" name="Lower" dataDxfId="45"/>
    <tableColumn id="2" xr3:uid="{00000000-0010-0000-0400-000002000000}" name="Upper" dataDxfId="44"/>
    <tableColumn id="3" xr3:uid="{00000000-0010-0000-0400-000003000000}" name="Blue" dataDxfId="43" dataCellStyle="Blue"/>
    <tableColumn id="4" xr3:uid="{00000000-0010-0000-0400-000004000000}" name="Bronze" dataDxfId="42" dataCellStyle="Bronze"/>
    <tableColumn id="5" xr3:uid="{00000000-0010-0000-0400-000005000000}" name="Silver" dataDxfId="41" dataCellStyle="Silver"/>
    <tableColumn id="6" xr3:uid="{00000000-0010-0000-0400-000006000000}" name="Gold" dataDxfId="40" dataCellStyle="Gold"/>
    <tableColumn id="7" xr3:uid="{00000000-0010-0000-0400-000007000000}" name="Diamond" dataDxfId="39" dataCellStyle="Diamond"/>
  </tableColumns>
  <tableStyleInfo name="Table Style 1"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DrivingStatusStefan3" displayName="DrivingStatusStefan3" ref="M26:Q31" totalsRowShown="0" headerRowDxfId="38" headerRowBorderDxfId="37" tableBorderDxfId="36" totalsRowBorderDxfId="35">
  <autoFilter ref="M26:Q31" xr:uid="{00000000-0009-0000-0100-000006000000}">
    <filterColumn colId="0" hiddenButton="1"/>
    <filterColumn colId="1" hiddenButton="1"/>
    <filterColumn colId="2" hiddenButton="1"/>
    <filterColumn colId="3" hiddenButton="1"/>
    <filterColumn colId="4" hiddenButton="1"/>
  </autoFilter>
  <tableColumns count="5">
    <tableColumn id="1" xr3:uid="{00000000-0010-0000-0500-000001000000}" name="Lower" dataDxfId="34" dataCellStyle="Silver"/>
    <tableColumn id="2" xr3:uid="{00000000-0010-0000-0500-000002000000}" name="Upper" dataDxfId="33" dataCellStyle="Silver"/>
    <tableColumn id="3" xr3:uid="{00000000-0010-0000-0500-000003000000}" name="Category" dataDxfId="32" dataCellStyle="Silver"/>
    <tableColumn id="4" xr3:uid="{00000000-0010-0000-0500-000004000000}" name="Fuel %" dataDxfId="31" dataCellStyle="Silver"/>
    <tableColumn id="5" xr3:uid="{00000000-0010-0000-0500-000005000000}" name="Color" dataDxfId="30" dataCellStyle="Silver"/>
  </tableColumns>
  <tableStyleInfo name="Table Style 1" showFirstColumn="0" showLastColumn="0" showRowStripes="0"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table" Target="../tables/table3.xml"/></Relationships>
</file>

<file path=xl/worksheets/_rels/sheet3.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0">
    <pageSetUpPr fitToPage="1"/>
  </sheetPr>
  <dimension ref="B2:AC34"/>
  <sheetViews>
    <sheetView zoomScaleNormal="100" workbookViewId="0">
      <selection activeCell="G14" sqref="G14"/>
    </sheetView>
  </sheetViews>
  <sheetFormatPr defaultColWidth="8.85546875" defaultRowHeight="15" x14ac:dyDescent="0.25"/>
  <cols>
    <col min="1" max="1" width="2.7109375" style="2" customWidth="1"/>
    <col min="2" max="2" width="25.140625" style="2" bestFit="1" customWidth="1"/>
    <col min="3" max="3" width="9.7109375" style="2" customWidth="1"/>
    <col min="4" max="4" width="2.7109375" style="2" customWidth="1"/>
    <col min="5" max="5" width="16.140625" customWidth="1"/>
    <col min="6" max="6" width="11.140625" style="2" bestFit="1" customWidth="1"/>
    <col min="7" max="7" width="9.7109375" style="2" customWidth="1"/>
    <col min="8" max="8" width="2.7109375" style="2" customWidth="1"/>
    <col min="9" max="9" width="22.42578125" style="2" customWidth="1"/>
    <col min="10" max="10" width="10.7109375" style="2" customWidth="1"/>
    <col min="11" max="11" width="2.7109375" style="2" customWidth="1"/>
    <col min="12" max="14" width="9.7109375" style="2" customWidth="1"/>
    <col min="15" max="15" width="10.5703125" style="2" customWidth="1"/>
    <col min="16" max="17" width="9.7109375" style="2" customWidth="1"/>
    <col min="18" max="18" width="11.42578125" style="2" customWidth="1"/>
    <col min="19" max="19" width="2.7109375" style="2" customWidth="1"/>
    <col min="20" max="20" width="9.7109375" style="5" customWidth="1"/>
    <col min="21" max="23" width="9.7109375" style="2" customWidth="1"/>
    <col min="24" max="35" width="8.85546875" style="2" customWidth="1"/>
    <col min="36" max="16384" width="8.85546875" style="2"/>
  </cols>
  <sheetData>
    <row r="2" spans="2:29" ht="14.45" customHeight="1" x14ac:dyDescent="0.25">
      <c r="B2" s="69" t="str">
        <f>_xlfn.CONCAT("Drive Summary ",J13, " ",TEXT(J14, "mmmm yyyy"))</f>
        <v>Drive Summary Stefan May 2025</v>
      </c>
      <c r="C2" s="70"/>
      <c r="D2" s="70"/>
      <c r="E2" s="71"/>
      <c r="F2" s="70"/>
      <c r="G2" s="70"/>
      <c r="H2" s="13"/>
    </row>
    <row r="3" spans="2:29" ht="14.45" customHeight="1" x14ac:dyDescent="0.25">
      <c r="B3" s="70"/>
      <c r="C3" s="70"/>
      <c r="D3" s="70"/>
      <c r="E3" s="71"/>
      <c r="F3" s="70"/>
      <c r="G3" s="70"/>
      <c r="H3" s="13"/>
    </row>
    <row r="5" spans="2:29" x14ac:dyDescent="0.25">
      <c r="B5" s="14" t="s">
        <v>0</v>
      </c>
      <c r="C5" s="15" t="s">
        <v>1</v>
      </c>
      <c r="E5" s="14" t="str">
        <f ca="1">TEXT(TODAY(), "mmmm yyyy")</f>
        <v>June 2025</v>
      </c>
      <c r="F5" s="14" t="s">
        <v>2</v>
      </c>
      <c r="G5" s="16" t="s">
        <v>3</v>
      </c>
      <c r="I5" s="66" t="s">
        <v>4</v>
      </c>
      <c r="J5" s="68"/>
      <c r="L5" s="66" t="s">
        <v>5</v>
      </c>
      <c r="M5" s="67"/>
      <c r="N5" s="67"/>
      <c r="O5" s="67"/>
      <c r="P5" s="67"/>
      <c r="Q5" s="67"/>
      <c r="R5" s="68"/>
      <c r="AB5" s="70"/>
      <c r="AC5" s="70"/>
    </row>
    <row r="6" spans="2:29" x14ac:dyDescent="0.25">
      <c r="B6" s="1" t="s">
        <v>6</v>
      </c>
      <c r="C6" s="6">
        <f>MIN(1500, IF($C$13,G7,G6+G9))</f>
        <v>1500</v>
      </c>
      <c r="E6" s="1" t="s">
        <v>7</v>
      </c>
      <c r="F6" s="6">
        <f>J9</f>
        <v>1614.9259999999999</v>
      </c>
      <c r="G6" s="17">
        <f>J33</f>
        <v>1542</v>
      </c>
      <c r="I6" s="1" t="s">
        <v>8</v>
      </c>
      <c r="J6" s="1">
        <v>8</v>
      </c>
      <c r="L6" s="16" t="s">
        <v>9</v>
      </c>
      <c r="M6" s="16" t="s">
        <v>10</v>
      </c>
      <c r="N6" s="18" t="s">
        <v>11</v>
      </c>
      <c r="O6" s="19" t="s">
        <v>12</v>
      </c>
      <c r="P6" s="20" t="s">
        <v>13</v>
      </c>
      <c r="Q6" s="21" t="s">
        <v>14</v>
      </c>
      <c r="R6" s="22" t="s">
        <v>15</v>
      </c>
      <c r="AB6" s="8"/>
      <c r="AC6" s="8"/>
    </row>
    <row r="7" spans="2:29" x14ac:dyDescent="0.25">
      <c r="B7" s="1" t="s">
        <v>16</v>
      </c>
      <c r="C7" s="6">
        <f>J15</f>
        <v>300</v>
      </c>
      <c r="D7" s="3"/>
      <c r="E7" s="1" t="s">
        <v>17</v>
      </c>
      <c r="F7" s="6">
        <f>F6/J23*J22</f>
        <v>1614.9259999999999</v>
      </c>
      <c r="G7" s="6">
        <f>G6/J23*J22</f>
        <v>1542</v>
      </c>
      <c r="I7" s="1" t="s">
        <v>18</v>
      </c>
      <c r="J7" s="1">
        <v>0</v>
      </c>
      <c r="L7" s="11">
        <v>0</v>
      </c>
      <c r="M7" s="1">
        <v>299</v>
      </c>
      <c r="N7" s="23">
        <v>300</v>
      </c>
      <c r="O7" s="24">
        <v>300</v>
      </c>
      <c r="P7" s="25">
        <v>300</v>
      </c>
      <c r="Q7" s="26">
        <v>300</v>
      </c>
      <c r="R7" s="27">
        <v>300</v>
      </c>
      <c r="AB7" s="3"/>
    </row>
    <row r="8" spans="2:29" ht="15" customHeight="1" thickBot="1" x14ac:dyDescent="0.3">
      <c r="B8" s="1" t="s">
        <v>19</v>
      </c>
      <c r="C8" s="6">
        <f>300-J7</f>
        <v>300</v>
      </c>
      <c r="E8" s="10" t="s">
        <v>20</v>
      </c>
      <c r="F8" s="65">
        <f>F6/J23</f>
        <v>52.094387096774192</v>
      </c>
      <c r="G8" s="65">
        <f>G6/J23</f>
        <v>49.741935483870968</v>
      </c>
      <c r="I8" s="1" t="s">
        <v>21</v>
      </c>
      <c r="J8" s="1">
        <v>4</v>
      </c>
      <c r="L8" s="11">
        <v>300</v>
      </c>
      <c r="M8" s="1">
        <v>599</v>
      </c>
      <c r="N8" s="23">
        <v>100</v>
      </c>
      <c r="O8" s="24">
        <v>150</v>
      </c>
      <c r="P8" s="25">
        <v>200</v>
      </c>
      <c r="Q8" s="26">
        <v>250</v>
      </c>
      <c r="R8" s="27">
        <v>300</v>
      </c>
    </row>
    <row r="9" spans="2:29" ht="15.75" customHeight="1" thickTop="1" x14ac:dyDescent="0.25">
      <c r="B9" s="1" t="s">
        <v>5</v>
      </c>
      <c r="C9" s="6">
        <f>VLOOKUP(IF(C13,F7,F6),N17:P23,3)</f>
        <v>250</v>
      </c>
      <c r="E9" s="64" t="s">
        <v>22</v>
      </c>
      <c r="F9" s="63" t="str">
        <f>IF(J27&gt;=M13, "Unlimited", J27-F6)</f>
        <v>Unlimited</v>
      </c>
      <c r="G9" s="63">
        <f>50*J24 + IF(J22&lt;30,(30-J22)*G8,0)</f>
        <v>0</v>
      </c>
      <c r="I9" s="1" t="s">
        <v>2</v>
      </c>
      <c r="J9" s="6">
        <v>1614.9259999999999</v>
      </c>
      <c r="L9" s="11">
        <v>600</v>
      </c>
      <c r="M9" s="1">
        <v>899</v>
      </c>
      <c r="N9" s="23">
        <v>75</v>
      </c>
      <c r="O9" s="24">
        <v>100</v>
      </c>
      <c r="P9" s="25">
        <v>150</v>
      </c>
      <c r="Q9" s="26">
        <v>200</v>
      </c>
      <c r="R9" s="27">
        <v>300</v>
      </c>
    </row>
    <row r="10" spans="2:29" x14ac:dyDescent="0.25">
      <c r="B10" s="1" t="s">
        <v>23</v>
      </c>
      <c r="C10" s="6">
        <f>J16</f>
        <v>300</v>
      </c>
      <c r="E10" s="7"/>
      <c r="L10" s="11">
        <v>900</v>
      </c>
      <c r="M10" s="1">
        <v>1199</v>
      </c>
      <c r="N10" s="23">
        <v>50</v>
      </c>
      <c r="O10" s="24">
        <v>75</v>
      </c>
      <c r="P10" s="25">
        <v>100</v>
      </c>
      <c r="Q10" s="26">
        <v>175</v>
      </c>
      <c r="R10" s="27">
        <v>300</v>
      </c>
    </row>
    <row r="11" spans="2:29" x14ac:dyDescent="0.25">
      <c r="B11" s="1" t="s">
        <v>24</v>
      </c>
      <c r="C11" s="6">
        <f>SUM(C6:C10)</f>
        <v>2650</v>
      </c>
      <c r="I11" s="66" t="s">
        <v>25</v>
      </c>
      <c r="J11" s="68"/>
      <c r="L11" s="11">
        <v>1200</v>
      </c>
      <c r="M11" s="1">
        <v>1499</v>
      </c>
      <c r="N11" s="23">
        <v>25</v>
      </c>
      <c r="O11" s="24">
        <v>50</v>
      </c>
      <c r="P11" s="25">
        <v>75</v>
      </c>
      <c r="Q11" s="26">
        <v>125</v>
      </c>
      <c r="R11" s="27">
        <v>300</v>
      </c>
    </row>
    <row r="12" spans="2:29" x14ac:dyDescent="0.25">
      <c r="B12" s="1" t="s">
        <v>26</v>
      </c>
      <c r="C12" s="1" t="str">
        <f>VLOOKUP(C11,M27:O31,3,TRUE)</f>
        <v>Diamond</v>
      </c>
      <c r="D12" s="3"/>
      <c r="I12" s="16" t="s">
        <v>0</v>
      </c>
      <c r="J12" s="16" t="s">
        <v>1</v>
      </c>
      <c r="L12" s="11">
        <v>1500</v>
      </c>
      <c r="M12" s="1">
        <v>1799</v>
      </c>
      <c r="N12" s="23">
        <v>10</v>
      </c>
      <c r="O12" s="24">
        <v>25</v>
      </c>
      <c r="P12" s="25">
        <v>50</v>
      </c>
      <c r="Q12" s="26">
        <v>100</v>
      </c>
      <c r="R12" s="27">
        <v>250</v>
      </c>
      <c r="T12" s="2"/>
      <c r="Z12" s="8"/>
    </row>
    <row r="13" spans="2:29" x14ac:dyDescent="0.25">
      <c r="B13" s="1" t="s">
        <v>27</v>
      </c>
      <c r="C13" s="1" t="b">
        <v>0</v>
      </c>
      <c r="I13" s="1" t="s">
        <v>28</v>
      </c>
      <c r="J13" s="1" t="s">
        <v>29</v>
      </c>
      <c r="L13" s="12">
        <v>1800</v>
      </c>
      <c r="M13" s="10">
        <v>1800</v>
      </c>
      <c r="N13" s="29">
        <v>5</v>
      </c>
      <c r="O13" s="30">
        <v>10</v>
      </c>
      <c r="P13" s="31">
        <v>25</v>
      </c>
      <c r="Q13" s="32">
        <v>60</v>
      </c>
      <c r="R13" s="33">
        <v>100</v>
      </c>
      <c r="Z13" s="8"/>
      <c r="AA13" s="3"/>
    </row>
    <row r="14" spans="2:29" x14ac:dyDescent="0.25">
      <c r="I14" s="1" t="s">
        <v>30</v>
      </c>
      <c r="J14" s="58">
        <v>45808</v>
      </c>
    </row>
    <row r="15" spans="2:29" x14ac:dyDescent="0.25">
      <c r="D15" s="4"/>
      <c r="I15" s="28" t="s">
        <v>16</v>
      </c>
      <c r="J15" s="6">
        <v>300</v>
      </c>
      <c r="N15" s="66" t="str">
        <f>_xlfn.CONCAT("Distance Points for ",J17)</f>
        <v>Distance Points for Diamond</v>
      </c>
      <c r="O15" s="67"/>
      <c r="P15" s="68"/>
      <c r="V15" s="9"/>
      <c r="AA15" s="3"/>
      <c r="AB15" s="3"/>
    </row>
    <row r="16" spans="2:29" x14ac:dyDescent="0.25">
      <c r="I16" s="28" t="s">
        <v>23</v>
      </c>
      <c r="J16" s="28">
        <v>300</v>
      </c>
      <c r="N16" s="16" t="s">
        <v>9</v>
      </c>
      <c r="O16" s="16" t="s">
        <v>10</v>
      </c>
      <c r="P16" s="16" t="s">
        <v>3</v>
      </c>
    </row>
    <row r="17" spans="9:17" ht="14.45" customHeight="1" x14ac:dyDescent="0.25">
      <c r="I17" s="6" t="s">
        <v>31</v>
      </c>
      <c r="J17" s="6" t="s">
        <v>15</v>
      </c>
      <c r="N17" s="1">
        <f t="array" ref="N17:N23">DistancePointsStefan615[Lower]</f>
        <v>0</v>
      </c>
      <c r="O17" s="1">
        <f t="array" ref="O17:O23">DistancePointsStefan615[Upper]</f>
        <v>299</v>
      </c>
      <c r="P17" s="1">
        <f t="array" ref="P17:P23">_xlfn.XLOOKUP(J17,DistancePointsStefan615[#Headers],DistancePointsStefan615[])</f>
        <v>300</v>
      </c>
    </row>
    <row r="18" spans="9:17" x14ac:dyDescent="0.25">
      <c r="I18" s="6" t="s">
        <v>32</v>
      </c>
      <c r="J18" s="1">
        <v>50</v>
      </c>
      <c r="N18" s="1">
        <v>300</v>
      </c>
      <c r="O18" s="1">
        <v>599</v>
      </c>
      <c r="P18" s="1">
        <v>300</v>
      </c>
    </row>
    <row r="19" spans="9:17" x14ac:dyDescent="0.25">
      <c r="N19" s="1">
        <v>600</v>
      </c>
      <c r="O19" s="1">
        <v>899</v>
      </c>
      <c r="P19" s="1">
        <v>300</v>
      </c>
    </row>
    <row r="20" spans="9:17" x14ac:dyDescent="0.25">
      <c r="I20" s="66" t="s">
        <v>33</v>
      </c>
      <c r="J20" s="68"/>
      <c r="N20" s="1">
        <v>900</v>
      </c>
      <c r="O20" s="1">
        <v>1199</v>
      </c>
      <c r="P20" s="1">
        <v>300</v>
      </c>
    </row>
    <row r="21" spans="9:17" x14ac:dyDescent="0.25">
      <c r="I21" s="16" t="s">
        <v>0</v>
      </c>
      <c r="J21" s="16" t="s">
        <v>1</v>
      </c>
      <c r="N21" s="1">
        <v>1200</v>
      </c>
      <c r="O21" s="1">
        <v>1499</v>
      </c>
      <c r="P21" s="1">
        <v>300</v>
      </c>
    </row>
    <row r="22" spans="9:17" x14ac:dyDescent="0.25">
      <c r="I22" s="52" t="str">
        <f>_xlfn.CONCAT("Days ",TEXT(J14, "mmm yyyy"))</f>
        <v>Days May 2025</v>
      </c>
      <c r="J22" s="55">
        <f>DAY(EOMONTH(J14, 0))</f>
        <v>31</v>
      </c>
      <c r="N22" s="1">
        <v>1500</v>
      </c>
      <c r="O22" s="1">
        <v>1799</v>
      </c>
      <c r="P22" s="1">
        <v>250</v>
      </c>
    </row>
    <row r="23" spans="9:17" x14ac:dyDescent="0.25">
      <c r="I23" s="52" t="s">
        <v>34</v>
      </c>
      <c r="J23" s="55">
        <f>DAY(J14)</f>
        <v>31</v>
      </c>
      <c r="N23" s="1">
        <v>1800</v>
      </c>
      <c r="O23" s="1">
        <v>1800</v>
      </c>
      <c r="P23" s="1">
        <v>100</v>
      </c>
    </row>
    <row r="24" spans="9:17" x14ac:dyDescent="0.25">
      <c r="I24" s="51" t="s">
        <v>35</v>
      </c>
      <c r="J24" s="54">
        <f>J22-J23</f>
        <v>0</v>
      </c>
    </row>
    <row r="25" spans="9:17" x14ac:dyDescent="0.25">
      <c r="I25" s="53" t="s">
        <v>36</v>
      </c>
      <c r="J25" s="56">
        <f>C11-VLOOKUP(C11,M27:O31,1,TRUE)</f>
        <v>150</v>
      </c>
      <c r="M25" s="66" t="s">
        <v>37</v>
      </c>
      <c r="N25" s="67"/>
      <c r="O25" s="67"/>
      <c r="P25" s="67"/>
      <c r="Q25" s="68"/>
    </row>
    <row r="26" spans="9:17" x14ac:dyDescent="0.25">
      <c r="I26" s="55" t="s">
        <v>38</v>
      </c>
      <c r="J26" s="57">
        <f>MAX(0,C9-J25)</f>
        <v>100</v>
      </c>
      <c r="M26" s="16" t="s">
        <v>9</v>
      </c>
      <c r="N26" s="16" t="s">
        <v>10</v>
      </c>
      <c r="O26" s="16" t="s">
        <v>39</v>
      </c>
      <c r="P26" s="16" t="s">
        <v>40</v>
      </c>
      <c r="Q26" s="16" t="s">
        <v>41</v>
      </c>
    </row>
    <row r="27" spans="9:17" x14ac:dyDescent="0.25">
      <c r="I27" s="54" t="s">
        <v>42</v>
      </c>
      <c r="J27" s="54">
        <f t="array" ref="J27">MAX(_xlfn._xlws.FILTER(_xlfn.ANCHORARRAY(O17),_xlfn.ANCHORARRAY( P17)&gt;=J26))</f>
        <v>1800</v>
      </c>
      <c r="M27" s="34">
        <v>0</v>
      </c>
      <c r="N27" s="23">
        <v>799</v>
      </c>
      <c r="O27" s="23" t="s">
        <v>11</v>
      </c>
      <c r="P27" s="35">
        <v>0.05</v>
      </c>
      <c r="Q27" s="36" t="s">
        <v>43</v>
      </c>
    </row>
    <row r="28" spans="9:17" x14ac:dyDescent="0.25">
      <c r="I28" s="62" t="s">
        <v>32</v>
      </c>
      <c r="J28" s="62">
        <f>IF(ISBLANK(J18),ROUND(50-J6/J23,0),J18)</f>
        <v>50</v>
      </c>
      <c r="M28" s="37">
        <v>800</v>
      </c>
      <c r="N28" s="24">
        <v>1599</v>
      </c>
      <c r="O28" s="24" t="s">
        <v>12</v>
      </c>
      <c r="P28" s="38">
        <v>0.1</v>
      </c>
      <c r="Q28" s="39" t="s">
        <v>44</v>
      </c>
    </row>
    <row r="29" spans="9:17" x14ac:dyDescent="0.25">
      <c r="I29" s="61" t="s">
        <v>45</v>
      </c>
      <c r="J29" s="61">
        <f>J8</f>
        <v>4</v>
      </c>
      <c r="M29" s="40">
        <v>1600</v>
      </c>
      <c r="N29" s="25">
        <v>2199</v>
      </c>
      <c r="O29" s="25" t="s">
        <v>13</v>
      </c>
      <c r="P29" s="41">
        <v>0.2</v>
      </c>
      <c r="Q29" s="42" t="s">
        <v>46</v>
      </c>
    </row>
    <row r="30" spans="9:17" x14ac:dyDescent="0.25">
      <c r="I30" s="60" t="s">
        <v>47</v>
      </c>
      <c r="J30" s="60">
        <f>J29*J28</f>
        <v>200</v>
      </c>
      <c r="M30" s="43">
        <v>2200</v>
      </c>
      <c r="N30" s="44">
        <v>2499</v>
      </c>
      <c r="O30" s="44" t="s">
        <v>14</v>
      </c>
      <c r="P30" s="45">
        <v>0.35</v>
      </c>
      <c r="Q30" s="46" t="s">
        <v>48</v>
      </c>
    </row>
    <row r="31" spans="9:17" x14ac:dyDescent="0.25">
      <c r="I31" s="53" t="s">
        <v>49</v>
      </c>
      <c r="J31" s="53">
        <f>J23-J29</f>
        <v>27</v>
      </c>
      <c r="M31" s="47">
        <v>2500</v>
      </c>
      <c r="N31" s="48">
        <v>3000</v>
      </c>
      <c r="O31" s="48" t="s">
        <v>15</v>
      </c>
      <c r="P31" s="49">
        <v>0.5</v>
      </c>
      <c r="Q31" s="50" t="s">
        <v>50</v>
      </c>
    </row>
    <row r="32" spans="9:17" x14ac:dyDescent="0.25">
      <c r="I32" s="54" t="s">
        <v>51</v>
      </c>
      <c r="J32" s="59">
        <f>50*J31-J6</f>
        <v>1342</v>
      </c>
    </row>
    <row r="33" spans="9:10" x14ac:dyDescent="0.25">
      <c r="I33" s="1" t="s">
        <v>6</v>
      </c>
      <c r="J33" s="6">
        <f>J30+J32</f>
        <v>1542</v>
      </c>
    </row>
    <row r="34" spans="9:10" x14ac:dyDescent="0.25">
      <c r="I34" s="1" t="s">
        <v>52</v>
      </c>
      <c r="J34" s="6">
        <f>J33+SUM(C7:C10)</f>
        <v>2692</v>
      </c>
    </row>
  </sheetData>
  <mergeCells count="8">
    <mergeCell ref="AB5:AC5"/>
    <mergeCell ref="I5:J5"/>
    <mergeCell ref="N15:P15"/>
    <mergeCell ref="B2:G3"/>
    <mergeCell ref="L5:R5"/>
    <mergeCell ref="I20:J20"/>
    <mergeCell ref="M25:Q25"/>
    <mergeCell ref="I11:J11"/>
  </mergeCells>
  <conditionalFormatting sqref="B11:C12">
    <cfRule type="expression" dxfId="29" priority="1">
      <formula>$C$12="Blue"</formula>
    </cfRule>
    <cfRule type="expression" dxfId="28" priority="2">
      <formula>$C$12="Bronze"</formula>
    </cfRule>
    <cfRule type="expression" dxfId="27" priority="3">
      <formula>$C$12="Silver"</formula>
    </cfRule>
    <cfRule type="expression" dxfId="26" priority="4">
      <formula>$C$12="Gold"</formula>
    </cfRule>
    <cfRule type="expression" dxfId="25" priority="5">
      <formula>$C$12="Diamond"</formula>
    </cfRule>
  </conditionalFormatting>
  <conditionalFormatting sqref="P17:P23">
    <cfRule type="expression" dxfId="24" priority="6">
      <formula>$J$17="Blue"</formula>
    </cfRule>
    <cfRule type="expression" dxfId="23" priority="7">
      <formula>$J$17="Bronze"</formula>
    </cfRule>
    <cfRule type="expression" dxfId="22" priority="8">
      <formula>$J$17="Silver"</formula>
    </cfRule>
    <cfRule type="expression" dxfId="21" priority="9">
      <formula>$J$17="Gold"</formula>
    </cfRule>
    <cfRule type="expression" dxfId="20" priority="10">
      <formula>$J$17="Diamond"</formula>
    </cfRule>
  </conditionalFormatting>
  <dataValidations count="2">
    <dataValidation allowBlank="1" showInputMessage="1" showErrorMessage="1" prompt="The predicted status gives a realistic prediction of the driving status. If the prediction is disable, best case scenario is assumed, which is 50 point drive days and the distance remains in the same bracket." sqref="C13" xr:uid="{00000000-0002-0000-0000-000000000000}"/>
    <dataValidation type="whole" allowBlank="1" showInputMessage="1" showErrorMessage="1" prompt="Enter a value here to overwrite the No-Drive Day calculation" sqref="J18" xr:uid="{00000000-0002-0000-0000-000001000000}">
      <formula1>0</formula1>
      <formula2>50</formula2>
    </dataValidation>
  </dataValidations>
  <pageMargins left="0.7" right="0.7" top="0.75" bottom="0.75" header="0.3" footer="0.3"/>
  <pageSetup scale="32" orientation="portrait"/>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9">
    <pageSetUpPr fitToPage="1"/>
  </sheetPr>
  <dimension ref="B2:AC34"/>
  <sheetViews>
    <sheetView tabSelected="1" zoomScaleNormal="100" workbookViewId="0">
      <selection activeCell="I1" sqref="I1"/>
    </sheetView>
  </sheetViews>
  <sheetFormatPr defaultColWidth="8.85546875" defaultRowHeight="15" x14ac:dyDescent="0.25"/>
  <cols>
    <col min="1" max="1" width="2.7109375" style="2" customWidth="1"/>
    <col min="2" max="2" width="25.140625" style="2" bestFit="1" customWidth="1"/>
    <col min="3" max="3" width="9.7109375" style="2" customWidth="1"/>
    <col min="4" max="4" width="2.7109375" style="2" customWidth="1"/>
    <col min="5" max="5" width="16.140625" customWidth="1"/>
    <col min="6" max="6" width="11.140625" style="2" bestFit="1" customWidth="1"/>
    <col min="7" max="7" width="9.7109375" style="2" customWidth="1"/>
    <col min="8" max="8" width="2.7109375" style="2" customWidth="1"/>
    <col min="9" max="9" width="22.42578125" style="2" customWidth="1"/>
    <col min="10" max="10" width="10.7109375" style="2" customWidth="1"/>
    <col min="11" max="11" width="2.7109375" style="2" customWidth="1"/>
    <col min="12" max="14" width="9.7109375" style="2" customWidth="1"/>
    <col min="15" max="15" width="10.5703125" style="2" customWidth="1"/>
    <col min="16" max="17" width="9.7109375" style="2" customWidth="1"/>
    <col min="18" max="18" width="11.42578125" style="2" customWidth="1"/>
    <col min="19" max="19" width="2.7109375" style="2" customWidth="1"/>
    <col min="20" max="20" width="9.7109375" style="5" customWidth="1"/>
    <col min="21" max="23" width="9.7109375" style="2" customWidth="1"/>
    <col min="24" max="35" width="8.85546875" style="2" customWidth="1"/>
    <col min="36" max="16384" width="8.85546875" style="2"/>
  </cols>
  <sheetData>
    <row r="2" spans="2:29" ht="14.45" customHeight="1" x14ac:dyDescent="0.25">
      <c r="B2" s="69" t="str">
        <f>_xlfn.CONCAT("Drive Summary ",J13, " ",TEXT(J14, "mmmm yyyy"))</f>
        <v>Drive Summary Christiaan May 2025</v>
      </c>
      <c r="C2" s="70"/>
      <c r="D2" s="70"/>
      <c r="E2" s="71"/>
      <c r="F2" s="70"/>
      <c r="G2" s="70"/>
      <c r="H2" s="13"/>
    </row>
    <row r="3" spans="2:29" ht="14.45" customHeight="1" x14ac:dyDescent="0.25">
      <c r="B3" s="70"/>
      <c r="C3" s="70"/>
      <c r="D3" s="70"/>
      <c r="E3" s="71"/>
      <c r="F3" s="70"/>
      <c r="G3" s="70"/>
      <c r="H3" s="13"/>
    </row>
    <row r="5" spans="2:29" x14ac:dyDescent="0.25">
      <c r="B5" s="14" t="s">
        <v>0</v>
      </c>
      <c r="C5" s="15" t="s">
        <v>1</v>
      </c>
      <c r="E5" s="14" t="str">
        <f ca="1">TEXT(TODAY(), "mmmm yyyy")</f>
        <v>June 2025</v>
      </c>
      <c r="F5" s="14" t="s">
        <v>2</v>
      </c>
      <c r="G5" s="16" t="s">
        <v>3</v>
      </c>
      <c r="I5" s="66" t="s">
        <v>4</v>
      </c>
      <c r="J5" s="68"/>
      <c r="L5" s="66" t="s">
        <v>5</v>
      </c>
      <c r="M5" s="67"/>
      <c r="N5" s="67"/>
      <c r="O5" s="67"/>
      <c r="P5" s="67"/>
      <c r="Q5" s="67"/>
      <c r="R5" s="68"/>
      <c r="AB5" s="70"/>
      <c r="AC5" s="70"/>
    </row>
    <row r="6" spans="2:29" x14ac:dyDescent="0.25">
      <c r="B6" s="1" t="s">
        <v>6</v>
      </c>
      <c r="C6" s="6">
        <f>MIN(1500, IF($C$13,G7,G6+G9))</f>
        <v>1500</v>
      </c>
      <c r="E6" s="1" t="s">
        <v>7</v>
      </c>
      <c r="F6" s="6">
        <f>J9</f>
        <v>1496.702</v>
      </c>
      <c r="G6" s="17">
        <f>J33</f>
        <v>1550</v>
      </c>
      <c r="I6" s="1" t="s">
        <v>8</v>
      </c>
      <c r="J6" s="1">
        <v>0</v>
      </c>
      <c r="L6" s="16" t="s">
        <v>9</v>
      </c>
      <c r="M6" s="16" t="s">
        <v>10</v>
      </c>
      <c r="N6" s="18" t="s">
        <v>11</v>
      </c>
      <c r="O6" s="19" t="s">
        <v>12</v>
      </c>
      <c r="P6" s="20" t="s">
        <v>13</v>
      </c>
      <c r="Q6" s="21" t="s">
        <v>14</v>
      </c>
      <c r="R6" s="22" t="s">
        <v>15</v>
      </c>
      <c r="AB6" s="8"/>
      <c r="AC6" s="8"/>
    </row>
    <row r="7" spans="2:29" x14ac:dyDescent="0.25">
      <c r="B7" s="1" t="s">
        <v>16</v>
      </c>
      <c r="C7" s="6">
        <f>J15</f>
        <v>300</v>
      </c>
      <c r="D7" s="3"/>
      <c r="E7" s="1" t="s">
        <v>17</v>
      </c>
      <c r="F7" s="6">
        <f>F6/J23*J22</f>
        <v>1496.702</v>
      </c>
      <c r="G7" s="6">
        <f>G6/J23*J22</f>
        <v>1550</v>
      </c>
      <c r="I7" s="1" t="s">
        <v>18</v>
      </c>
      <c r="J7" s="1">
        <v>18</v>
      </c>
      <c r="L7" s="11">
        <v>0</v>
      </c>
      <c r="M7" s="1">
        <v>299</v>
      </c>
      <c r="N7" s="23">
        <v>300</v>
      </c>
      <c r="O7" s="24">
        <v>300</v>
      </c>
      <c r="P7" s="25">
        <v>300</v>
      </c>
      <c r="Q7" s="26">
        <v>300</v>
      </c>
      <c r="R7" s="27">
        <v>300</v>
      </c>
      <c r="AB7" s="3"/>
    </row>
    <row r="8" spans="2:29" ht="15" customHeight="1" thickBot="1" x14ac:dyDescent="0.3">
      <c r="B8" s="1" t="s">
        <v>19</v>
      </c>
      <c r="C8" s="6">
        <f>300-J7</f>
        <v>282</v>
      </c>
      <c r="E8" s="10" t="s">
        <v>20</v>
      </c>
      <c r="F8" s="65">
        <f>F6/J23</f>
        <v>48.280709677419352</v>
      </c>
      <c r="G8" s="65">
        <f>G6/J23</f>
        <v>50</v>
      </c>
      <c r="I8" s="1" t="s">
        <v>21</v>
      </c>
      <c r="J8" s="1">
        <v>2</v>
      </c>
      <c r="L8" s="11">
        <v>300</v>
      </c>
      <c r="M8" s="1">
        <v>599</v>
      </c>
      <c r="N8" s="23">
        <v>100</v>
      </c>
      <c r="O8" s="24">
        <v>150</v>
      </c>
      <c r="P8" s="25">
        <v>200</v>
      </c>
      <c r="Q8" s="26">
        <v>250</v>
      </c>
      <c r="R8" s="27">
        <v>300</v>
      </c>
    </row>
    <row r="9" spans="2:29" ht="15.75" customHeight="1" thickTop="1" x14ac:dyDescent="0.25">
      <c r="B9" s="1" t="s">
        <v>5</v>
      </c>
      <c r="C9" s="6">
        <f>VLOOKUP(IF(C13,F7,F6),N17:P23,3)</f>
        <v>300</v>
      </c>
      <c r="E9" s="64" t="s">
        <v>22</v>
      </c>
      <c r="F9" s="63">
        <f>IF(J27&gt;=M13, "Unlimited", J27-F6)</f>
        <v>302.298</v>
      </c>
      <c r="G9" s="63">
        <f>50*J24 + IF(J22&lt;30,(30-J22)*G8,0)</f>
        <v>0</v>
      </c>
      <c r="I9" s="1" t="s">
        <v>2</v>
      </c>
      <c r="J9" s="6">
        <v>1496.702</v>
      </c>
      <c r="L9" s="11">
        <v>600</v>
      </c>
      <c r="M9" s="1">
        <v>899</v>
      </c>
      <c r="N9" s="23">
        <v>75</v>
      </c>
      <c r="O9" s="24">
        <v>100</v>
      </c>
      <c r="P9" s="25">
        <v>150</v>
      </c>
      <c r="Q9" s="26">
        <v>200</v>
      </c>
      <c r="R9" s="27">
        <v>300</v>
      </c>
    </row>
    <row r="10" spans="2:29" x14ac:dyDescent="0.25">
      <c r="B10" s="1" t="s">
        <v>23</v>
      </c>
      <c r="C10" s="6">
        <f>J16</f>
        <v>300</v>
      </c>
      <c r="E10" s="7"/>
      <c r="L10" s="11">
        <v>900</v>
      </c>
      <c r="M10" s="1">
        <v>1199</v>
      </c>
      <c r="N10" s="23">
        <v>50</v>
      </c>
      <c r="O10" s="24">
        <v>75</v>
      </c>
      <c r="P10" s="25">
        <v>100</v>
      </c>
      <c r="Q10" s="26">
        <v>175</v>
      </c>
      <c r="R10" s="27">
        <v>300</v>
      </c>
    </row>
    <row r="11" spans="2:29" x14ac:dyDescent="0.25">
      <c r="B11" s="1" t="s">
        <v>24</v>
      </c>
      <c r="C11" s="6">
        <f>SUM(C6:C10)</f>
        <v>2682</v>
      </c>
      <c r="I11" s="66" t="s">
        <v>25</v>
      </c>
      <c r="J11" s="68"/>
      <c r="L11" s="11">
        <v>1200</v>
      </c>
      <c r="M11" s="1">
        <v>1499</v>
      </c>
      <c r="N11" s="23">
        <v>25</v>
      </c>
      <c r="O11" s="24">
        <v>50</v>
      </c>
      <c r="P11" s="25">
        <v>75</v>
      </c>
      <c r="Q11" s="26">
        <v>125</v>
      </c>
      <c r="R11" s="27">
        <v>300</v>
      </c>
    </row>
    <row r="12" spans="2:29" x14ac:dyDescent="0.25">
      <c r="B12" s="1" t="s">
        <v>26</v>
      </c>
      <c r="C12" s="1" t="str">
        <f>VLOOKUP(C11,M27:O31,3,TRUE)</f>
        <v>Diamond</v>
      </c>
      <c r="D12" s="3"/>
      <c r="I12" s="16" t="s">
        <v>0</v>
      </c>
      <c r="J12" s="16" t="s">
        <v>1</v>
      </c>
      <c r="L12" s="11">
        <v>1500</v>
      </c>
      <c r="M12" s="1">
        <v>1799</v>
      </c>
      <c r="N12" s="23">
        <v>10</v>
      </c>
      <c r="O12" s="24">
        <v>25</v>
      </c>
      <c r="P12" s="25">
        <v>50</v>
      </c>
      <c r="Q12" s="26">
        <v>100</v>
      </c>
      <c r="R12" s="27">
        <v>250</v>
      </c>
      <c r="T12" s="2"/>
      <c r="Z12" s="8"/>
    </row>
    <row r="13" spans="2:29" x14ac:dyDescent="0.25">
      <c r="B13" s="1" t="s">
        <v>27</v>
      </c>
      <c r="C13" s="1" t="b">
        <v>0</v>
      </c>
      <c r="I13" s="1" t="s">
        <v>28</v>
      </c>
      <c r="J13" s="1" t="s">
        <v>53</v>
      </c>
      <c r="L13" s="12">
        <v>1800</v>
      </c>
      <c r="M13" s="10">
        <v>1800</v>
      </c>
      <c r="N13" s="29">
        <v>5</v>
      </c>
      <c r="O13" s="30">
        <v>10</v>
      </c>
      <c r="P13" s="31">
        <v>25</v>
      </c>
      <c r="Q13" s="32">
        <v>60</v>
      </c>
      <c r="R13" s="33">
        <v>100</v>
      </c>
      <c r="Z13" s="8"/>
      <c r="AA13" s="3"/>
    </row>
    <row r="14" spans="2:29" x14ac:dyDescent="0.25">
      <c r="I14" s="1" t="s">
        <v>30</v>
      </c>
      <c r="J14" s="58">
        <v>45808</v>
      </c>
    </row>
    <row r="15" spans="2:29" x14ac:dyDescent="0.25">
      <c r="D15" s="4"/>
      <c r="I15" s="28" t="s">
        <v>16</v>
      </c>
      <c r="J15" s="6">
        <v>300</v>
      </c>
      <c r="N15" s="66" t="str">
        <f>_xlfn.CONCAT("Distance Points for ",J17)</f>
        <v>Distance Points for Diamond</v>
      </c>
      <c r="O15" s="67"/>
      <c r="P15" s="68"/>
      <c r="V15" s="9"/>
      <c r="AA15" s="3"/>
      <c r="AB15" s="3"/>
    </row>
    <row r="16" spans="2:29" x14ac:dyDescent="0.25">
      <c r="I16" s="28" t="s">
        <v>23</v>
      </c>
      <c r="J16" s="28">
        <v>300</v>
      </c>
      <c r="N16" s="16" t="s">
        <v>9</v>
      </c>
      <c r="O16" s="16" t="s">
        <v>10</v>
      </c>
      <c r="P16" s="16" t="s">
        <v>3</v>
      </c>
    </row>
    <row r="17" spans="9:17" ht="14.45" customHeight="1" x14ac:dyDescent="0.25">
      <c r="I17" s="6" t="s">
        <v>31</v>
      </c>
      <c r="J17" s="6" t="s">
        <v>15</v>
      </c>
      <c r="N17" s="1">
        <f t="array" ref="N17:N23">DistancePointsStefan4[Lower]</f>
        <v>0</v>
      </c>
      <c r="O17" s="1">
        <f t="array" ref="O17:O23">DistancePointsStefan4[Upper]</f>
        <v>299</v>
      </c>
      <c r="P17" s="1">
        <f t="array" ref="P17:P23">_xlfn.XLOOKUP(J17,DistancePointsStefan4[#Headers],DistancePointsStefan4[])</f>
        <v>300</v>
      </c>
    </row>
    <row r="18" spans="9:17" x14ac:dyDescent="0.25">
      <c r="I18" s="6" t="s">
        <v>32</v>
      </c>
      <c r="J18" s="1"/>
      <c r="N18" s="1">
        <v>300</v>
      </c>
      <c r="O18" s="1">
        <v>599</v>
      </c>
      <c r="P18" s="1">
        <v>300</v>
      </c>
    </row>
    <row r="19" spans="9:17" x14ac:dyDescent="0.25">
      <c r="N19" s="1">
        <v>600</v>
      </c>
      <c r="O19" s="1">
        <v>899</v>
      </c>
      <c r="P19" s="1">
        <v>300</v>
      </c>
    </row>
    <row r="20" spans="9:17" x14ac:dyDescent="0.25">
      <c r="I20" s="66" t="s">
        <v>33</v>
      </c>
      <c r="J20" s="68"/>
      <c r="N20" s="1">
        <v>900</v>
      </c>
      <c r="O20" s="1">
        <v>1199</v>
      </c>
      <c r="P20" s="1">
        <v>300</v>
      </c>
    </row>
    <row r="21" spans="9:17" x14ac:dyDescent="0.25">
      <c r="I21" s="16" t="s">
        <v>0</v>
      </c>
      <c r="J21" s="16" t="s">
        <v>1</v>
      </c>
      <c r="N21" s="1">
        <v>1200</v>
      </c>
      <c r="O21" s="1">
        <v>1499</v>
      </c>
      <c r="P21" s="1">
        <v>300</v>
      </c>
    </row>
    <row r="22" spans="9:17" x14ac:dyDescent="0.25">
      <c r="I22" s="52" t="str">
        <f>_xlfn.CONCAT("Days ",TEXT(J14, "mmm yyyy"))</f>
        <v>Days May 2025</v>
      </c>
      <c r="J22" s="55">
        <f>DAY(EOMONTH(J14, 0))</f>
        <v>31</v>
      </c>
      <c r="N22" s="1">
        <v>1500</v>
      </c>
      <c r="O22" s="1">
        <v>1799</v>
      </c>
      <c r="P22" s="1">
        <v>250</v>
      </c>
    </row>
    <row r="23" spans="9:17" x14ac:dyDescent="0.25">
      <c r="I23" s="52" t="s">
        <v>34</v>
      </c>
      <c r="J23" s="55">
        <f>DAY(J14)</f>
        <v>31</v>
      </c>
      <c r="N23" s="1">
        <v>1800</v>
      </c>
      <c r="O23" s="1">
        <v>1800</v>
      </c>
      <c r="P23" s="1">
        <v>100</v>
      </c>
    </row>
    <row r="24" spans="9:17" x14ac:dyDescent="0.25">
      <c r="I24" s="51" t="s">
        <v>35</v>
      </c>
      <c r="J24" s="54">
        <f>J22-J23</f>
        <v>0</v>
      </c>
    </row>
    <row r="25" spans="9:17" x14ac:dyDescent="0.25">
      <c r="I25" s="53" t="s">
        <v>36</v>
      </c>
      <c r="J25" s="56">
        <f>C11-VLOOKUP(C11,M27:O31,1,TRUE)</f>
        <v>182</v>
      </c>
      <c r="M25" s="66" t="s">
        <v>37</v>
      </c>
      <c r="N25" s="67"/>
      <c r="O25" s="67"/>
      <c r="P25" s="67"/>
      <c r="Q25" s="68"/>
    </row>
    <row r="26" spans="9:17" x14ac:dyDescent="0.25">
      <c r="I26" s="55" t="s">
        <v>38</v>
      </c>
      <c r="J26" s="57">
        <f>MAX(0,C9-J25)</f>
        <v>118</v>
      </c>
      <c r="M26" s="16" t="s">
        <v>9</v>
      </c>
      <c r="N26" s="16" t="s">
        <v>10</v>
      </c>
      <c r="O26" s="16" t="s">
        <v>39</v>
      </c>
      <c r="P26" s="16" t="s">
        <v>40</v>
      </c>
      <c r="Q26" s="16" t="s">
        <v>41</v>
      </c>
    </row>
    <row r="27" spans="9:17" x14ac:dyDescent="0.25">
      <c r="I27" s="54" t="s">
        <v>42</v>
      </c>
      <c r="J27" s="54">
        <f t="array" ref="J27">MAX(_xlfn._xlws.FILTER(_xlfn.ANCHORARRAY(O17),_xlfn.ANCHORARRAY( P17)&gt;=J26))</f>
        <v>1799</v>
      </c>
      <c r="M27" s="34">
        <v>0</v>
      </c>
      <c r="N27" s="23">
        <v>799</v>
      </c>
      <c r="O27" s="23" t="s">
        <v>11</v>
      </c>
      <c r="P27" s="35">
        <v>0.05</v>
      </c>
      <c r="Q27" s="36" t="s">
        <v>43</v>
      </c>
    </row>
    <row r="28" spans="9:17" x14ac:dyDescent="0.25">
      <c r="I28" s="62" t="s">
        <v>32</v>
      </c>
      <c r="J28" s="62">
        <f>IF(ISBLANK(J18),ROUND(50-J6/J23,0),J18)</f>
        <v>50</v>
      </c>
      <c r="M28" s="37">
        <v>800</v>
      </c>
      <c r="N28" s="24">
        <v>1599</v>
      </c>
      <c r="O28" s="24" t="s">
        <v>12</v>
      </c>
      <c r="P28" s="38">
        <v>0.1</v>
      </c>
      <c r="Q28" s="39" t="s">
        <v>44</v>
      </c>
    </row>
    <row r="29" spans="9:17" x14ac:dyDescent="0.25">
      <c r="I29" s="61" t="s">
        <v>45</v>
      </c>
      <c r="J29" s="61">
        <f>J8</f>
        <v>2</v>
      </c>
      <c r="M29" s="40">
        <v>1600</v>
      </c>
      <c r="N29" s="25">
        <v>2199</v>
      </c>
      <c r="O29" s="25" t="s">
        <v>13</v>
      </c>
      <c r="P29" s="41">
        <v>0.2</v>
      </c>
      <c r="Q29" s="42" t="s">
        <v>46</v>
      </c>
    </row>
    <row r="30" spans="9:17" x14ac:dyDescent="0.25">
      <c r="I30" s="60" t="s">
        <v>47</v>
      </c>
      <c r="J30" s="60">
        <f>J29*J28</f>
        <v>100</v>
      </c>
      <c r="M30" s="43">
        <v>2200</v>
      </c>
      <c r="N30" s="44">
        <v>2499</v>
      </c>
      <c r="O30" s="44" t="s">
        <v>14</v>
      </c>
      <c r="P30" s="45">
        <v>0.35</v>
      </c>
      <c r="Q30" s="46" t="s">
        <v>48</v>
      </c>
    </row>
    <row r="31" spans="9:17" x14ac:dyDescent="0.25">
      <c r="I31" s="53" t="s">
        <v>49</v>
      </c>
      <c r="J31" s="53">
        <f>J23-J29</f>
        <v>29</v>
      </c>
      <c r="M31" s="47">
        <v>2500</v>
      </c>
      <c r="N31" s="48">
        <v>3000</v>
      </c>
      <c r="O31" s="48" t="s">
        <v>15</v>
      </c>
      <c r="P31" s="49">
        <v>0.5</v>
      </c>
      <c r="Q31" s="50" t="s">
        <v>50</v>
      </c>
    </row>
    <row r="32" spans="9:17" x14ac:dyDescent="0.25">
      <c r="I32" s="54" t="s">
        <v>51</v>
      </c>
      <c r="J32" s="59">
        <f>50*J31-J6</f>
        <v>1450</v>
      </c>
    </row>
    <row r="33" spans="9:10" x14ac:dyDescent="0.25">
      <c r="I33" s="1" t="s">
        <v>6</v>
      </c>
      <c r="J33" s="6">
        <f>J30+J32</f>
        <v>1550</v>
      </c>
    </row>
    <row r="34" spans="9:10" x14ac:dyDescent="0.25">
      <c r="I34" s="1" t="s">
        <v>52</v>
      </c>
      <c r="J34" s="6">
        <f>J33+SUM(C7:C10)</f>
        <v>2732</v>
      </c>
    </row>
  </sheetData>
  <mergeCells count="8">
    <mergeCell ref="AB5:AC5"/>
    <mergeCell ref="I5:J5"/>
    <mergeCell ref="N15:P15"/>
    <mergeCell ref="B2:G3"/>
    <mergeCell ref="L5:R5"/>
    <mergeCell ref="I20:J20"/>
    <mergeCell ref="M25:Q25"/>
    <mergeCell ref="I11:J11"/>
  </mergeCells>
  <conditionalFormatting sqref="B11:C12">
    <cfRule type="expression" dxfId="19" priority="1">
      <formula>$C$12="Blue"</formula>
    </cfRule>
    <cfRule type="expression" dxfId="18" priority="2">
      <formula>$C$12="Bronze"</formula>
    </cfRule>
    <cfRule type="expression" dxfId="17" priority="3">
      <formula>$C$12="Silver"</formula>
    </cfRule>
    <cfRule type="expression" dxfId="16" priority="4">
      <formula>$C$12="Gold"</formula>
    </cfRule>
    <cfRule type="expression" dxfId="15" priority="5">
      <formula>$C$12="Diamond"</formula>
    </cfRule>
  </conditionalFormatting>
  <conditionalFormatting sqref="P17:P23">
    <cfRule type="expression" dxfId="14" priority="6">
      <formula>$J$17="Blue"</formula>
    </cfRule>
    <cfRule type="expression" dxfId="13" priority="7">
      <formula>$J$17="Bronze"</formula>
    </cfRule>
    <cfRule type="expression" dxfId="12" priority="8">
      <formula>$J$17="Silver"</formula>
    </cfRule>
    <cfRule type="expression" dxfId="11" priority="9">
      <formula>$J$17="Gold"</formula>
    </cfRule>
    <cfRule type="expression" dxfId="10" priority="10">
      <formula>$J$17="Diamond"</formula>
    </cfRule>
  </conditionalFormatting>
  <dataValidations count="2">
    <dataValidation allowBlank="1" showInputMessage="1" showErrorMessage="1" prompt="The predicted status gives a realistic prediction of the driving status. If the prediction is disable, best case scenario is assumed, which is 50 point drive days and the distance remains in the same bracket." sqref="C13" xr:uid="{00000000-0002-0000-0100-000000000000}"/>
    <dataValidation type="whole" allowBlank="1" showInputMessage="1" showErrorMessage="1" prompt="Enter a value here to overwrite the No-Drive Day calculation" sqref="J18" xr:uid="{00000000-0002-0000-0100-000001000000}">
      <formula1>0</formula1>
      <formula2>50</formula2>
    </dataValidation>
  </dataValidations>
  <pageMargins left="0.7" right="0.7" top="0.75" bottom="0.75" header="0.3" footer="0.3"/>
  <pageSetup scale="32" orientation="portrait"/>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pageSetUpPr fitToPage="1"/>
  </sheetPr>
  <dimension ref="B2:AC34"/>
  <sheetViews>
    <sheetView zoomScaleNormal="100" workbookViewId="0">
      <selection activeCell="C13" sqref="C13"/>
    </sheetView>
  </sheetViews>
  <sheetFormatPr defaultColWidth="8.85546875" defaultRowHeight="15" x14ac:dyDescent="0.25"/>
  <cols>
    <col min="1" max="1" width="2.7109375" style="2" customWidth="1"/>
    <col min="2" max="2" width="25.140625" style="2" bestFit="1" customWidth="1"/>
    <col min="3" max="3" width="9.7109375" style="2" customWidth="1"/>
    <col min="4" max="4" width="2.7109375" style="2" customWidth="1"/>
    <col min="5" max="5" width="16.140625" customWidth="1"/>
    <col min="6" max="6" width="11.140625" style="2" bestFit="1" customWidth="1"/>
    <col min="7" max="7" width="9.7109375" style="2" customWidth="1"/>
    <col min="8" max="8" width="2.7109375" style="2" customWidth="1"/>
    <col min="9" max="9" width="22.42578125" style="2" hidden="1" customWidth="1"/>
    <col min="10" max="10" width="10.7109375" style="2" hidden="1" customWidth="1"/>
    <col min="11" max="11" width="2.7109375" style="2" hidden="1" customWidth="1"/>
    <col min="12" max="14" width="9.7109375" style="2" hidden="1" customWidth="1"/>
    <col min="15" max="15" width="10.5703125" style="2" hidden="1" customWidth="1"/>
    <col min="16" max="17" width="9.7109375" style="2" hidden="1" customWidth="1"/>
    <col min="18" max="18" width="11.42578125" style="2" hidden="1" customWidth="1"/>
    <col min="19" max="19" width="2.7109375" style="2" hidden="1" customWidth="1"/>
    <col min="20" max="20" width="9.7109375" style="5" customWidth="1"/>
    <col min="21" max="23" width="9.7109375" style="2" customWidth="1"/>
    <col min="24" max="35" width="8.85546875" style="2" customWidth="1"/>
    <col min="36" max="16384" width="8.85546875" style="2"/>
  </cols>
  <sheetData>
    <row r="2" spans="2:29" ht="14.45" customHeight="1" x14ac:dyDescent="0.25">
      <c r="B2" s="69" t="str">
        <f>_xlfn.CONCAT("Drive Summary ",J13, " ",TEXT(J14, "mmmm yyyy"))</f>
        <v>Drive Summary Derrick May 2025</v>
      </c>
      <c r="C2" s="70"/>
      <c r="D2" s="70"/>
      <c r="E2" s="71"/>
      <c r="F2" s="70"/>
      <c r="G2" s="70"/>
      <c r="H2" s="13"/>
    </row>
    <row r="3" spans="2:29" ht="14.45" customHeight="1" x14ac:dyDescent="0.25">
      <c r="B3" s="70"/>
      <c r="C3" s="70"/>
      <c r="D3" s="70"/>
      <c r="E3" s="71"/>
      <c r="F3" s="70"/>
      <c r="G3" s="70"/>
      <c r="H3" s="13"/>
    </row>
    <row r="5" spans="2:29" x14ac:dyDescent="0.25">
      <c r="B5" s="14" t="s">
        <v>0</v>
      </c>
      <c r="C5" s="15" t="s">
        <v>1</v>
      </c>
      <c r="E5" s="14" t="str">
        <f ca="1">TEXT(TODAY(), "mmmm yyyy")</f>
        <v>June 2025</v>
      </c>
      <c r="F5" s="14" t="s">
        <v>2</v>
      </c>
      <c r="G5" s="16" t="s">
        <v>3</v>
      </c>
      <c r="I5" s="66" t="s">
        <v>4</v>
      </c>
      <c r="J5" s="68"/>
      <c r="L5" s="66" t="s">
        <v>5</v>
      </c>
      <c r="M5" s="67"/>
      <c r="N5" s="67"/>
      <c r="O5" s="67"/>
      <c r="P5" s="67"/>
      <c r="Q5" s="67"/>
      <c r="R5" s="68"/>
      <c r="AB5" s="70"/>
      <c r="AC5" s="70"/>
    </row>
    <row r="6" spans="2:29" x14ac:dyDescent="0.25">
      <c r="B6" s="1" t="s">
        <v>6</v>
      </c>
      <c r="C6" s="6">
        <f>MIN(1500, IF($C$13,G7,G6+G9))</f>
        <v>1500</v>
      </c>
      <c r="E6" s="1" t="s">
        <v>7</v>
      </c>
      <c r="F6" s="6">
        <f>J9</f>
        <v>1500</v>
      </c>
      <c r="G6" s="17">
        <f>J33</f>
        <v>1392</v>
      </c>
      <c r="I6" s="1" t="s">
        <v>8</v>
      </c>
      <c r="J6" s="1">
        <v>8</v>
      </c>
      <c r="L6" s="16" t="s">
        <v>9</v>
      </c>
      <c r="M6" s="16" t="s">
        <v>10</v>
      </c>
      <c r="N6" s="18" t="s">
        <v>11</v>
      </c>
      <c r="O6" s="19" t="s">
        <v>12</v>
      </c>
      <c r="P6" s="20" t="s">
        <v>13</v>
      </c>
      <c r="Q6" s="21" t="s">
        <v>14</v>
      </c>
      <c r="R6" s="22" t="s">
        <v>15</v>
      </c>
      <c r="AB6" s="8"/>
      <c r="AC6" s="8"/>
    </row>
    <row r="7" spans="2:29" x14ac:dyDescent="0.25">
      <c r="B7" s="1" t="s">
        <v>16</v>
      </c>
      <c r="C7" s="6">
        <f>J15</f>
        <v>300</v>
      </c>
      <c r="D7" s="3"/>
      <c r="E7" s="1" t="s">
        <v>17</v>
      </c>
      <c r="F7" s="6">
        <f>F6/J23*J22</f>
        <v>1660.7142857142856</v>
      </c>
      <c r="G7" s="6">
        <f>G6/J23*J22</f>
        <v>1541.1428571428571</v>
      </c>
      <c r="I7" s="1" t="s">
        <v>18</v>
      </c>
      <c r="J7" s="1">
        <v>0</v>
      </c>
      <c r="L7" s="11">
        <v>0</v>
      </c>
      <c r="M7" s="1">
        <v>299</v>
      </c>
      <c r="N7" s="23">
        <v>300</v>
      </c>
      <c r="O7" s="24">
        <v>300</v>
      </c>
      <c r="P7" s="25">
        <v>300</v>
      </c>
      <c r="Q7" s="26">
        <v>300</v>
      </c>
      <c r="R7" s="27">
        <v>300</v>
      </c>
      <c r="AB7" s="3"/>
    </row>
    <row r="8" spans="2:29" ht="15" customHeight="1" thickBot="1" x14ac:dyDescent="0.3">
      <c r="B8" s="1" t="s">
        <v>19</v>
      </c>
      <c r="C8" s="6">
        <f>300-J7</f>
        <v>300</v>
      </c>
      <c r="E8" s="10" t="s">
        <v>20</v>
      </c>
      <c r="F8" s="65">
        <f>F6/J23</f>
        <v>53.571428571428569</v>
      </c>
      <c r="G8" s="65">
        <f>G6/J23</f>
        <v>49.714285714285715</v>
      </c>
      <c r="I8" s="1" t="s">
        <v>21</v>
      </c>
      <c r="J8" s="1">
        <v>4</v>
      </c>
      <c r="L8" s="11">
        <v>300</v>
      </c>
      <c r="M8" s="1">
        <v>599</v>
      </c>
      <c r="N8" s="23">
        <v>100</v>
      </c>
      <c r="O8" s="24">
        <v>150</v>
      </c>
      <c r="P8" s="25">
        <v>200</v>
      </c>
      <c r="Q8" s="26">
        <v>250</v>
      </c>
      <c r="R8" s="27">
        <v>300</v>
      </c>
    </row>
    <row r="9" spans="2:29" ht="15.75" customHeight="1" thickTop="1" x14ac:dyDescent="0.25">
      <c r="B9" s="1" t="s">
        <v>5</v>
      </c>
      <c r="C9" s="6">
        <f>VLOOKUP(IF(C13,F7,F6),N17:P23,3)</f>
        <v>250</v>
      </c>
      <c r="E9" s="64" t="s">
        <v>22</v>
      </c>
      <c r="F9" s="63" t="str">
        <f>IF(J27&gt;=M13, "Unlimited", J27-F6)</f>
        <v>Unlimited</v>
      </c>
      <c r="G9" s="63">
        <f>50*J24 + IF(J22&lt;30,(30-J22)*G8,0)</f>
        <v>150</v>
      </c>
      <c r="I9" s="1" t="s">
        <v>2</v>
      </c>
      <c r="J9" s="1">
        <v>1500</v>
      </c>
      <c r="L9" s="11">
        <v>600</v>
      </c>
      <c r="M9" s="1">
        <v>899</v>
      </c>
      <c r="N9" s="23">
        <v>75</v>
      </c>
      <c r="O9" s="24">
        <v>100</v>
      </c>
      <c r="P9" s="25">
        <v>150</v>
      </c>
      <c r="Q9" s="26">
        <v>200</v>
      </c>
      <c r="R9" s="27">
        <v>300</v>
      </c>
    </row>
    <row r="10" spans="2:29" x14ac:dyDescent="0.25">
      <c r="B10" s="1" t="s">
        <v>23</v>
      </c>
      <c r="C10" s="6">
        <f>J16</f>
        <v>300</v>
      </c>
      <c r="E10" s="7"/>
      <c r="L10" s="11">
        <v>900</v>
      </c>
      <c r="M10" s="1">
        <v>1199</v>
      </c>
      <c r="N10" s="23">
        <v>50</v>
      </c>
      <c r="O10" s="24">
        <v>75</v>
      </c>
      <c r="P10" s="25">
        <v>100</v>
      </c>
      <c r="Q10" s="26">
        <v>175</v>
      </c>
      <c r="R10" s="27">
        <v>300</v>
      </c>
    </row>
    <row r="11" spans="2:29" x14ac:dyDescent="0.25">
      <c r="B11" s="1" t="s">
        <v>24</v>
      </c>
      <c r="C11" s="6">
        <f>SUM(C6:C10)</f>
        <v>2650</v>
      </c>
      <c r="I11" s="66" t="s">
        <v>25</v>
      </c>
      <c r="J11" s="68"/>
      <c r="L11" s="11">
        <v>1200</v>
      </c>
      <c r="M11" s="1">
        <v>1499</v>
      </c>
      <c r="N11" s="23">
        <v>25</v>
      </c>
      <c r="O11" s="24">
        <v>50</v>
      </c>
      <c r="P11" s="25">
        <v>75</v>
      </c>
      <c r="Q11" s="26">
        <v>125</v>
      </c>
      <c r="R11" s="27">
        <v>300</v>
      </c>
    </row>
    <row r="12" spans="2:29" x14ac:dyDescent="0.25">
      <c r="B12" s="1" t="s">
        <v>26</v>
      </c>
      <c r="C12" s="1" t="str">
        <f>VLOOKUP(C11,M27:O31,3,TRUE)</f>
        <v>Diamond</v>
      </c>
      <c r="D12" s="3"/>
      <c r="I12" s="16" t="s">
        <v>0</v>
      </c>
      <c r="J12" s="16" t="s">
        <v>1</v>
      </c>
      <c r="L12" s="11">
        <v>1500</v>
      </c>
      <c r="M12" s="1">
        <v>1799</v>
      </c>
      <c r="N12" s="23">
        <v>10</v>
      </c>
      <c r="O12" s="24">
        <v>25</v>
      </c>
      <c r="P12" s="25">
        <v>50</v>
      </c>
      <c r="Q12" s="26">
        <v>100</v>
      </c>
      <c r="R12" s="27">
        <v>250</v>
      </c>
      <c r="T12" s="2"/>
      <c r="Z12" s="8"/>
    </row>
    <row r="13" spans="2:29" x14ac:dyDescent="0.25">
      <c r="B13" s="1" t="s">
        <v>27</v>
      </c>
      <c r="C13" s="1" t="b">
        <v>0</v>
      </c>
      <c r="I13" s="1" t="s">
        <v>28</v>
      </c>
      <c r="J13" s="1" t="s">
        <v>54</v>
      </c>
      <c r="L13" s="12">
        <v>1800</v>
      </c>
      <c r="M13" s="10">
        <v>1800</v>
      </c>
      <c r="N13" s="29">
        <v>5</v>
      </c>
      <c r="O13" s="30">
        <v>10</v>
      </c>
      <c r="P13" s="31">
        <v>25</v>
      </c>
      <c r="Q13" s="32">
        <v>60</v>
      </c>
      <c r="R13" s="33">
        <v>100</v>
      </c>
      <c r="Z13" s="8"/>
      <c r="AA13" s="3"/>
    </row>
    <row r="14" spans="2:29" x14ac:dyDescent="0.25">
      <c r="I14" s="1" t="s">
        <v>30</v>
      </c>
      <c r="J14" s="58">
        <v>45805</v>
      </c>
    </row>
    <row r="15" spans="2:29" x14ac:dyDescent="0.25">
      <c r="D15" s="4"/>
      <c r="I15" s="28" t="s">
        <v>16</v>
      </c>
      <c r="J15" s="6">
        <v>300</v>
      </c>
      <c r="N15" s="66" t="str">
        <f>_xlfn.CONCAT("Distance Points for ",J17)</f>
        <v>Distance Points for Diamond</v>
      </c>
      <c r="O15" s="67"/>
      <c r="P15" s="68"/>
      <c r="V15" s="9"/>
      <c r="AA15" s="3"/>
      <c r="AB15" s="3"/>
    </row>
    <row r="16" spans="2:29" x14ac:dyDescent="0.25">
      <c r="I16" s="28" t="s">
        <v>23</v>
      </c>
      <c r="J16" s="28">
        <v>300</v>
      </c>
      <c r="N16" s="16" t="s">
        <v>9</v>
      </c>
      <c r="O16" s="16" t="s">
        <v>10</v>
      </c>
      <c r="P16" s="16" t="s">
        <v>3</v>
      </c>
    </row>
    <row r="17" spans="9:17" ht="14.45" customHeight="1" x14ac:dyDescent="0.25">
      <c r="I17" s="6" t="s">
        <v>31</v>
      </c>
      <c r="J17" s="6" t="s">
        <v>15</v>
      </c>
      <c r="N17" s="1">
        <f t="array" ref="N17:N23">DistancePointsStefan2[Lower]</f>
        <v>0</v>
      </c>
      <c r="O17" s="1">
        <f t="array" ref="O17:O23">DistancePointsStefan2[Upper]</f>
        <v>299</v>
      </c>
      <c r="P17" s="1">
        <f t="array" ref="P17:P23">_xlfn.XLOOKUP(J17,DistancePointsStefan2[#Headers],DistancePointsStefan2[])</f>
        <v>300</v>
      </c>
    </row>
    <row r="18" spans="9:17" x14ac:dyDescent="0.25">
      <c r="I18" s="6" t="s">
        <v>32</v>
      </c>
      <c r="J18" s="1"/>
      <c r="N18" s="1">
        <v>300</v>
      </c>
      <c r="O18" s="1">
        <v>599</v>
      </c>
      <c r="P18" s="1">
        <v>300</v>
      </c>
    </row>
    <row r="19" spans="9:17" x14ac:dyDescent="0.25">
      <c r="N19" s="1">
        <v>600</v>
      </c>
      <c r="O19" s="1">
        <v>899</v>
      </c>
      <c r="P19" s="1">
        <v>300</v>
      </c>
    </row>
    <row r="20" spans="9:17" x14ac:dyDescent="0.25">
      <c r="I20" s="66" t="s">
        <v>33</v>
      </c>
      <c r="J20" s="68"/>
      <c r="N20" s="1">
        <v>900</v>
      </c>
      <c r="O20" s="1">
        <v>1199</v>
      </c>
      <c r="P20" s="1">
        <v>300</v>
      </c>
    </row>
    <row r="21" spans="9:17" x14ac:dyDescent="0.25">
      <c r="I21" s="16" t="s">
        <v>0</v>
      </c>
      <c r="J21" s="16" t="s">
        <v>1</v>
      </c>
      <c r="N21" s="1">
        <v>1200</v>
      </c>
      <c r="O21" s="1">
        <v>1499</v>
      </c>
      <c r="P21" s="1">
        <v>300</v>
      </c>
    </row>
    <row r="22" spans="9:17" x14ac:dyDescent="0.25">
      <c r="I22" s="52" t="str">
        <f>_xlfn.CONCAT("Days ",TEXT(J14, "mmm yyyy"))</f>
        <v>Days May 2025</v>
      </c>
      <c r="J22" s="55">
        <f>DAY(EOMONTH(J14, 0))</f>
        <v>31</v>
      </c>
      <c r="N22" s="1">
        <v>1500</v>
      </c>
      <c r="O22" s="1">
        <v>1799</v>
      </c>
      <c r="P22" s="1">
        <v>250</v>
      </c>
    </row>
    <row r="23" spans="9:17" x14ac:dyDescent="0.25">
      <c r="I23" s="52" t="s">
        <v>34</v>
      </c>
      <c r="J23" s="55">
        <f>DAY(J14)</f>
        <v>28</v>
      </c>
      <c r="N23" s="1">
        <v>1800</v>
      </c>
      <c r="O23" s="1">
        <v>1800</v>
      </c>
      <c r="P23" s="1">
        <v>100</v>
      </c>
    </row>
    <row r="24" spans="9:17" x14ac:dyDescent="0.25">
      <c r="I24" s="51" t="s">
        <v>35</v>
      </c>
      <c r="J24" s="54">
        <f>J22-J23</f>
        <v>3</v>
      </c>
    </row>
    <row r="25" spans="9:17" x14ac:dyDescent="0.25">
      <c r="I25" s="53" t="s">
        <v>36</v>
      </c>
      <c r="J25" s="56">
        <f>C11-VLOOKUP(C11,M27:O31,1,TRUE)</f>
        <v>150</v>
      </c>
      <c r="M25" s="66" t="s">
        <v>37</v>
      </c>
      <c r="N25" s="67"/>
      <c r="O25" s="67"/>
      <c r="P25" s="67"/>
      <c r="Q25" s="68"/>
    </row>
    <row r="26" spans="9:17" x14ac:dyDescent="0.25">
      <c r="I26" s="55" t="s">
        <v>38</v>
      </c>
      <c r="J26" s="57">
        <f>MAX(0,C9-J25)</f>
        <v>100</v>
      </c>
      <c r="M26" s="16" t="s">
        <v>9</v>
      </c>
      <c r="N26" s="16" t="s">
        <v>10</v>
      </c>
      <c r="O26" s="16" t="s">
        <v>39</v>
      </c>
      <c r="P26" s="16" t="s">
        <v>40</v>
      </c>
      <c r="Q26" s="16" t="s">
        <v>41</v>
      </c>
    </row>
    <row r="27" spans="9:17" x14ac:dyDescent="0.25">
      <c r="I27" s="54" t="s">
        <v>42</v>
      </c>
      <c r="J27" s="54">
        <f t="array" ref="J27">MAX(_xlfn._xlws.FILTER(_xlfn.ANCHORARRAY(O17),_xlfn.ANCHORARRAY( P17)&gt;=J26))</f>
        <v>1800</v>
      </c>
      <c r="M27" s="34">
        <v>0</v>
      </c>
      <c r="N27" s="23">
        <v>799</v>
      </c>
      <c r="O27" s="23" t="s">
        <v>11</v>
      </c>
      <c r="P27" s="35">
        <v>0.05</v>
      </c>
      <c r="Q27" s="36" t="s">
        <v>43</v>
      </c>
    </row>
    <row r="28" spans="9:17" x14ac:dyDescent="0.25">
      <c r="I28" s="62" t="s">
        <v>32</v>
      </c>
      <c r="J28" s="62">
        <f>IF(ISBLANK(J18),ROUND(50-J6/J23,0),J18)</f>
        <v>50</v>
      </c>
      <c r="M28" s="37">
        <v>800</v>
      </c>
      <c r="N28" s="24">
        <v>1599</v>
      </c>
      <c r="O28" s="24" t="s">
        <v>12</v>
      </c>
      <c r="P28" s="38">
        <v>0.1</v>
      </c>
      <c r="Q28" s="39" t="s">
        <v>44</v>
      </c>
    </row>
    <row r="29" spans="9:17" x14ac:dyDescent="0.25">
      <c r="I29" s="61" t="s">
        <v>45</v>
      </c>
      <c r="J29" s="61">
        <f>J8</f>
        <v>4</v>
      </c>
      <c r="M29" s="40">
        <v>1600</v>
      </c>
      <c r="N29" s="25">
        <v>2199</v>
      </c>
      <c r="O29" s="25" t="s">
        <v>13</v>
      </c>
      <c r="P29" s="41">
        <v>0.2</v>
      </c>
      <c r="Q29" s="42" t="s">
        <v>46</v>
      </c>
    </row>
    <row r="30" spans="9:17" x14ac:dyDescent="0.25">
      <c r="I30" s="60" t="s">
        <v>47</v>
      </c>
      <c r="J30" s="60">
        <f>J29*J28</f>
        <v>200</v>
      </c>
      <c r="M30" s="43">
        <v>2200</v>
      </c>
      <c r="N30" s="44">
        <v>2499</v>
      </c>
      <c r="O30" s="44" t="s">
        <v>14</v>
      </c>
      <c r="P30" s="45">
        <v>0.35</v>
      </c>
      <c r="Q30" s="46" t="s">
        <v>48</v>
      </c>
    </row>
    <row r="31" spans="9:17" x14ac:dyDescent="0.25">
      <c r="I31" s="53" t="s">
        <v>49</v>
      </c>
      <c r="J31" s="53">
        <f>J23-J29</f>
        <v>24</v>
      </c>
      <c r="M31" s="47">
        <v>2500</v>
      </c>
      <c r="N31" s="48">
        <v>3000</v>
      </c>
      <c r="O31" s="48" t="s">
        <v>15</v>
      </c>
      <c r="P31" s="49">
        <v>0.5</v>
      </c>
      <c r="Q31" s="50" t="s">
        <v>50</v>
      </c>
    </row>
    <row r="32" spans="9:17" x14ac:dyDescent="0.25">
      <c r="I32" s="54" t="s">
        <v>51</v>
      </c>
      <c r="J32" s="59">
        <f>50*J31-J6</f>
        <v>1192</v>
      </c>
    </row>
    <row r="33" spans="9:10" x14ac:dyDescent="0.25">
      <c r="I33" s="1" t="s">
        <v>6</v>
      </c>
      <c r="J33" s="6">
        <f>J30+J32</f>
        <v>1392</v>
      </c>
    </row>
    <row r="34" spans="9:10" x14ac:dyDescent="0.25">
      <c r="I34" s="1" t="s">
        <v>52</v>
      </c>
      <c r="J34" s="6">
        <f>J33+SUM(C7:C10)</f>
        <v>2542</v>
      </c>
    </row>
  </sheetData>
  <mergeCells count="8">
    <mergeCell ref="AB5:AC5"/>
    <mergeCell ref="I5:J5"/>
    <mergeCell ref="N15:P15"/>
    <mergeCell ref="B2:G3"/>
    <mergeCell ref="L5:R5"/>
    <mergeCell ref="I20:J20"/>
    <mergeCell ref="M25:Q25"/>
    <mergeCell ref="I11:J11"/>
  </mergeCells>
  <conditionalFormatting sqref="B11:C12">
    <cfRule type="expression" dxfId="9" priority="1">
      <formula>$C$12="Blue"</formula>
    </cfRule>
    <cfRule type="expression" dxfId="8" priority="2">
      <formula>$C$12="Bronze"</formula>
    </cfRule>
    <cfRule type="expression" dxfId="7" priority="3">
      <formula>$C$12="Silver"</formula>
    </cfRule>
    <cfRule type="expression" dxfId="6" priority="4">
      <formula>$C$12="Gold"</formula>
    </cfRule>
    <cfRule type="expression" dxfId="5" priority="5">
      <formula>$C$12="Diamond"</formula>
    </cfRule>
  </conditionalFormatting>
  <conditionalFormatting sqref="P17:P23">
    <cfRule type="expression" dxfId="4" priority="6">
      <formula>$J$17="Blue"</formula>
    </cfRule>
    <cfRule type="expression" dxfId="3" priority="7">
      <formula>$J$17="Bronze"</formula>
    </cfRule>
    <cfRule type="expression" dxfId="2" priority="8">
      <formula>$J$17="Silver"</formula>
    </cfRule>
    <cfRule type="expression" dxfId="1" priority="9">
      <formula>$J$17="Gold"</formula>
    </cfRule>
    <cfRule type="expression" dxfId="0" priority="10">
      <formula>$J$17="Diamond"</formula>
    </cfRule>
  </conditionalFormatting>
  <dataValidations count="2">
    <dataValidation allowBlank="1" showInputMessage="1" showErrorMessage="1" prompt="The predicted status gives a realistic prediction of the driving status. If the prediction is disable, best case scenario is assumed, which is 50 point drive days and the distance remains in the same bracket." sqref="C13" xr:uid="{00000000-0002-0000-0200-000000000000}"/>
    <dataValidation type="whole" allowBlank="1" showInputMessage="1" showErrorMessage="1" prompt="Enter a value here to overwrite the No-Drive Day calculation" sqref="J18" xr:uid="{00000000-0002-0000-0200-000001000000}">
      <formula1>0</formula1>
      <formula2>50</formula2>
    </dataValidation>
  </dataValidations>
  <pageMargins left="0.7" right="0.7" top="0.75" bottom="0.75" header="0.3" footer="0.3"/>
  <pageSetup scale="32" orientation="portrait"/>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Stefan</vt:lpstr>
      <vt:lpstr>Christiaan</vt:lpstr>
      <vt:lpstr>Derrick</vt:lpstr>
      <vt:lpstr>Christiaan!Username</vt:lpstr>
      <vt:lpstr>Derrick!Username</vt:lpstr>
      <vt:lpstr>Stefan!Username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Christiaan Oberholzer</dc:creator>
  <cp:lastModifiedBy>Stefan Oberholzer</cp:lastModifiedBy>
  <cp:lastPrinted>2024-09-30T18:20:25Z</cp:lastPrinted>
  <dcterms:created xsi:type="dcterms:W3CDTF">2023-09-18T15:21:34Z</dcterms:created>
  <dcterms:modified xsi:type="dcterms:W3CDTF">2025-06-02T07:13:37Z</dcterms:modified>
</cp:coreProperties>
</file>