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210" documentId="13_ncr:1_{16BB77BC-72C4-43FD-98A0-25CDEB97D854}" xr6:coauthVersionLast="47" xr6:coauthVersionMax="47" xr10:uidLastSave="{88089D12-C9FF-4385-9902-26F1A3BFD5F9}"/>
  <bookViews>
    <workbookView xWindow="-120" yWindow="-120" windowWidth="20730" windowHeight="11040" activeTab="2" xr2:uid="{B12B6E18-E294-4985-A977-422328ADD677}"/>
  </bookViews>
  <sheets>
    <sheet name="Stefan" sheetId="27" r:id="rId1"/>
    <sheet name="Christiaan" sheetId="26" r:id="rId2"/>
    <sheet name="Derrick" sheetId="25"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7" l="1"/>
  <c r="E5" i="27"/>
  <c r="F6" i="27"/>
  <c r="G6" i="27"/>
  <c r="C7" i="27"/>
  <c r="C10" i="27"/>
  <c r="G13" i="27"/>
  <c r="C14" i="27"/>
  <c r="F14" i="27"/>
  <c r="G14" i="27"/>
  <c r="J24" i="27" s="1"/>
  <c r="N15" i="27"/>
  <c r="N17" i="27" a="1"/>
  <c r="N17" i="27"/>
  <c r="O17" i="27" a="1"/>
  <c r="O17" i="27"/>
  <c r="P17" i="27" a="1"/>
  <c r="C9" i="27" s="1"/>
  <c r="I26" i="27"/>
  <c r="J26" i="27"/>
  <c r="J28" i="27" s="1"/>
  <c r="G9" i="27" s="1"/>
  <c r="J27" i="27"/>
  <c r="J33" i="27"/>
  <c r="B2" i="26"/>
  <c r="E5" i="26"/>
  <c r="F6" i="26"/>
  <c r="C9" i="26" s="1"/>
  <c r="G6" i="26"/>
  <c r="C7" i="26"/>
  <c r="C10" i="26"/>
  <c r="G13" i="26"/>
  <c r="C14" i="26"/>
  <c r="F14" i="26"/>
  <c r="G14" i="26"/>
  <c r="J24" i="26" s="1"/>
  <c r="N15" i="26"/>
  <c r="N17" i="26" a="1"/>
  <c r="N17" i="26" s="1"/>
  <c r="O17" i="26" a="1"/>
  <c r="O17" i="26" s="1"/>
  <c r="P17" i="26" a="1"/>
  <c r="P17" i="26" s="1"/>
  <c r="I26" i="26"/>
  <c r="J26" i="26"/>
  <c r="J28" i="26" s="1"/>
  <c r="G9" i="26" s="1"/>
  <c r="J27" i="26"/>
  <c r="J33" i="26"/>
  <c r="B2" i="25"/>
  <c r="E5" i="25"/>
  <c r="F6" i="25"/>
  <c r="G6" i="25"/>
  <c r="C7" i="25"/>
  <c r="C9" i="25"/>
  <c r="C10" i="25"/>
  <c r="G13" i="25"/>
  <c r="G14" i="25" s="1"/>
  <c r="J24" i="25" s="1"/>
  <c r="C14" i="25"/>
  <c r="F14" i="25"/>
  <c r="N15" i="25"/>
  <c r="N17" i="25" a="1"/>
  <c r="N17" i="25" s="1"/>
  <c r="O17" i="25" a="1"/>
  <c r="O17" i="25"/>
  <c r="P17" i="25" a="1"/>
  <c r="P17" i="25" s="1"/>
  <c r="I26" i="25"/>
  <c r="J26" i="25"/>
  <c r="J27" i="25"/>
  <c r="F8" i="25" s="1"/>
  <c r="J28" i="25"/>
  <c r="G9" i="25" s="1"/>
  <c r="J33" i="25"/>
  <c r="F8" i="26" l="1"/>
  <c r="F7" i="27"/>
  <c r="P17" i="27"/>
  <c r="J25" i="27"/>
  <c r="C8" i="27"/>
  <c r="C6" i="27"/>
  <c r="C11" i="27" s="1"/>
  <c r="F8" i="27"/>
  <c r="G8" i="27"/>
  <c r="G7" i="27"/>
  <c r="C8" i="26"/>
  <c r="J25" i="26"/>
  <c r="C6" i="26"/>
  <c r="C11" i="26" s="1"/>
  <c r="F7" i="26"/>
  <c r="G7" i="26"/>
  <c r="G8" i="26"/>
  <c r="J25" i="25"/>
  <c r="C8" i="25"/>
  <c r="C6" i="25"/>
  <c r="C11" i="25" s="1"/>
  <c r="G8" i="25"/>
  <c r="G7" i="25"/>
  <c r="F7" i="25"/>
  <c r="J29" i="27" l="1"/>
  <c r="J30" i="27" s="1"/>
  <c r="J31" i="27" s="1" a="1"/>
  <c r="J31" i="27" s="1"/>
  <c r="F9" i="27" s="1"/>
  <c r="C16" i="27"/>
  <c r="C12" i="27"/>
  <c r="J32" i="27"/>
  <c r="C15" i="27" s="1"/>
  <c r="J29" i="26"/>
  <c r="J30" i="26" s="1"/>
  <c r="J31" i="26" s="1" a="1"/>
  <c r="J31" i="26" s="1"/>
  <c r="F9" i="26" s="1"/>
  <c r="C12" i="26"/>
  <c r="C16" i="26"/>
  <c r="J32" i="26"/>
  <c r="C15" i="26" s="1"/>
  <c r="J29" i="25"/>
  <c r="J30" i="25" s="1"/>
  <c r="J31" i="25" s="1" a="1"/>
  <c r="J31" i="25" s="1"/>
  <c r="F9" i="25" s="1"/>
  <c r="C16" i="25"/>
  <c r="C12" i="25"/>
  <c r="J32" i="25"/>
  <c r="C15" i="2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<sst xmlns="http://schemas.openxmlformats.org/spreadsheetml/2006/main" count="246" uniqueCount="58">
  <si>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</si>
  <si>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</si>
  <si>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</si>
  <si>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</si>
  <si>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</si>
  <si>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</si>
  <si>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</si>
  <si>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</si>
  <si>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</si>
  <si>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</si>
  <si>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</si>
  <si>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</si>
  <si>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</si>
  <si>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</si>
  <si>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</si>
  <si>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</si>
  <si>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</si>
  <si>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</si>
  <si>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</si>
  <si>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</si>
  <si>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</si>
  <si>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</si>
  <si>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</si>
  <si>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</si>
  <si>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</si>
  <si>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</si>
  <si>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</si>
  <si>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</si>
  <si>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</si>
  <si>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</si>
  <si>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</si>
  <si>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</si>
  <si>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</si>
  <si>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</si>
  <si>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</si>
  <si>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</si>
  <si>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</si>
  <si>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</si>
  <si>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</si>
  <si>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</si>
  <si>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</si>
  <si>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</si>
  <si>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</si>
  <si>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</si>
  <si>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</si>
  <si>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</si>
  <si>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</si>
  <si>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</si>
  <si>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</si>
  <si>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</si>
  <si>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</si>
  <si>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</si>
  <si>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</si>
  <si>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</si>
  <si>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</si>
  <si>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</si>
  <si>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</si>
  <si>
    <t>Month-to-Date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</si>
</sst>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48">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rgb="FF000000"/>
        </top>
      </border>
    </dxf>
    <dxf>
      <border outline="0">
        <bottom style="thin">
          <color rgb="FF000000"/>
        </bottom>
      </border>
    </dxf>
    <dxf>
      <border diagonalUp="0" diagonalDown="0">
        <left style="thin">
          <color rgb="FF000000"/>
        </left>
        <right style="thin">
          <color rgb="FF000000"/>
        </right>
        <top style="thin">
          <color rgb="FF000000"/>
        </top>
        <bottom style="thin">
          <color rgb="FF000000"/>
        </bottom>
      </border>
    </dxf>
    <dxf>
      <font>
        <b val="0"/>
      </font>
      <border diagonalUp="0" diagonalDown="0">
        <left style="thin">
          <color rgb="FF000000"/>
        </left>
        <right style="thin">
          <color rgb="FF000000"/>
        </right>
        <top/>
        <bottom/>
        <vertical style="thin">
          <color rgb="FF000000"/>
        </vertical>
        <horizontal/>
      </border>
    </dxf>
    <dxf>
      <fill>
        <patternFill patternType="none">
          <fgColor rgb="FF000000"/>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rgb="FF000000"/>
        </top>
      </border>
    </dxf>
    <dxf>
      <border outline="0">
        <bottom style="thin">
          <color rgb="FF000000"/>
        </bottom>
      </border>
    </dxf>
    <dxf>
      <border diagonalUp="0" diagonalDown="0">
        <left style="thin">
          <color rgb="FF000000"/>
        </left>
        <right style="thin">
          <color rgb="FF000000"/>
        </right>
        <top style="thin">
          <color rgb="FF000000"/>
        </top>
        <bottom style="thin">
          <color rgb="FF000000"/>
        </bottom>
      </border>
    </dxf>
    <dxf>
      <font>
        <b val="0"/>
      </font>
      <border diagonalUp="0" diagonalDown="0">
        <left style="thin">
          <color rgb="FF000000"/>
        </left>
        <right style="thin">
          <color rgb="FF000000"/>
        </right>
        <top/>
        <bottom/>
        <vertical style="thin">
          <color rgb="FF000000"/>
        </vertical>
        <horizontal/>
      </border>
    </dxf>
    <dxf>
      <fill>
        <patternFill patternType="none">
          <fgColor rgb="FF000000"/>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medium">
          <color rgb="FF000000"/>
        </top>
      </border>
    </dxf>
    <dxf>
      <border outline="0">
        <bottom style="thin">
          <color rgb="FF000000"/>
        </bottom>
      </border>
    </dxf>
    <dxf>
      <border diagonalUp="0" diagonalDown="0">
        <left style="thin">
          <color rgb="FF000000"/>
        </left>
        <right style="thin">
          <color rgb="FF000000"/>
        </right>
        <top style="thin">
          <color rgb="FF000000"/>
        </top>
        <bottom style="thin">
          <color rgb="FF000000"/>
        </bottom>
      </border>
    </dxf>
    <dxf>
      <font>
        <b val="0"/>
      </font>
      <border diagonalUp="0" diagonalDown="0">
        <left style="thin">
          <color rgb="FF000000"/>
        </left>
        <right style="thin">
          <color rgb="FF000000"/>
        </right>
        <top/>
        <bottom/>
        <vertical style="thin">
          <color rgb="FF000000"/>
        </vertical>
        <horizontal/>
      </border>
    </dxf>
    <dxf>
      <fill>
        <patternFill patternType="none">
          <fgColor rgb="FF000000"/>
          <bgColor auto="1"/>
        </patternFill>
      </fill>
      <alignment horizontal="center" vertical="center" textRotation="0" wrapText="0" indent="0" justifyLastLine="0" shrinkToFit="0" readingOrder="0"/>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9" defaultTableStyle="TableStyleMedium2" defaultPivotStyle="PivotStyleLight16">
    <tableStyle name="Table Style 1" pivot="0" count="1" xr9:uid="{A9F08CE5-ED7D-4BF0-BED4-1E9AB08F748B}">
      <tableStyleElement type="wholeTable" dxfId="147"/>
    </tableStyle>
    <tableStyle name="Table Style 1 10" pivot="0" count="1" xr9:uid="{2D1C1F65-64AA-44E5-AA5A-2B6F13002934}">
      <tableStyleElement type="wholeTable" dxfId="146"/>
    </tableStyle>
    <tableStyle name="Table Style 1 11" pivot="0" count="1" xr9:uid="{05AF31C5-0C6B-4FC9-BB2A-CC666AEEA938}">
      <tableStyleElement type="wholeTable" dxfId="145"/>
    </tableStyle>
    <tableStyle name="Table Style 1 12" pivot="0" count="1" xr9:uid="{F7ADC423-0988-4DA8-B9D0-A07AA727111C}">
      <tableStyleElement type="wholeTable" dxfId="144"/>
    </tableStyle>
    <tableStyle name="Table Style 1 13" pivot="0" count="1" xr9:uid="{DC96A2DC-53A1-4C21-A60E-F20A7120FF3C}">
      <tableStyleElement type="wholeTable" dxfId="143"/>
    </tableStyle>
    <tableStyle name="Table Style 1 14" pivot="0" count="1" xr9:uid="{4681CA8B-13A2-463B-A4A2-F203979C6A14}">
      <tableStyleElement type="wholeTable" dxfId="142"/>
    </tableStyle>
    <tableStyle name="Table Style 1 15" pivot="0" count="1" xr9:uid="{7B50F24D-1991-4972-9A49-6490DA20EE16}">
      <tableStyleElement type="wholeTable" dxfId="141"/>
    </tableStyle>
    <tableStyle name="Table Style 1 16" pivot="0" count="1" xr9:uid="{CF2D3427-1AB2-4D49-B68E-B9C0B3EDBE75}">
      <tableStyleElement type="wholeTable" dxfId="140"/>
    </tableStyle>
    <tableStyle name="Table Style 1 17" pivot="0" count="1" xr9:uid="{4F50F918-FB53-4BF5-990B-2557B3B9A7BF}">
      <tableStyleElement type="wholeTable" dxfId="131"/>
    </tableStyle>
    <tableStyle name="Table Style 1 18" pivot="0" count="1" xr9:uid="{5F612B3A-A293-4CC9-B40F-44B5AEDFA082}">
      <tableStyleElement type="wholeTable" dxfId="97"/>
    </tableStyle>
    <tableStyle name="Table Style 1 19" pivot="0" count="1" xr9:uid="{F01D45AD-6592-422A-A40E-447519F2640A}">
      <tableStyleElement type="wholeTable" dxfId="63"/>
    </tableStyle>
    <tableStyle name="Table Style 1 2" pivot="0" count="1" xr9:uid="{9328C6BF-6A18-40D6-BCF5-ACC71AF16E8E}">
      <tableStyleElement type="wholeTable" dxfId="139"/>
    </tableStyle>
    <tableStyle name="Table Style 1 3" pivot="0" count="1" xr9:uid="{37EF096D-2DFE-477A-8568-8A16C87D899A}">
      <tableStyleElement type="wholeTable" dxfId="138"/>
    </tableStyle>
    <tableStyle name="Table Style 1 4" pivot="0" count="1" xr9:uid="{8A7764C2-5FA0-4ED3-8FD1-B93D5D03E99F}">
      <tableStyleElement type="wholeTable" dxfId="137"/>
    </tableStyle>
    <tableStyle name="Table Style 1 5" pivot="0" count="1" xr9:uid="{F304E450-A967-49C6-88DB-FE75A7950572}">
      <tableStyleElement type="wholeTable" dxfId="136"/>
    </tableStyle>
    <tableStyle name="Table Style 1 6" pivot="0" count="1" xr9:uid="{0F2E8DB9-5B38-455C-8A1C-56B0099F7828}">
      <tableStyleElement type="wholeTable" dxfId="135"/>
    </tableStyle>
    <tableStyle name="Table Style 1 7" pivot="0" count="1" xr9:uid="{3512C574-7CC4-49B4-A867-7F44CFB3F84B}">
      <tableStyleElement type="wholeTable" dxfId="134"/>
    </tableStyle>
    <tableStyle name="Table Style 1 8" pivot="0" count="1" xr9:uid="{A7D82AA8-1F0A-4767-816C-D08C9223EDC9}">
      <tableStyleElement type="wholeTable" dxfId="133"/>
    </tableStyle>
    <tableStyle name="Table Style 1 9" pivot="0" count="1" xr9:uid="{ED2ED81A-DDBA-4F91-A0D7-17E66D871F9A}">
      <tableStyleElement type="wholeTable" dxfId="13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BC2FBC4-D003-459D-99D8-4EF5A7798F10}" name="NightTimeDrive111411" displayName="NightTimeDrive111411" ref="E12:G14" totalsRowCount="1" headerRowDxfId="62" dataDxfId="61" totalsRowDxfId="60" headerRowBorderDxfId="58" tableBorderDxfId="59" totalsRowBorderDxfId="57">
  <autoFilter ref="E12:G13" xr:uid="{932FCD99-6FCF-4AE6-A66E-74A568E6D121}">
    <filterColumn colId="0" hiddenButton="1"/>
    <filterColumn colId="1" hiddenButton="1"/>
    <filterColumn colId="2" hiddenButton="1"/>
  </autoFilter>
  <tableColumns count="3">
    <tableColumn id="1" xr3:uid="{58E6A9B3-79EB-46A1-BD85-9BF93C089711}" name="Penalty Weight" totalsRowLabel="Total" dataDxfId="55" totalsRowDxfId="56"/>
    <tableColumn id="2" xr3:uid="{2C244FD8-07FF-49BA-BDE1-ADD8CEDBB46B}" name="Duration" totalsRowFunction="sum" dataDxfId="53" totalsRowDxfId="54"/>
    <tableColumn id="3" xr3:uid="{C0F589D1-0D83-41E4-BFFF-2C4A4C8A3F59}" name="Points" totalsRowFunction="sum" dataDxfId="51" totalsRowDxfId="52">
      <calculatedColumnFormula>NightTimeDrive111411[[#This Row],[Penalty Weight]]*NightTimeDrive111411[[#This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D792A-3131-451C-BF3F-6FA24E6366D3}" name="DistancePointsStefan12" displayName="DistancePointsStefan12" ref="L6:R13" totalsRowShown="0" headerRowDxfId="50" dataDxfId="49" headerRowBorderDxfId="47" tableBorderDxfId="48"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C6EB33A-4FEB-44B1-A553-159FA232998D}" name="Lower" dataDxfId="45"/>
    <tableColumn id="2" xr3:uid="{E73EB6C1-7A7C-4D43-A462-FA08A967FCAB}" name="Upper" dataDxfId="44"/>
    <tableColumn id="3" xr3:uid="{3AA49B07-CB67-4E5A-A459-A8803D97B245}" name="Blue" dataDxfId="43" dataCellStyle="Blue"/>
    <tableColumn id="4" xr3:uid="{3F46426C-0535-428D-8916-EB490F6A45A5}" name="Bronze" dataDxfId="42" dataCellStyle="Bronze"/>
    <tableColumn id="5" xr3:uid="{9C21142B-0A95-4EC1-866F-2D3A4D8CF019}" name="Silver" dataDxfId="41" dataCellStyle="Silver"/>
    <tableColumn id="6" xr3:uid="{9CA60C42-B1E3-4703-A647-09520D98EF00}" name="Gold" dataDxfId="40" dataCellStyle="Gold"/>
    <tableColumn id="7" xr3:uid="{FE99B53D-4DAC-436F-8E2F-9170EEB7D5FC}" name="Diamond" dataDxfId="39"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2034323-84E8-4B6C-827D-FFDF85340237}" name="DrivingStatusStefan13" displayName="DrivingStatusStefan13" ref="M26:Q31" totalsRowShown="0" headerRowDxfId="38" headerRowBorderDxfId="36" tableBorderDxfId="37"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65D1BA81-C63C-433F-B29F-D2E3F35892B1}" name="Lower" dataDxfId="34" dataCellStyle="Silver"/>
    <tableColumn id="2" xr3:uid="{48093FC3-74F5-4754-8F2C-CA1D49D1288F}" name="Upper" dataDxfId="33" dataCellStyle="Silver"/>
    <tableColumn id="3" xr3:uid="{7F8B2169-763B-4490-A450-E78603253CCA}" name="Category" dataDxfId="32" dataCellStyle="Silver"/>
    <tableColumn id="4" xr3:uid="{893143B3-2E59-4DB3-ADED-529F57E19FFD}" name="Fuel %" dataDxfId="31" dataCellStyle="Silver"/>
    <tableColumn id="5" xr3:uid="{8E6404ED-9A00-40E8-8654-85F143AD955F}" name="Color" dataDxfId="30"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5331C2-12CE-4D22-A680-14B58E53B5C6}" name="NightTimeDrive11145" displayName="NightTimeDrive11145" ref="E12:G14" totalsRowCount="1" headerRowDxfId="96" dataDxfId="95" totalsRowDxfId="94" headerRowBorderDxfId="92" tableBorderDxfId="93" totalsRowBorderDxfId="91">
  <autoFilter ref="E12:G13" xr:uid="{932FCD99-6FCF-4AE6-A66E-74A568E6D121}">
    <filterColumn colId="0" hiddenButton="1"/>
    <filterColumn colId="1" hiddenButton="1"/>
    <filterColumn colId="2" hiddenButton="1"/>
  </autoFilter>
  <tableColumns count="3">
    <tableColumn id="1" xr3:uid="{53636D25-0458-4BB7-A5D3-2FA6C7A53287}" name="Penalty Weight" totalsRowLabel="Total" dataDxfId="89" totalsRowDxfId="90"/>
    <tableColumn id="2" xr3:uid="{8E207697-A49D-4CC9-9F39-F9605A4B84AF}" name="Duration" totalsRowFunction="sum" dataDxfId="87" totalsRowDxfId="88"/>
    <tableColumn id="3" xr3:uid="{328C2FFA-1DD9-4993-B028-140840D5995D}" name="Points" totalsRowFunction="sum" dataDxfId="85" totalsRowDxfId="86">
      <calculatedColumnFormula>NightTimeDrive11145[[#This Row],[Penalty Weight]]*NightTimeDrive11145[[#This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25AE50-E5E9-4A44-8E21-87364E344357}" name="DistancePointsStefan6" displayName="DistancePointsStefan6" ref="L6:R13" totalsRowShown="0" headerRowDxfId="84" dataDxfId="83" headerRowBorderDxfId="81" tableBorderDxfId="82" totalsRowBorderDxfId="80">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96ACA27-D6E8-4181-9D8F-872886A1FEF5}" name="Lower" dataDxfId="79"/>
    <tableColumn id="2" xr3:uid="{F5BD550D-F71F-4E83-BEC3-7B5439DB7250}" name="Upper" dataDxfId="78"/>
    <tableColumn id="3" xr3:uid="{FEEEC4BD-0911-467F-942A-843E91EA595B}" name="Blue" dataDxfId="77" dataCellStyle="Blue"/>
    <tableColumn id="4" xr3:uid="{3C707E4C-41E0-4727-8C98-3060120375C0}" name="Bronze" dataDxfId="76" dataCellStyle="Bronze"/>
    <tableColumn id="5" xr3:uid="{FEB2372E-F860-48BC-B2F9-E41D1B805354}" name="Silver" dataDxfId="75" dataCellStyle="Silver"/>
    <tableColumn id="6" xr3:uid="{D90C10A4-A47C-4E27-A237-E34E439D3016}" name="Gold" dataDxfId="74" dataCellStyle="Gold"/>
    <tableColumn id="7" xr3:uid="{E60BC172-0CAA-4D68-8A52-8CC8389ECFC5}" name="Diamond" dataDxfId="73"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62F2F2-35D3-4E81-918B-00C9C9B5B569}" name="DrivingStatusStefan7" displayName="DrivingStatusStefan7" ref="M26:Q31" totalsRowShown="0" headerRowDxfId="72" headerRowBorderDxfId="70" tableBorderDxfId="71" totalsRowBorderDxfId="69">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250B973-2D59-4EC1-89B2-296C1935C55B}" name="Lower" dataDxfId="68" dataCellStyle="Silver"/>
    <tableColumn id="2" xr3:uid="{97B28240-5F67-4262-BF66-292CE2D21513}" name="Upper" dataDxfId="67" dataCellStyle="Silver"/>
    <tableColumn id="3" xr3:uid="{1F14E7B1-F1F4-4EEB-A55D-8993E7510899}" name="Category" dataDxfId="66" dataCellStyle="Silver"/>
    <tableColumn id="4" xr3:uid="{E2632D9C-1EF0-4CCB-9ADF-EFB96C16DB1C}" name="Fuel %" dataDxfId="65" dataCellStyle="Silver"/>
    <tableColumn id="5" xr3:uid="{42B38D0D-D61E-48A5-B765-99AFA85ACE15}" name="Color" dataDxfId="64"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AD681E-EC55-4AD9-B851-8FC9457E1642}" name="NightTimeDrive11142" displayName="NightTimeDrive11142" ref="E12:G14" totalsRowCount="1" headerRowDxfId="130" dataDxfId="129" totalsRowDxfId="128" headerRowBorderDxfId="126" tableBorderDxfId="127" totalsRowBorderDxfId="125">
  <autoFilter ref="E12:G13" xr:uid="{932FCD99-6FCF-4AE6-A66E-74A568E6D121}">
    <filterColumn colId="0" hiddenButton="1"/>
    <filterColumn colId="1" hiddenButton="1"/>
    <filterColumn colId="2" hiddenButton="1"/>
  </autoFilter>
  <tableColumns count="3">
    <tableColumn id="1" xr3:uid="{A252731D-0997-4531-ABEC-4FF373B50E32}" name="Penalty Weight" totalsRowLabel="Total" dataDxfId="123" totalsRowDxfId="124"/>
    <tableColumn id="2" xr3:uid="{0040717A-D48C-46C9-ACD5-82F1CBFCF25F}" name="Duration" totalsRowFunction="sum" dataDxfId="121" totalsRowDxfId="122"/>
    <tableColumn id="3" xr3:uid="{E865AEA8-B95D-4E85-BF85-89CE9D251117}" name="Points" totalsRowFunction="sum" dataDxfId="119" totalsRowDxfId="120">
      <calculatedColumnFormula>NightTimeDrive11142[[#This Row],[Penalty Weight]]*NightTimeDrive11142[[#This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6E41CD-BD6A-4EC0-A96D-EEF4B1F20001}" name="DistancePointsStefan3" displayName="DistancePointsStefan3" ref="L6:R13" totalsRowShown="0" headerRowDxfId="118" dataDxfId="117" headerRowBorderDxfId="115" tableBorderDxfId="116" totalsRowBorderDxfId="114">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2339487-BEA0-4396-861B-FA84BD828752}" name="Lower" dataDxfId="113"/>
    <tableColumn id="2" xr3:uid="{3B94F17F-9893-4542-BFED-4D27CEAFD339}" name="Upper" dataDxfId="112"/>
    <tableColumn id="3" xr3:uid="{AFC769CA-CBD9-4204-A439-EA6441870983}" name="Blue" dataDxfId="111" dataCellStyle="Blue"/>
    <tableColumn id="4" xr3:uid="{28753032-A2AA-4DCC-BE89-55C8A5F126A6}" name="Bronze" dataDxfId="110" dataCellStyle="Bronze"/>
    <tableColumn id="5" xr3:uid="{26FC8390-1596-4AFD-BB1D-778D359298DF}" name="Silver" dataDxfId="109" dataCellStyle="Silver"/>
    <tableColumn id="6" xr3:uid="{0050AC47-C651-41DB-9A35-D9DA60A7E74E}" name="Gold" dataDxfId="108" dataCellStyle="Gold"/>
    <tableColumn id="7" xr3:uid="{34052BD6-2590-4E58-BE1A-5F813FBA1EB1}" name="Diamond" dataDxfId="107"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FBC7E0-661E-49C3-AB98-D259C36C76BE}" name="DrivingStatusStefan4" displayName="DrivingStatusStefan4" ref="M26:Q31" totalsRowShown="0" headerRowDxfId="106" headerRowBorderDxfId="104" tableBorderDxfId="105" totalsRowBorderDxfId="103">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0C5CC980-2AF5-4209-B4ED-F583D42E0EAC}" name="Lower" dataDxfId="102" dataCellStyle="Silver"/>
    <tableColumn id="2" xr3:uid="{8FD8237E-5F2C-4163-AB7D-566078764A06}" name="Upper" dataDxfId="101" dataCellStyle="Silver"/>
    <tableColumn id="3" xr3:uid="{A378AA5D-E7A9-4A04-B41D-429AB4674B5D}" name="Category" dataDxfId="100" dataCellStyle="Silver"/>
    <tableColumn id="4" xr3:uid="{3FA643C3-57D9-488A-AEC7-D282911BC639}" name="Fuel %" dataDxfId="99" dataCellStyle="Silver"/>
    <tableColumn id="5" xr3:uid="{836029AB-E697-4B5E-87B4-C602688E76B3}" name="Color" dataDxfId="98"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277F-988E-4B7D-BB59-2972ECB8B097}">
  <sheetPr codeName="Sheet8">
    <pageSetUpPr fitToPage="1"/>
  </sheetPr>
  <dimension ref="B2:AC33"/>
  <sheetViews>
    <sheetView zoomScaleNormal="100" workbookViewId="0">
      <selection activeCell="L17" sqref="L17"/>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Stefan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1488</v>
      </c>
      <c r="E6" s="1" t="s">
        <v>57</v>
      </c>
      <c r="F6" s="7">
        <f>J11</f>
        <v>1485</v>
      </c>
      <c r="G6" s="19">
        <f>J7</f>
        <v>1288</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1705</v>
      </c>
      <c r="G7" s="7">
        <f>G6/J27*J26</f>
        <v>1478.8148148148148</v>
      </c>
      <c r="I7" s="7" t="s">
        <v>0</v>
      </c>
      <c r="J7" s="7">
        <v>1288</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55</v>
      </c>
      <c r="G8" s="6">
        <f>G6/J27</f>
        <v>47.703703703703702</v>
      </c>
      <c r="I8" s="30" t="s">
        <v>4</v>
      </c>
      <c r="J8" s="7">
        <v>300</v>
      </c>
      <c r="L8" s="13">
        <v>300</v>
      </c>
      <c r="M8" s="1">
        <v>599</v>
      </c>
      <c r="N8" s="25">
        <v>100</v>
      </c>
      <c r="O8" s="26">
        <v>150</v>
      </c>
      <c r="P8" s="27">
        <v>200</v>
      </c>
      <c r="Q8" s="28">
        <v>250</v>
      </c>
      <c r="R8" s="29">
        <v>300</v>
      </c>
    </row>
    <row r="9" spans="2:29" x14ac:dyDescent="0.25">
      <c r="B9" s="1" t="s">
        <v>11</v>
      </c>
      <c r="C9" s="7">
        <f>VLOOKUP(IF(C13,F7,F6),N17:P23,3)</f>
        <v>300</v>
      </c>
      <c r="E9" s="1" t="s">
        <v>21</v>
      </c>
      <c r="F9" s="7">
        <f>IF(J31&gt;=M13, "Unlimited", J31-F6)</f>
        <v>314</v>
      </c>
      <c r="G9" s="7">
        <f>50*J28 + IF(J26&lt;30,(30-J26)*G8,0)</f>
        <v>200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200</v>
      </c>
      <c r="L10" s="13">
        <v>900</v>
      </c>
      <c r="M10" s="1">
        <v>1199</v>
      </c>
      <c r="N10" s="25">
        <v>50</v>
      </c>
      <c r="O10" s="26">
        <v>75</v>
      </c>
      <c r="P10" s="27">
        <v>100</v>
      </c>
      <c r="Q10" s="28">
        <v>175</v>
      </c>
      <c r="R10" s="29">
        <v>300</v>
      </c>
    </row>
    <row r="11" spans="2:29" x14ac:dyDescent="0.25">
      <c r="B11" s="1" t="s">
        <v>16</v>
      </c>
      <c r="C11" s="7">
        <f>SUM(C6:C10)</f>
        <v>2688</v>
      </c>
      <c r="E11" s="68" t="s">
        <v>27</v>
      </c>
      <c r="F11" s="69"/>
      <c r="G11" s="70"/>
      <c r="I11" s="30" t="s">
        <v>43</v>
      </c>
      <c r="J11" s="7">
        <v>1485</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NightTimeDrive111411[[#This Row],[Penalty Weight]]*NightTimeDrive111411[[#This Row],[Duration]]</f>
        <v>0</v>
      </c>
      <c r="I13" s="30" t="s">
        <v>20</v>
      </c>
      <c r="J13" s="30">
        <v>2205.9</v>
      </c>
      <c r="L13" s="14">
        <v>1800</v>
      </c>
      <c r="M13" s="12">
        <v>1800</v>
      </c>
      <c r="N13" s="32">
        <v>5</v>
      </c>
      <c r="O13" s="33">
        <v>10</v>
      </c>
      <c r="P13" s="34">
        <v>25</v>
      </c>
      <c r="Q13" s="35">
        <v>60</v>
      </c>
      <c r="R13" s="36">
        <v>100</v>
      </c>
      <c r="W13"/>
      <c r="Z13" s="9"/>
      <c r="AA13" s="3"/>
    </row>
    <row r="14" spans="2:29" x14ac:dyDescent="0.25">
      <c r="B14" s="1" t="s">
        <v>20</v>
      </c>
      <c r="C14" s="37">
        <f>J13</f>
        <v>2205.9</v>
      </c>
      <c r="E14" s="1" t="s">
        <v>46</v>
      </c>
      <c r="F14" s="1">
        <f>SUBTOTAL(109,NightTimeDrive111411[Duration])</f>
        <v>0</v>
      </c>
      <c r="G14" s="1">
        <f>SUBTOTAL(109,NightTimeDrive111411[Points])</f>
        <v>0</v>
      </c>
      <c r="I14" s="7" t="s">
        <v>37</v>
      </c>
      <c r="J14" s="7" t="s">
        <v>18</v>
      </c>
      <c r="T14"/>
      <c r="U14"/>
      <c r="V14"/>
      <c r="W14"/>
      <c r="X14"/>
    </row>
    <row r="15" spans="2:29" x14ac:dyDescent="0.25">
      <c r="B15" s="1" t="s">
        <v>23</v>
      </c>
      <c r="C15" s="38" t="str">
        <f>_xlfn.CONCAT("Đ",J32*VLOOKUP(C12,O26:P31,2,FALSE)*10)</f>
        <v>Đ11029.5</v>
      </c>
      <c r="D15" s="4"/>
      <c r="N15" s="68" t="str">
        <f>_xlfn.CONCAT("Distance Points for ",J14)</f>
        <v>Distance Points for Diamond</v>
      </c>
      <c r="O15" s="69"/>
      <c r="P15" s="70"/>
      <c r="T15"/>
      <c r="U15"/>
      <c r="V15" s="10"/>
      <c r="W15"/>
      <c r="X15"/>
      <c r="AA15" s="3"/>
      <c r="AB15" s="3"/>
    </row>
    <row r="16" spans="2:29" x14ac:dyDescent="0.25">
      <c r="B16" s="1" t="s">
        <v>47</v>
      </c>
      <c r="C16" s="37">
        <f>MAX(0,C11-C14)</f>
        <v>482.09999999999991</v>
      </c>
      <c r="I16" s="65" t="s">
        <v>38</v>
      </c>
      <c r="J16" s="65"/>
      <c r="N16" s="18" t="s">
        <v>5</v>
      </c>
      <c r="O16" s="18" t="s">
        <v>6</v>
      </c>
      <c r="P16" s="18" t="s">
        <v>2</v>
      </c>
      <c r="T16"/>
      <c r="U16"/>
      <c r="W16"/>
    </row>
    <row r="17" spans="9:17" ht="14.45" customHeight="1" x14ac:dyDescent="0.25">
      <c r="I17" s="18" t="s">
        <v>30</v>
      </c>
      <c r="J17" s="18" t="s">
        <v>31</v>
      </c>
      <c r="N17" s="1" cm="1">
        <f t="array" ref="N17:N23">DistancePointsStefan12[Lower]</f>
        <v>0</v>
      </c>
      <c r="O17" s="1" cm="1">
        <f t="array" ref="O17:O23">DistancePointsStefan12[Upper]</f>
        <v>299</v>
      </c>
      <c r="P17" s="1" cm="1">
        <f t="array" ref="P17:P23">_xlfn.XLOOKUP(J14,DistancePointsStefan12[#Headers],DistancePointsStefan12[])</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1" t="s">
        <v>56</v>
      </c>
      <c r="J20" s="64">
        <v>45805</v>
      </c>
      <c r="N20" s="1">
        <v>900</v>
      </c>
      <c r="O20" s="1">
        <v>1199</v>
      </c>
      <c r="P20" s="1">
        <v>300</v>
      </c>
    </row>
    <row r="21" spans="9:17" x14ac:dyDescent="0.25">
      <c r="N21" s="1">
        <v>1200</v>
      </c>
      <c r="O21" s="1">
        <v>1499</v>
      </c>
      <c r="P21" s="1">
        <v>300</v>
      </c>
    </row>
    <row r="22" spans="9:17" x14ac:dyDescent="0.25">
      <c r="I22" s="68" t="s">
        <v>29</v>
      </c>
      <c r="J22" s="70"/>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MAX(0,300-NightTimeDrive111411[[#Totals],[Points]])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188</v>
      </c>
      <c r="M29" s="45">
        <v>1600</v>
      </c>
      <c r="N29" s="27">
        <v>2199</v>
      </c>
      <c r="O29" s="27" t="s">
        <v>15</v>
      </c>
      <c r="P29" s="46">
        <v>0.2</v>
      </c>
      <c r="Q29" s="47" t="s">
        <v>51</v>
      </c>
    </row>
    <row r="30" spans="9:17" x14ac:dyDescent="0.25">
      <c r="I30" s="58" t="s">
        <v>40</v>
      </c>
      <c r="J30" s="63">
        <f>MAX(0,C9-J29)</f>
        <v>112</v>
      </c>
      <c r="M30" s="48">
        <v>2200</v>
      </c>
      <c r="N30" s="49">
        <v>2499</v>
      </c>
      <c r="O30" s="49" t="s">
        <v>17</v>
      </c>
      <c r="P30" s="50">
        <v>0.35</v>
      </c>
      <c r="Q30" s="51" t="s">
        <v>52</v>
      </c>
    </row>
    <row r="31" spans="9:17" x14ac:dyDescent="0.25">
      <c r="I31" s="57" t="s">
        <v>41</v>
      </c>
      <c r="J31" s="60" cm="1">
        <f t="array" ref="J31">MAX(_xlfn._xlws.FILTER(_xlfn.ANCHORARRAY(O17),_xlfn.ANCHORARRAY( P17)&gt;=J30))</f>
        <v>1799</v>
      </c>
      <c r="M31" s="52">
        <v>2500</v>
      </c>
      <c r="N31" s="53">
        <v>3000</v>
      </c>
      <c r="O31" s="53" t="s">
        <v>18</v>
      </c>
      <c r="P31" s="54">
        <v>0.5</v>
      </c>
      <c r="Q31" s="55" t="s">
        <v>54</v>
      </c>
    </row>
    <row r="32" spans="9:17" x14ac:dyDescent="0.25">
      <c r="I32" s="11" t="s">
        <v>53</v>
      </c>
      <c r="J32" s="7">
        <f>MIN(C14,C11)</f>
        <v>2205.9</v>
      </c>
    </row>
    <row r="33" spans="9:10" x14ac:dyDescent="0.25">
      <c r="I33" s="11" t="s">
        <v>55</v>
      </c>
      <c r="J33" s="7">
        <f>SUM(J7:J10,J12)</f>
        <v>2388</v>
      </c>
    </row>
  </sheetData>
  <protectedRanges>
    <protectedRange sqref="C7:C8 C10 C16 C14" name="RequiresInput_1"/>
    <protectedRange sqref="F6:G6" name="RequiresInput_1_1"/>
  </protectedRanges>
  <dataConsolidate/>
  <mergeCells count="9">
    <mergeCell ref="AB5:AC5"/>
    <mergeCell ref="E11:G11"/>
    <mergeCell ref="N15:P15"/>
    <mergeCell ref="I16:J16"/>
    <mergeCell ref="I22:J22"/>
    <mergeCell ref="M25:Q25"/>
    <mergeCell ref="B2:G3"/>
    <mergeCell ref="I5:J5"/>
    <mergeCell ref="L5:R5"/>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55AE305A-7F86-4AF9-B1D4-0E1B3860D05E}"/>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6A17-D593-4053-8F70-456636ED931D}">
  <sheetPr codeName="Sheet7">
    <pageSetUpPr fitToPage="1"/>
  </sheetPr>
  <dimension ref="B2:AC33"/>
  <sheetViews>
    <sheetView zoomScaleNormal="100" workbookViewId="0">
      <selection activeCell="J21" sqref="J21"/>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Christiaan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1453</v>
      </c>
      <c r="E6" s="1" t="s">
        <v>57</v>
      </c>
      <c r="F6" s="7">
        <f>J11</f>
        <v>1460</v>
      </c>
      <c r="G6" s="19">
        <f>J7</f>
        <v>1253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42</v>
      </c>
      <c r="F7" s="7">
        <f>F6/J27*J26</f>
        <v>1676.2962962962963</v>
      </c>
      <c r="G7" s="7">
        <f>G6/J27*J26</f>
        <v>1438.6296296296296</v>
      </c>
      <c r="I7" s="7" t="s">
        <v>0</v>
      </c>
      <c r="J7" s="7">
        <v>1253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54.074074074074076</v>
      </c>
      <c r="G8" s="6">
        <f>G6/J27</f>
        <v>46.407407407407405</v>
      </c>
      <c r="I8" s="30" t="s">
        <v>4</v>
      </c>
      <c r="J8" s="7">
        <v>150</v>
      </c>
      <c r="L8" s="13">
        <v>300</v>
      </c>
      <c r="M8" s="1">
        <v>599</v>
      </c>
      <c r="N8" s="25">
        <v>100</v>
      </c>
      <c r="O8" s="26">
        <v>150</v>
      </c>
      <c r="P8" s="27">
        <v>200</v>
      </c>
      <c r="Q8" s="28">
        <v>250</v>
      </c>
      <c r="R8" s="29">
        <v>300</v>
      </c>
    </row>
    <row r="9" spans="2:29" x14ac:dyDescent="0.25">
      <c r="B9" s="1" t="s">
        <v>11</v>
      </c>
      <c r="C9" s="7">
        <f>VLOOKUP(IF(C13,F7,F6),N17:P23,3)</f>
        <v>300</v>
      </c>
      <c r="E9" s="1" t="s">
        <v>21</v>
      </c>
      <c r="F9" s="7">
        <f>IF(J31&gt;=M13, "Unlimited", J31-F6)</f>
        <v>39</v>
      </c>
      <c r="G9" s="7">
        <f>50*J28 + IF(J26&lt;30,(30-J26)*G8,0)</f>
        <v>200</v>
      </c>
      <c r="I9" s="30" t="s">
        <v>27</v>
      </c>
      <c r="J9" s="7">
        <v>282</v>
      </c>
      <c r="L9" s="13">
        <v>600</v>
      </c>
      <c r="M9" s="1">
        <v>899</v>
      </c>
      <c r="N9" s="25">
        <v>75</v>
      </c>
      <c r="O9" s="26">
        <v>100</v>
      </c>
      <c r="P9" s="27">
        <v>150</v>
      </c>
      <c r="Q9" s="28">
        <v>200</v>
      </c>
      <c r="R9" s="29">
        <v>300</v>
      </c>
    </row>
    <row r="10" spans="2:29" x14ac:dyDescent="0.25">
      <c r="B10" s="1" t="s">
        <v>13</v>
      </c>
      <c r="C10" s="7">
        <f>J12</f>
        <v>300</v>
      </c>
      <c r="E10" s="8"/>
      <c r="I10" s="30" t="s">
        <v>11</v>
      </c>
      <c r="J10" s="30">
        <v>300</v>
      </c>
      <c r="L10" s="13">
        <v>900</v>
      </c>
      <c r="M10" s="1">
        <v>1199</v>
      </c>
      <c r="N10" s="25">
        <v>50</v>
      </c>
      <c r="O10" s="26">
        <v>75</v>
      </c>
      <c r="P10" s="27">
        <v>100</v>
      </c>
      <c r="Q10" s="28">
        <v>175</v>
      </c>
      <c r="R10" s="29">
        <v>300</v>
      </c>
    </row>
    <row r="11" spans="2:29" x14ac:dyDescent="0.25">
      <c r="B11" s="1" t="s">
        <v>16</v>
      </c>
      <c r="C11" s="7">
        <f>SUM(C6:C10)</f>
        <v>2503</v>
      </c>
      <c r="E11" s="68" t="s">
        <v>27</v>
      </c>
      <c r="F11" s="69"/>
      <c r="G11" s="70"/>
      <c r="I11" s="30" t="s">
        <v>43</v>
      </c>
      <c r="J11" s="7">
        <v>1460</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NightTimeDrive11145[[#This Row],[Penalty Weight]]*NightTimeDrive11145[[#This Row],[Duration]]</f>
        <v>0</v>
      </c>
      <c r="I13" s="30" t="s">
        <v>20</v>
      </c>
      <c r="J13" s="30">
        <v>1529</v>
      </c>
      <c r="L13" s="14">
        <v>1800</v>
      </c>
      <c r="M13" s="12">
        <v>1800</v>
      </c>
      <c r="N13" s="32">
        <v>5</v>
      </c>
      <c r="O13" s="33">
        <v>10</v>
      </c>
      <c r="P13" s="34">
        <v>25</v>
      </c>
      <c r="Q13" s="35">
        <v>60</v>
      </c>
      <c r="R13" s="36">
        <v>100</v>
      </c>
      <c r="W13"/>
      <c r="Z13" s="9"/>
      <c r="AA13" s="3"/>
    </row>
    <row r="14" spans="2:29" x14ac:dyDescent="0.25">
      <c r="B14" s="1" t="s">
        <v>20</v>
      </c>
      <c r="C14" s="37">
        <f>J13</f>
        <v>1529</v>
      </c>
      <c r="E14" s="1" t="s">
        <v>46</v>
      </c>
      <c r="F14" s="1">
        <f>SUBTOTAL(109,NightTimeDrive11145[Duration])</f>
        <v>0</v>
      </c>
      <c r="G14" s="1">
        <f>SUBTOTAL(109,NightTimeDrive11145[Points])</f>
        <v>0</v>
      </c>
      <c r="I14" s="7" t="s">
        <v>37</v>
      </c>
      <c r="J14" s="7" t="s">
        <v>18</v>
      </c>
      <c r="T14"/>
      <c r="U14"/>
      <c r="V14"/>
      <c r="W14"/>
      <c r="X14"/>
    </row>
    <row r="15" spans="2:29" x14ac:dyDescent="0.25">
      <c r="B15" s="1" t="s">
        <v>23</v>
      </c>
      <c r="C15" s="38" t="str">
        <f>_xlfn.CONCAT("Đ",J32*VLOOKUP(C12,O26:P31,2,FALSE)*10)</f>
        <v>Đ7645</v>
      </c>
      <c r="D15" s="4"/>
      <c r="N15" s="68" t="str">
        <f>_xlfn.CONCAT("Distance Points for ",J14)</f>
        <v>Distance Points for Diamond</v>
      </c>
      <c r="O15" s="69"/>
      <c r="P15" s="70"/>
      <c r="T15"/>
      <c r="U15"/>
      <c r="V15" s="10"/>
      <c r="W15"/>
      <c r="X15"/>
      <c r="AA15" s="3"/>
      <c r="AB15" s="3"/>
    </row>
    <row r="16" spans="2:29" x14ac:dyDescent="0.25">
      <c r="B16" s="1" t="s">
        <v>47</v>
      </c>
      <c r="C16" s="37">
        <f>MAX(0,C11-C14)</f>
        <v>974</v>
      </c>
      <c r="I16" s="65" t="s">
        <v>38</v>
      </c>
      <c r="J16" s="65"/>
      <c r="N16" s="18" t="s">
        <v>5</v>
      </c>
      <c r="O16" s="18" t="s">
        <v>6</v>
      </c>
      <c r="P16" s="18" t="s">
        <v>2</v>
      </c>
      <c r="T16"/>
      <c r="U16"/>
      <c r="W16"/>
    </row>
    <row r="17" spans="9:17" ht="14.45" customHeight="1" x14ac:dyDescent="0.25">
      <c r="I17" s="18" t="s">
        <v>30</v>
      </c>
      <c r="J17" s="18" t="s">
        <v>31</v>
      </c>
      <c r="N17" s="1" cm="1">
        <f t="array" ref="N17:N23">DistancePointsStefan6[Lower]</f>
        <v>0</v>
      </c>
      <c r="O17" s="1" cm="1">
        <f t="array" ref="O17:O23">DistancePointsStefan6[Upper]</f>
        <v>299</v>
      </c>
      <c r="P17" s="1" cm="1">
        <f t="array" ref="P17:P23">_xlfn.XLOOKUP(J14,DistancePointsStefan6[#Headers],DistancePointsStefan6[])</f>
        <v>300</v>
      </c>
    </row>
    <row r="18" spans="9:17" x14ac:dyDescent="0.25">
      <c r="I18" s="1" t="s">
        <v>32</v>
      </c>
      <c r="J18" s="1" t="s">
        <v>25</v>
      </c>
      <c r="N18" s="1">
        <v>300</v>
      </c>
      <c r="O18" s="1">
        <v>599</v>
      </c>
      <c r="P18" s="1">
        <v>300</v>
      </c>
    </row>
    <row r="19" spans="9:17" x14ac:dyDescent="0.25">
      <c r="I19" s="1" t="s">
        <v>33</v>
      </c>
      <c r="J19" s="1">
        <v>10</v>
      </c>
      <c r="N19" s="1">
        <v>600</v>
      </c>
      <c r="O19" s="1">
        <v>899</v>
      </c>
      <c r="P19" s="1">
        <v>300</v>
      </c>
    </row>
    <row r="20" spans="9:17" x14ac:dyDescent="0.25">
      <c r="I20" s="1" t="s">
        <v>56</v>
      </c>
      <c r="J20" s="64">
        <v>45805</v>
      </c>
      <c r="N20" s="1">
        <v>900</v>
      </c>
      <c r="O20" s="1">
        <v>1199</v>
      </c>
      <c r="P20" s="1">
        <v>300</v>
      </c>
    </row>
    <row r="21" spans="9:17" x14ac:dyDescent="0.25">
      <c r="N21" s="1">
        <v>1200</v>
      </c>
      <c r="O21" s="1">
        <v>1499</v>
      </c>
      <c r="P21" s="1">
        <v>300</v>
      </c>
    </row>
    <row r="22" spans="9:17" x14ac:dyDescent="0.25">
      <c r="I22" s="68" t="s">
        <v>29</v>
      </c>
      <c r="J22" s="70"/>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MAX(0,300-NightTimeDrive11145[[#Totals],[Points]])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3</v>
      </c>
      <c r="M29" s="45">
        <v>1600</v>
      </c>
      <c r="N29" s="27">
        <v>2199</v>
      </c>
      <c r="O29" s="27" t="s">
        <v>15</v>
      </c>
      <c r="P29" s="46">
        <v>0.2</v>
      </c>
      <c r="Q29" s="47" t="s">
        <v>51</v>
      </c>
    </row>
    <row r="30" spans="9:17" x14ac:dyDescent="0.25">
      <c r="I30" s="58" t="s">
        <v>40</v>
      </c>
      <c r="J30" s="63">
        <f>MAX(0,C9-J29)</f>
        <v>297</v>
      </c>
      <c r="M30" s="48">
        <v>2200</v>
      </c>
      <c r="N30" s="49">
        <v>2499</v>
      </c>
      <c r="O30" s="49" t="s">
        <v>17</v>
      </c>
      <c r="P30" s="50">
        <v>0.35</v>
      </c>
      <c r="Q30" s="51" t="s">
        <v>52</v>
      </c>
    </row>
    <row r="31" spans="9:17" x14ac:dyDescent="0.25">
      <c r="I31" s="57" t="s">
        <v>41</v>
      </c>
      <c r="J31" s="60" cm="1">
        <f t="array" ref="J31">MAX(_xlfn._xlws.FILTER(_xlfn.ANCHORARRAY(O17),_xlfn.ANCHORARRAY( P17)&gt;=J30))</f>
        <v>1499</v>
      </c>
      <c r="M31" s="52">
        <v>2500</v>
      </c>
      <c r="N31" s="53">
        <v>3000</v>
      </c>
      <c r="O31" s="53" t="s">
        <v>18</v>
      </c>
      <c r="P31" s="54">
        <v>0.5</v>
      </c>
      <c r="Q31" s="55" t="s">
        <v>54</v>
      </c>
    </row>
    <row r="32" spans="9:17" x14ac:dyDescent="0.25">
      <c r="I32" s="11" t="s">
        <v>53</v>
      </c>
      <c r="J32" s="7">
        <f>MIN(C14,C11)</f>
        <v>1529</v>
      </c>
    </row>
    <row r="33" spans="9:10" x14ac:dyDescent="0.25">
      <c r="I33" s="11" t="s">
        <v>55</v>
      </c>
      <c r="J33" s="7">
        <f>SUM(J7:J10,J12)</f>
        <v>2285</v>
      </c>
    </row>
  </sheetData>
  <protectedRanges>
    <protectedRange sqref="C7:C8 C10 C16 C14" name="RequiresInput_1"/>
    <protectedRange sqref="F6:G6" name="RequiresInput_1_1"/>
  </protectedRanges>
  <dataConsolidate/>
  <mergeCells count="9">
    <mergeCell ref="AB5:AC5"/>
    <mergeCell ref="E11:G11"/>
    <mergeCell ref="N15:P15"/>
    <mergeCell ref="I16:J16"/>
    <mergeCell ref="I22:J22"/>
    <mergeCell ref="M25:Q25"/>
    <mergeCell ref="B2:G3"/>
    <mergeCell ref="I5:J5"/>
    <mergeCell ref="L5:R5"/>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A780248F-018C-4397-8717-14F015DB73C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B4226-F077-49E5-B8E6-276F2FD0903D}">
  <sheetPr codeName="Sheet6">
    <pageSetUpPr fitToPage="1"/>
  </sheetPr>
  <dimension ref="B2:AC33"/>
  <sheetViews>
    <sheetView tabSelected="1" zoomScaleNormal="100" workbookViewId="0">
      <selection activeCell="G16" sqref="G16"/>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_xlfn.CONCAT("Drive Summary ",J18, " ",TEXT(J20, "mmmm yyyy"))</f>
        <v>Drive Summary Derrick May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May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57</v>
      </c>
      <c r="F6" s="7">
        <f>J11</f>
        <v>1629</v>
      </c>
      <c r="G6" s="19">
        <f>J7</f>
        <v>1333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42</v>
      </c>
      <c r="F7" s="7">
        <f>F6/J27*J26</f>
        <v>1870.3333333333335</v>
      </c>
      <c r="G7" s="7">
        <f>G6/J27*J26</f>
        <v>1530.4814814814815</v>
      </c>
      <c r="I7" s="7" t="s">
        <v>0</v>
      </c>
      <c r="J7" s="7">
        <v>1333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60.333333333333336</v>
      </c>
      <c r="G8" s="6">
        <f>G6/J27</f>
        <v>49.370370370370374</v>
      </c>
      <c r="I8" s="30" t="s">
        <v>4</v>
      </c>
      <c r="J8" s="7">
        <v>300</v>
      </c>
      <c r="L8" s="13">
        <v>300</v>
      </c>
      <c r="M8" s="1">
        <v>599</v>
      </c>
      <c r="N8" s="25">
        <v>100</v>
      </c>
      <c r="O8" s="26">
        <v>150</v>
      </c>
      <c r="P8" s="27">
        <v>200</v>
      </c>
      <c r="Q8" s="28">
        <v>250</v>
      </c>
      <c r="R8" s="29">
        <v>300</v>
      </c>
    </row>
    <row r="9" spans="2:29" x14ac:dyDescent="0.25">
      <c r="B9" s="1" t="s">
        <v>11</v>
      </c>
      <c r="C9" s="7">
        <f>VLOOKUP(IF(C13,F7,F6),N17:P23,3)</f>
        <v>100</v>
      </c>
      <c r="E9" s="1" t="s">
        <v>21</v>
      </c>
      <c r="F9" s="7">
        <f>IF(J31&gt;=M13, "Unlimited", J31-F6)</f>
        <v>170</v>
      </c>
      <c r="G9" s="7">
        <f>50*J28 + IF(J26&lt;30,(30-J26)*G8,0)</f>
        <v>200</v>
      </c>
      <c r="I9" s="30" t="s">
        <v>27</v>
      </c>
      <c r="J9" s="7">
        <v>288</v>
      </c>
      <c r="L9" s="13">
        <v>600</v>
      </c>
      <c r="M9" s="1">
        <v>899</v>
      </c>
      <c r="N9" s="25">
        <v>75</v>
      </c>
      <c r="O9" s="26">
        <v>100</v>
      </c>
      <c r="P9" s="27">
        <v>150</v>
      </c>
      <c r="Q9" s="28">
        <v>200</v>
      </c>
      <c r="R9" s="29">
        <v>300</v>
      </c>
    </row>
    <row r="10" spans="2:29" x14ac:dyDescent="0.25">
      <c r="B10" s="1" t="s">
        <v>13</v>
      </c>
      <c r="C10" s="7">
        <f>J12</f>
        <v>300</v>
      </c>
      <c r="E10" s="8"/>
      <c r="I10" s="30" t="s">
        <v>11</v>
      </c>
      <c r="J10" s="30">
        <v>60</v>
      </c>
      <c r="L10" s="13">
        <v>900</v>
      </c>
      <c r="M10" s="1">
        <v>1199</v>
      </c>
      <c r="N10" s="25">
        <v>50</v>
      </c>
      <c r="O10" s="26">
        <v>75</v>
      </c>
      <c r="P10" s="27">
        <v>100</v>
      </c>
      <c r="Q10" s="28">
        <v>175</v>
      </c>
      <c r="R10" s="29">
        <v>300</v>
      </c>
    </row>
    <row r="11" spans="2:29" x14ac:dyDescent="0.25">
      <c r="B11" s="1" t="s">
        <v>16</v>
      </c>
      <c r="C11" s="7">
        <f>SUM(C6:C10)</f>
        <v>2500</v>
      </c>
      <c r="E11" s="68" t="s">
        <v>27</v>
      </c>
      <c r="F11" s="69"/>
      <c r="G11" s="70"/>
      <c r="I11" s="30" t="s">
        <v>43</v>
      </c>
      <c r="J11" s="7">
        <v>1629</v>
      </c>
      <c r="L11" s="13">
        <v>1200</v>
      </c>
      <c r="M11" s="1">
        <v>1499</v>
      </c>
      <c r="N11" s="25">
        <v>25</v>
      </c>
      <c r="O11" s="26">
        <v>50</v>
      </c>
      <c r="P11" s="27">
        <v>75</v>
      </c>
      <c r="Q11" s="28">
        <v>125</v>
      </c>
      <c r="R11" s="29">
        <v>300</v>
      </c>
      <c r="Z11"/>
    </row>
    <row r="12" spans="2:29" x14ac:dyDescent="0.25">
      <c r="B12" s="1" t="s">
        <v>19</v>
      </c>
      <c r="C12" s="1" t="str">
        <f>VLOOKUP(C11,M27:O31,3,TRUE)</f>
        <v>Diamond</v>
      </c>
      <c r="D12" s="3"/>
      <c r="E12" s="16" t="s">
        <v>44</v>
      </c>
      <c r="F12" s="17" t="s">
        <v>45</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v>2</v>
      </c>
      <c r="F13" s="1">
        <v>0</v>
      </c>
      <c r="G13" s="1">
        <f>NightTimeDrive11142[[#This Row],[Penalty Weight]]*NightTimeDrive11142[[#This Row],[Duration]]</f>
        <v>0</v>
      </c>
      <c r="I13" s="30" t="s">
        <v>20</v>
      </c>
      <c r="J13" s="30">
        <v>2213.4699999999998</v>
      </c>
      <c r="L13" s="14">
        <v>1800</v>
      </c>
      <c r="M13" s="12">
        <v>1800</v>
      </c>
      <c r="N13" s="32">
        <v>5</v>
      </c>
      <c r="O13" s="33">
        <v>10</v>
      </c>
      <c r="P13" s="34">
        <v>25</v>
      </c>
      <c r="Q13" s="35">
        <v>60</v>
      </c>
      <c r="R13" s="36">
        <v>100</v>
      </c>
      <c r="W13"/>
      <c r="Z13" s="9"/>
      <c r="AA13" s="3"/>
    </row>
    <row r="14" spans="2:29" x14ac:dyDescent="0.25">
      <c r="B14" s="1" t="s">
        <v>20</v>
      </c>
      <c r="C14" s="37">
        <f>J13</f>
        <v>2213.4699999999998</v>
      </c>
      <c r="E14" s="1" t="s">
        <v>46</v>
      </c>
      <c r="F14" s="1">
        <f>SUBTOTAL(109,NightTimeDrive11142[Duration])</f>
        <v>0</v>
      </c>
      <c r="G14" s="1">
        <f>SUBTOTAL(109,NightTimeDrive11142[Points])</f>
        <v>0</v>
      </c>
      <c r="I14" s="7" t="s">
        <v>37</v>
      </c>
      <c r="J14" s="7" t="s">
        <v>17</v>
      </c>
      <c r="T14"/>
      <c r="U14"/>
      <c r="V14"/>
      <c r="W14"/>
      <c r="X14"/>
    </row>
    <row r="15" spans="2:29" x14ac:dyDescent="0.25">
      <c r="B15" s="1" t="s">
        <v>23</v>
      </c>
      <c r="C15" s="38" t="str">
        <f>_xlfn.CONCAT("Đ",J32*VLOOKUP(C12,O26:P31,2,FALSE)*10)</f>
        <v>Đ11067.35</v>
      </c>
      <c r="D15" s="4"/>
      <c r="N15" s="68" t="str">
        <f>_xlfn.CONCAT("Distance Points for ",J14)</f>
        <v>Distance Points for Gold</v>
      </c>
      <c r="O15" s="69"/>
      <c r="P15" s="70"/>
      <c r="T15"/>
      <c r="U15"/>
      <c r="V15" s="10"/>
      <c r="W15"/>
      <c r="X15"/>
      <c r="AA15" s="3"/>
      <c r="AB15" s="3"/>
    </row>
    <row r="16" spans="2:29" x14ac:dyDescent="0.25">
      <c r="B16" s="1" t="s">
        <v>47</v>
      </c>
      <c r="C16" s="37">
        <f>MAX(0,C11-C14)</f>
        <v>286.5300000000002</v>
      </c>
      <c r="I16" s="65" t="s">
        <v>38</v>
      </c>
      <c r="J16" s="65"/>
      <c r="N16" s="18" t="s">
        <v>5</v>
      </c>
      <c r="O16" s="18" t="s">
        <v>6</v>
      </c>
      <c r="P16" s="18" t="s">
        <v>2</v>
      </c>
      <c r="T16"/>
      <c r="U16"/>
      <c r="W16"/>
    </row>
    <row r="17" spans="9:17" ht="14.45" customHeight="1" x14ac:dyDescent="0.25">
      <c r="I17" s="18" t="s">
        <v>30</v>
      </c>
      <c r="J17" s="18" t="s">
        <v>31</v>
      </c>
      <c r="N17" s="1" cm="1">
        <f t="array" ref="N17:N23">DistancePointsStefan3[Lower]</f>
        <v>0</v>
      </c>
      <c r="O17" s="1" cm="1">
        <f t="array" ref="O17:O23">DistancePointsStefan3[Upper]</f>
        <v>299</v>
      </c>
      <c r="P17" s="1" cm="1">
        <f t="array" ref="P17:P23">_xlfn.XLOOKUP(J14,DistancePointsStefan3[#Headers],DistancePointsStefan3[])</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56</v>
      </c>
      <c r="J20" s="64">
        <v>45805</v>
      </c>
      <c r="N20" s="1">
        <v>900</v>
      </c>
      <c r="O20" s="1">
        <v>1199</v>
      </c>
      <c r="P20" s="1">
        <v>175</v>
      </c>
    </row>
    <row r="21" spans="9:17" x14ac:dyDescent="0.25">
      <c r="N21" s="1">
        <v>1200</v>
      </c>
      <c r="O21" s="1">
        <v>1499</v>
      </c>
      <c r="P21" s="1">
        <v>125</v>
      </c>
    </row>
    <row r="22" spans="9:17" x14ac:dyDescent="0.25">
      <c r="I22" s="68" t="s">
        <v>29</v>
      </c>
      <c r="J22" s="70"/>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MAX(0,300-NightTimeDrive11142[[#Totals],[Points]])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May 2025</v>
      </c>
      <c r="J26" s="61">
        <f>DAY(EOMONTH(J20, 0))</f>
        <v>31</v>
      </c>
      <c r="M26" s="18" t="s">
        <v>5</v>
      </c>
      <c r="N26" s="18" t="s">
        <v>6</v>
      </c>
      <c r="O26" s="18" t="s">
        <v>7</v>
      </c>
      <c r="P26" s="18" t="s">
        <v>8</v>
      </c>
      <c r="Q26" s="18" t="s">
        <v>48</v>
      </c>
    </row>
    <row r="27" spans="9:17" x14ac:dyDescent="0.25">
      <c r="I27" s="58" t="s">
        <v>35</v>
      </c>
      <c r="J27" s="61">
        <f>DAY(J20)-1</f>
        <v>27</v>
      </c>
      <c r="M27" s="39">
        <v>0</v>
      </c>
      <c r="N27" s="25">
        <v>799</v>
      </c>
      <c r="O27" s="25" t="s">
        <v>10</v>
      </c>
      <c r="P27" s="40">
        <v>0.05</v>
      </c>
      <c r="Q27" s="41" t="s">
        <v>49</v>
      </c>
    </row>
    <row r="28" spans="9:17" x14ac:dyDescent="0.25">
      <c r="I28" s="57" t="s">
        <v>36</v>
      </c>
      <c r="J28" s="60">
        <f>J26-J27</f>
        <v>4</v>
      </c>
      <c r="M28" s="42">
        <v>800</v>
      </c>
      <c r="N28" s="26">
        <v>1599</v>
      </c>
      <c r="O28" s="26" t="s">
        <v>12</v>
      </c>
      <c r="P28" s="43">
        <v>0.1</v>
      </c>
      <c r="Q28" s="44" t="s">
        <v>50</v>
      </c>
    </row>
    <row r="29" spans="9:17" x14ac:dyDescent="0.25">
      <c r="I29" s="56" t="s">
        <v>39</v>
      </c>
      <c r="J29" s="62">
        <f>C11-VLOOKUP(C11,M27:O31,1,TRUE)</f>
        <v>0</v>
      </c>
      <c r="M29" s="45">
        <v>1600</v>
      </c>
      <c r="N29" s="27">
        <v>2199</v>
      </c>
      <c r="O29" s="27" t="s">
        <v>15</v>
      </c>
      <c r="P29" s="46">
        <v>0.2</v>
      </c>
      <c r="Q29" s="47" t="s">
        <v>51</v>
      </c>
    </row>
    <row r="30" spans="9:17" x14ac:dyDescent="0.25">
      <c r="I30" s="58" t="s">
        <v>40</v>
      </c>
      <c r="J30" s="63">
        <f>MAX(0,C9-J29)</f>
        <v>100</v>
      </c>
      <c r="M30" s="48">
        <v>2200</v>
      </c>
      <c r="N30" s="49">
        <v>2499</v>
      </c>
      <c r="O30" s="49" t="s">
        <v>17</v>
      </c>
      <c r="P30" s="50">
        <v>0.35</v>
      </c>
      <c r="Q30" s="51" t="s">
        <v>52</v>
      </c>
    </row>
    <row r="31" spans="9:17" x14ac:dyDescent="0.25">
      <c r="I31" s="57" t="s">
        <v>41</v>
      </c>
      <c r="J31" s="60" cm="1">
        <f t="array" ref="J31">MAX(_xlfn._xlws.FILTER(_xlfn.ANCHORARRAY(O17),_xlfn.ANCHORARRAY( P17)&gt;=J30))</f>
        <v>1799</v>
      </c>
      <c r="M31" s="52">
        <v>2500</v>
      </c>
      <c r="N31" s="53">
        <v>3000</v>
      </c>
      <c r="O31" s="53" t="s">
        <v>18</v>
      </c>
      <c r="P31" s="54">
        <v>0.5</v>
      </c>
      <c r="Q31" s="55" t="s">
        <v>54</v>
      </c>
    </row>
    <row r="32" spans="9:17" x14ac:dyDescent="0.25">
      <c r="I32" s="11" t="s">
        <v>53</v>
      </c>
      <c r="J32" s="7">
        <f>MIN(C14,C11)</f>
        <v>2213.4699999999998</v>
      </c>
    </row>
    <row r="33" spans="9:10" x14ac:dyDescent="0.25">
      <c r="I33" s="11" t="s">
        <v>55</v>
      </c>
      <c r="J33" s="7">
        <f>SUM(J7:J10,J12)</f>
        <v>2281</v>
      </c>
    </row>
  </sheetData>
  <protectedRanges>
    <protectedRange sqref="C7:C8 C10 C16 C14" name="RequiresInput_1"/>
    <protectedRange sqref="F6:G6" name="RequiresInput_1_1"/>
  </protectedRanges>
  <dataConsolidate/>
  <mergeCells count="9">
    <mergeCell ref="AB5:AC5"/>
    <mergeCell ref="E11:G11"/>
    <mergeCell ref="N15:P15"/>
    <mergeCell ref="I16:J16"/>
    <mergeCell ref="I22:J22"/>
    <mergeCell ref="M25:Q25"/>
    <mergeCell ref="B2:G3"/>
    <mergeCell ref="I5:J5"/>
    <mergeCell ref="L5:R5"/>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E0B4623A-20E7-4D84-9B83-6872F9831EB6}"/>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2025-05-29T12:01:37Z</dcterms:modified>
  <cp:category/>
  <cp:contentStatus/>
</cp:coreProperties>
</file>