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DEV" sheetId="1" state="visible" r:id="rId1"/>
  </sheets>
  <externalReferences>
    <externalReference xmlns:r="http://schemas.openxmlformats.org/officeDocument/2006/relationships" r:id="rId2"/>
  </externalReferences>
  <definedNames>
    <definedName name="Username">#REF!</definedName>
    <definedName name="Username" localSheetId="0">DEV!$J$23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&quot;R&quot;#,##0"/>
    <numFmt numFmtId="166" formatCode="[$£-809]#,##0"/>
    <numFmt numFmtId="167" formatCode="[$R-1C09]#,##0.00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20"/>
      <scheme val="minor"/>
    </font>
    <font>
      <name val="Calibri"/>
      <family val="2"/>
      <color theme="1"/>
      <sz val="22"/>
      <scheme val="minor"/>
    </font>
    <font>
      <name val="Calibri"/>
      <family val="2"/>
      <sz val="11"/>
      <scheme val="minor"/>
    </font>
    <font>
      <name val="72 Monospace"/>
      <family val="3"/>
      <color theme="1"/>
      <sz val="10"/>
    </font>
  </fonts>
  <fills count="8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theme="4" tint="0.3999450666829432"/>
        <bgColor indexed="64"/>
      </patternFill>
    </fill>
    <fill>
      <patternFill patternType="solid">
        <fgColor theme="5" tint="0.3999450666829432"/>
        <bgColor indexed="64"/>
      </patternFill>
    </fill>
    <fill>
      <patternFill patternType="solid">
        <fgColor theme="6" tint="0.5999633777886288"/>
        <bgColor indexed="64"/>
      </patternFill>
    </fill>
    <fill>
      <patternFill patternType="solid">
        <fgColor theme="7" tint="0.3999450666829432"/>
        <bgColor indexed="64"/>
      </patternFill>
    </fill>
    <fill>
      <patternFill patternType="solid">
        <fgColor rgb="FFD9B3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</borders>
  <cellStyleXfs count="11">
    <xf numFmtId="0" fontId="1" fillId="0" borderId="0"/>
    <xf numFmtId="0" fontId="1" fillId="3" borderId="0" applyAlignment="1">
      <alignment horizontal="center" vertical="center"/>
    </xf>
    <xf numFmtId="0" fontId="1" fillId="4" borderId="3" applyAlignment="1">
      <alignment horizontal="center" vertical="center"/>
    </xf>
    <xf numFmtId="0" fontId="1" fillId="5" borderId="0"/>
    <xf numFmtId="0" fontId="1" fillId="6" borderId="3" applyAlignment="1">
      <alignment horizontal="center" vertical="center"/>
    </xf>
    <xf numFmtId="0" fontId="1" fillId="7" borderId="3" applyAlignment="1">
      <alignment horizontal="center" vertical="center"/>
    </xf>
    <xf numFmtId="0" fontId="1" fillId="3" borderId="0" applyAlignment="1">
      <alignment horizontal="center" vertical="center"/>
    </xf>
    <xf numFmtId="0" fontId="1" fillId="4" borderId="3" applyAlignment="1">
      <alignment horizontal="center" vertical="center"/>
    </xf>
    <xf numFmtId="0" fontId="1" fillId="5" borderId="0"/>
    <xf numFmtId="0" fontId="1" fillId="6" borderId="3" applyAlignment="1">
      <alignment horizontal="center" vertical="center"/>
    </xf>
    <xf numFmtId="0" fontId="1" fillId="7" borderId="3" applyAlignment="1">
      <alignment horizontal="center" vertical="center"/>
    </xf>
  </cellStyleXfs>
  <cellXfs count="73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2" borderId="1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0" fillId="2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1" fontId="0" fillId="0" borderId="3" applyAlignment="1" pivotButton="0" quotePrefix="0" xfId="0">
      <alignment horizontal="center" vertical="center"/>
    </xf>
    <xf numFmtId="1" fontId="0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1" fontId="0" fillId="0" borderId="0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164" fontId="0" fillId="0" borderId="3" applyAlignment="1" pivotButton="0" quotePrefix="0" xfId="0">
      <alignment horizontal="center" vertical="center"/>
    </xf>
    <xf numFmtId="1" fontId="0" fillId="0" borderId="2" applyAlignment="1" pivotButton="0" quotePrefix="0" xfId="0">
      <alignment horizontal="center" vertical="center"/>
    </xf>
    <xf numFmtId="0" fontId="4" fillId="0" borderId="0" pivotButton="0" quotePrefix="0" xfId="0"/>
    <xf numFmtId="0" fontId="0" fillId="0" borderId="9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165" fontId="0" fillId="0" borderId="3" applyAlignment="1" pivotButton="0" quotePrefix="0" xfId="0">
      <alignment horizontal="center" vertical="center"/>
    </xf>
    <xf numFmtId="166" fontId="0" fillId="0" borderId="3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  <xf numFmtId="1" fontId="0" fillId="0" borderId="0" pivotButton="0" quotePrefix="0" xfId="0"/>
    <xf numFmtId="14" fontId="0" fillId="0" borderId="3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1" fontId="0" fillId="0" borderId="11" applyAlignment="1" pivotButton="0" quotePrefix="0" xfId="0">
      <alignment horizontal="center" vertical="center"/>
    </xf>
    <xf numFmtId="1" fontId="0" fillId="0" borderId="15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2" borderId="3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  <xf numFmtId="0" fontId="0" fillId="2" borderId="8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3" borderId="4" applyAlignment="1" pivotButton="0" quotePrefix="0" xfId="6">
      <alignment horizontal="center" vertical="center"/>
    </xf>
    <xf numFmtId="0" fontId="0" fillId="4" borderId="4" applyAlignment="1" pivotButton="0" quotePrefix="0" xfId="7">
      <alignment horizontal="center" vertical="center"/>
    </xf>
    <xf numFmtId="0" fontId="0" fillId="5" borderId="4" applyAlignment="1" pivotButton="0" quotePrefix="0" xfId="8">
      <alignment horizontal="center" vertical="center"/>
    </xf>
    <xf numFmtId="0" fontId="0" fillId="6" borderId="4" applyAlignment="1" pivotButton="0" quotePrefix="0" xfId="9">
      <alignment horizontal="center" vertical="center"/>
    </xf>
    <xf numFmtId="0" fontId="1" fillId="7" borderId="5" applyAlignment="1" pivotButton="0" quotePrefix="0" xfId="10">
      <alignment horizontal="center" vertical="center"/>
    </xf>
    <xf numFmtId="0" fontId="0" fillId="3" borderId="3" applyAlignment="1" pivotButton="0" quotePrefix="0" xfId="6">
      <alignment horizontal="center" vertical="center"/>
    </xf>
    <xf numFmtId="0" fontId="0" fillId="4" borderId="3" applyAlignment="1" pivotButton="0" quotePrefix="0" xfId="7">
      <alignment horizontal="center" vertical="center"/>
    </xf>
    <xf numFmtId="0" fontId="0" fillId="5" borderId="3" applyAlignment="1" pivotButton="0" quotePrefix="0" xfId="8">
      <alignment horizontal="center" vertical="center"/>
    </xf>
    <xf numFmtId="0" fontId="0" fillId="6" borderId="3" applyAlignment="1" pivotButton="0" quotePrefix="0" xfId="9">
      <alignment horizontal="center" vertical="center"/>
    </xf>
    <xf numFmtId="0" fontId="1" fillId="7" borderId="7" applyAlignment="1" pivotButton="0" quotePrefix="0" xfId="10">
      <alignment horizontal="center" vertical="center"/>
    </xf>
    <xf numFmtId="0" fontId="0" fillId="3" borderId="2" applyAlignment="1" pivotButton="0" quotePrefix="0" xfId="6">
      <alignment horizontal="center" vertical="center"/>
    </xf>
    <xf numFmtId="0" fontId="0" fillId="4" borderId="2" applyAlignment="1" pivotButton="0" quotePrefix="0" xfId="7">
      <alignment horizontal="center" vertical="center"/>
    </xf>
    <xf numFmtId="0" fontId="0" fillId="5" borderId="2" applyAlignment="1" pivotButton="0" quotePrefix="0" xfId="8">
      <alignment horizontal="center" vertical="center"/>
    </xf>
    <xf numFmtId="0" fontId="0" fillId="6" borderId="2" applyAlignment="1" pivotButton="0" quotePrefix="0" xfId="9">
      <alignment horizontal="center" vertical="center"/>
    </xf>
    <xf numFmtId="0" fontId="1" fillId="7" borderId="1" applyAlignment="1" pivotButton="0" quotePrefix="0" xfId="10">
      <alignment horizontal="center" vertical="center"/>
    </xf>
    <xf numFmtId="0" fontId="0" fillId="3" borderId="6" applyAlignment="1" pivotButton="0" quotePrefix="0" xfId="6">
      <alignment horizontal="center" vertical="center"/>
    </xf>
    <xf numFmtId="9" fontId="0" fillId="3" borderId="3" applyAlignment="1" pivotButton="0" quotePrefix="0" xfId="6">
      <alignment horizontal="center" vertical="center"/>
    </xf>
    <xf numFmtId="9" fontId="5" fillId="3" borderId="7" applyAlignment="1" pivotButton="0" quotePrefix="0" xfId="6">
      <alignment horizontal="center" vertical="center"/>
    </xf>
    <xf numFmtId="0" fontId="0" fillId="4" borderId="6" applyAlignment="1" pivotButton="0" quotePrefix="0" xfId="7">
      <alignment horizontal="center" vertical="center"/>
    </xf>
    <xf numFmtId="9" fontId="0" fillId="4" borderId="3" applyAlignment="1" pivotButton="0" quotePrefix="0" xfId="7">
      <alignment horizontal="center" vertical="center"/>
    </xf>
    <xf numFmtId="9" fontId="5" fillId="4" borderId="7" applyAlignment="1" pivotButton="0" quotePrefix="0" xfId="7">
      <alignment horizontal="center" vertical="center"/>
    </xf>
    <xf numFmtId="0" fontId="0" fillId="5" borderId="6" applyAlignment="1" pivotButton="0" quotePrefix="0" xfId="8">
      <alignment horizontal="center" vertical="center"/>
    </xf>
    <xf numFmtId="9" fontId="0" fillId="5" borderId="3" applyAlignment="1" pivotButton="0" quotePrefix="0" xfId="8">
      <alignment horizontal="center" vertical="center"/>
    </xf>
    <xf numFmtId="9" fontId="5" fillId="5" borderId="7" applyAlignment="1" pivotButton="0" quotePrefix="0" xfId="8">
      <alignment horizontal="center" vertical="center"/>
    </xf>
    <xf numFmtId="0" fontId="1" fillId="6" borderId="6" applyAlignment="1" pivotButton="0" quotePrefix="0" xfId="9">
      <alignment horizontal="center" vertical="center"/>
    </xf>
    <xf numFmtId="0" fontId="1" fillId="6" borderId="3" applyAlignment="1" pivotButton="0" quotePrefix="0" xfId="9">
      <alignment horizontal="center" vertical="center"/>
    </xf>
    <xf numFmtId="9" fontId="1" fillId="6" borderId="3" applyAlignment="1" pivotButton="0" quotePrefix="0" xfId="9">
      <alignment horizontal="center" vertical="center"/>
    </xf>
    <xf numFmtId="9" fontId="5" fillId="6" borderId="7" applyAlignment="1" pivotButton="0" quotePrefix="0" xfId="9">
      <alignment horizontal="center" vertical="center"/>
    </xf>
    <xf numFmtId="0" fontId="1" fillId="7" borderId="9" applyAlignment="1" pivotButton="0" quotePrefix="0" xfId="10">
      <alignment horizontal="center" vertical="center"/>
    </xf>
    <xf numFmtId="0" fontId="1" fillId="7" borderId="2" applyAlignment="1" pivotButton="0" quotePrefix="0" xfId="10">
      <alignment horizontal="center" vertical="center"/>
    </xf>
    <xf numFmtId="9" fontId="1" fillId="7" borderId="2" applyAlignment="1" pivotButton="0" quotePrefix="0" xfId="10">
      <alignment horizontal="center" vertical="center"/>
    </xf>
    <xf numFmtId="9" fontId="5" fillId="7" borderId="1" applyAlignment="1" pivotButton="0" quotePrefix="0" xfId="10">
      <alignment horizontal="center" vertical="center"/>
    </xf>
    <xf numFmtId="0" fontId="0" fillId="0" borderId="6" pivotButton="0" quotePrefix="0" xfId="0"/>
    <xf numFmtId="0" fontId="0" fillId="0" borderId="8" pivotButton="0" quotePrefix="0" xfId="0"/>
  </cellXfs>
  <cellStyles count="11">
    <cellStyle name="Normal" xfId="0" builtinId="0"/>
    <cellStyle name="Blue" xfId="1"/>
    <cellStyle name="Bronze" xfId="2"/>
    <cellStyle name="Silver" xfId="3"/>
    <cellStyle name="Gold" xfId="4"/>
    <cellStyle name="Diamond" xfId="5"/>
    <cellStyle name="Blue 2" xfId="6"/>
    <cellStyle name="Bronze 2" xfId="7"/>
    <cellStyle name="Silver 2" xfId="8"/>
    <cellStyle name="Gold 2" xfId="9"/>
    <cellStyle name="Diamond 2" xfId="10"/>
  </cellStyles>
  <dxfs count="46">
    <dxf>
      <font>
        <name val="72 Monospace"/>
        <family val="3"/>
        <strike val="0"/>
        <outline val="0"/>
        <shadow val="0"/>
        <condense val="0"/>
        <color theme="1"/>
        <extend val="0"/>
        <sz val="10"/>
        <vertAlign val="baseline"/>
      </font>
      <numFmt numFmtId="13" formatCode="0%"/>
      <alignment horizontal="center" vertical="center"/>
      <border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3" formatCode="0%"/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center"/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2" tint="-0.09997863704336681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/>
      <border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/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/>
    </dxf>
    <dxf>
      <fill>
        <patternFill patternType="solid">
          <fgColor indexed="64"/>
          <bgColor theme="6" tint="0.7999816888943144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/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medium">
          <color rgb="FF000000"/>
        </top>
      </border>
    </dxf>
    <dxf>
      <border outline="0"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/>
      </border>
    </dxf>
    <dxf>
      <fill>
        <patternFill>
          <fgColor rgb="FF000000"/>
          <bgColor auto="1"/>
        </patternFill>
      </fill>
      <alignment horizontal="center" vertical="center"/>
    </dxf>
    <dxf>
      <fill>
        <patternFill patternType="solid">
          <fgColor indexed="64"/>
          <bgColor theme="2" tint="-0.09997863704336681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D9B3FF"/>
        </patternFill>
      </fill>
    </dxf>
    <dxf>
      <fill>
        <patternFill>
          <bgColor rgb="FFFFD966"/>
        </patternFill>
      </fill>
    </dxf>
    <dxf>
      <fill>
        <patternFill>
          <bgColor rgb="FFDBDBDB"/>
        </patternFill>
      </fill>
    </dxf>
    <dxf>
      <fill>
        <patternFill>
          <bgColor rgb="FFF4B084"/>
        </patternFill>
      </fill>
    </dxf>
    <dxf>
      <fill>
        <patternFill>
          <bgColor rgb="FF8EA9DB"/>
        </patternFill>
      </fill>
    </dxf>
    <dxf>
      <fill>
        <patternFill>
          <bgColor rgb="FFD9B3FF"/>
        </patternFill>
      </fill>
    </dxf>
    <dxf>
      <fill>
        <patternFill>
          <bgColor rgb="FFFFD966"/>
        </patternFill>
      </fill>
    </dxf>
    <dxf>
      <fill>
        <patternFill>
          <bgColor rgb="FFDBDBDB"/>
        </patternFill>
      </fill>
    </dxf>
    <dxf>
      <fill>
        <patternFill>
          <bgColor rgb="FFF4B084"/>
        </patternFill>
      </fill>
    </dxf>
    <dxf>
      <fill>
        <patternFill>
          <bgColor rgb="FF8EA9DB"/>
        </patternFill>
      </fill>
    </dxf>
    <dxf>
      <font>
        <strike val="0"/>
      </font>
      <border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</font>
      <border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</font>
      <border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 style="thin">
          <color auto="1"/>
        </vertical>
        <horizontal style="thin">
          <color auto="1"/>
        </horizontal>
      </border>
    </dxf>
  </dxfs>
  <tableStyles count="3" defaultTableStyle="TableStyleMedium9" defaultPivotStyle="PivotStyleLight16">
    <tableStyle name="Table Style 1" pivot="0" count="1">
      <tableStyleElement type="wholeTable" dxfId="45"/>
    </tableStyle>
    <tableStyle name="Table Style 1 2" pivot="0" count="1">
      <tableStyleElement type="wholeTable" dxfId="44"/>
    </tableStyle>
    <tableStyle name="Table Style 1 3" pivot="0" count="1">
      <tableStyleElement type="wholeTable" dxfId="4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https://d.docs.live.net/2fd3bccd6dbaea2b/GitGud/ExcelDriveSummary/DriveTemplateDevelopment.xlsm" TargetMode="External" Id="rId2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V"/>
    </sheetNames>
    <sheetDataSet>
      <sheetData sheetId="0"/>
    </sheetDataSet>
  </externalBook>
</externalLink>
</file>

<file path=xl/tables/table1.xml><?xml version="1.0" encoding="utf-8"?>
<table xmlns="http://schemas.openxmlformats.org/spreadsheetml/2006/main" id="1" name="NightTimeDrive1114" displayName="NightTimeDrive1114" ref="E12:G14" headerRowCount="1" totalsRowCount="1" headerRowDxfId="32" dataDxfId="31" totalsRowDxfId="30" headerRowBorderDxfId="28" tableBorderDxfId="29" totalsRowBorderDxfId="27">
  <autoFilter ref="E12:G13">
    <filterColumn colId="0" hiddenButton="1" showButton="1"/>
    <filterColumn colId="1" hiddenButton="1" showButton="1"/>
    <filterColumn colId="2" hiddenButton="1" showButton="1"/>
  </autoFilter>
  <tableColumns count="3">
    <tableColumn id="1" name="Penalty Weight" totalsRowLabel="Total" dataDxfId="25" totalsRowDxfId="26"/>
    <tableColumn id="2" name="Duration" totalsRowFunction="sum" dataDxfId="23" totalsRowDxfId="24"/>
    <tableColumn id="3" name="Points" totalsRowFunction="sum" dataDxfId="21" totalsRowDxfId="22">
      <calculatedColumnFormula>NightTimeDrive1114[[#This Row],[Penalty Weight]]*NightTimeDrive1114[[#This Row],[Duration]]</calculatedColumnFormula>
    </tableColumn>
  </tableColumns>
  <tableStyleInfo name="Table Style 1" showFirstColumn="0" showLastColumn="0" showRowStripes="0" showColumnStripes="0"/>
</table>
</file>

<file path=xl/tables/table2.xml><?xml version="1.0" encoding="utf-8"?>
<table xmlns="http://schemas.openxmlformats.org/spreadsheetml/2006/main" id="2" name="DistancePointsStefan" displayName="DistancePointsStefan" ref="L6:R13" headerRowCount="1" totalsRowShown="0" headerRowDxfId="20" dataDxfId="19" headerRowBorderDxfId="17" tableBorderDxfId="18" totalsRowBorderDxfId="16">
  <autoFilter ref="L6:R13">
    <filterColumn colId="0" hiddenButton="1" showButton="1"/>
    <filterColumn colId="1" hiddenButton="1" showButton="1"/>
    <filterColumn colId="2" hiddenButton="1" showButton="1"/>
    <filterColumn colId="3" hiddenButton="1" showButton="1"/>
    <filterColumn colId="4" hiddenButton="1" showButton="1"/>
    <filterColumn colId="5" hiddenButton="1" showButton="1"/>
    <filterColumn colId="6" hiddenButton="1" showButton="1"/>
  </autoFilter>
  <tableColumns count="7">
    <tableColumn id="1" name="Lower" dataDxfId="15"/>
    <tableColumn id="2" name="Upper" dataDxfId="14"/>
    <tableColumn id="3" name="Blue" dataDxfId="13" dataCellStyle="Blue"/>
    <tableColumn id="4" name="Bronze" dataDxfId="12" dataCellStyle="Bronze"/>
    <tableColumn id="5" name="Silver" dataDxfId="11" dataCellStyle="Silver"/>
    <tableColumn id="6" name="Gold" dataDxfId="10" dataCellStyle="Gold"/>
    <tableColumn id="7" name="Diamond" dataDxfId="9" dataCellStyle="Diamond"/>
  </tableColumns>
  <tableStyleInfo name="Table Style 1" showFirstColumn="0" showLastColumn="0" showRowStripes="0" showColumnStripes="0"/>
</table>
</file>

<file path=xl/tables/table3.xml><?xml version="1.0" encoding="utf-8"?>
<table xmlns="http://schemas.openxmlformats.org/spreadsheetml/2006/main" id="3" name="DrivingStatusStefan" displayName="DrivingStatusStefan" ref="M26:Q31" headerRowCount="1" totalsRowShown="0" headerRowDxfId="8" headerRowBorderDxfId="6" tableBorderDxfId="7" totalsRowBorderDxfId="5">
  <autoFilter ref="M26:Q31">
    <filterColumn colId="0" hiddenButton="1" showButton="1"/>
    <filterColumn colId="1" hiddenButton="1" showButton="1"/>
    <filterColumn colId="2" hiddenButton="1" showButton="1"/>
    <filterColumn colId="3" hiddenButton="1" showButton="1"/>
    <filterColumn colId="4" hiddenButton="1" showButton="1"/>
  </autoFilter>
  <tableColumns count="5">
    <tableColumn id="1" name="Lower" dataDxfId="4" dataCellStyle="Silver"/>
    <tableColumn id="2" name="Upper" dataDxfId="3" dataCellStyle="Silver"/>
    <tableColumn id="3" name="Category" dataDxfId="2" dataCellStyle="Silver"/>
    <tableColumn id="4" name="Fuel %" dataDxfId="1" dataCellStyle="Silver"/>
    <tableColumn id="5" name="Color" dataDxfId="0" dataCellStyle="Silver"/>
  </tableColumns>
  <tableStyleInfo name="Table Style 1"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Relationship Type="http://schemas.openxmlformats.org/officeDocument/2006/relationships/table" Target="/xl/tables/table3.xml" Id="rId3"/></Relationships>
</file>

<file path=xl/worksheets/sheet1.xml><?xml version="1.0" encoding="utf-8"?>
<worksheet xmlns="http://schemas.openxmlformats.org/spreadsheetml/2006/main">
  <sheetPr codeName="Sheet4">
    <outlinePr summaryBelow="1" summaryRight="1"/>
    <pageSetUpPr fitToPage="1"/>
  </sheetPr>
  <dimension ref="B2:AC33"/>
  <sheetViews>
    <sheetView tabSelected="1" topLeftCell="A13" zoomScaleNormal="100" workbookViewId="0">
      <selection activeCell="L25" sqref="L25"/>
    </sheetView>
  </sheetViews>
  <sheetFormatPr baseColWidth="8" defaultColWidth="8.85546875" defaultRowHeight="15"/>
  <cols>
    <col width="2.7109375" customWidth="1" style="34" min="1" max="1"/>
    <col width="25.140625" bestFit="1" customWidth="1" style="34" min="2" max="2"/>
    <col width="9.7109375" customWidth="1" style="34" min="3" max="3"/>
    <col width="2.7109375" customWidth="1" style="34" min="4" max="4"/>
    <col width="16.140625" customWidth="1" min="5" max="5"/>
    <col width="11.140625" bestFit="1" customWidth="1" style="34" min="6" max="6"/>
    <col width="9.7109375" customWidth="1" style="34" min="7" max="7"/>
    <col width="2.7109375" customWidth="1" style="34" min="8" max="8"/>
    <col width="22.42578125" bestFit="1" customWidth="1" style="34" min="9" max="9"/>
    <col width="10.7109375" bestFit="1" customWidth="1" style="34" min="10" max="10"/>
    <col width="2.7109375" customWidth="1" style="34" min="11" max="11"/>
    <col width="9.7109375" customWidth="1" style="34" min="12" max="14"/>
    <col width="10.5703125" customWidth="1" style="34" min="15" max="15"/>
    <col width="9.7109375" customWidth="1" style="34" min="16" max="17"/>
    <col width="11.42578125" customWidth="1" style="34" min="18" max="18"/>
    <col width="2.7109375" customWidth="1" style="34" min="19" max="19"/>
    <col width="9.7109375" customWidth="1" style="3" min="20" max="20"/>
    <col width="9.7109375" customWidth="1" style="34" min="21" max="23"/>
    <col width="8.85546875" customWidth="1" style="34" min="24" max="24"/>
    <col width="8.85546875" customWidth="1" style="34" min="25" max="25"/>
    <col width="8.85546875" customWidth="1" style="34" min="26" max="26"/>
    <col width="8.85546875" customWidth="1" style="34" min="27" max="16384"/>
  </cols>
  <sheetData>
    <row r="2" ht="14.45" customHeight="1">
      <c r="B2" s="33">
        <f>_xlfn.CONCAT("Drive Summary ",J18, " ",TEXT(J20, "mmmm yyyy"))</f>
        <v/>
      </c>
      <c r="H2" s="1" t="n"/>
    </row>
    <row r="3" ht="14.45" customHeight="1">
      <c r="H3" s="1" t="n"/>
    </row>
    <row r="5">
      <c r="B5" s="4" t="inlineStr">
        <is>
          <t>Description</t>
        </is>
      </c>
      <c r="C5" s="5" t="inlineStr">
        <is>
          <t>Value</t>
        </is>
      </c>
      <c r="E5" s="4">
        <f>TEXT(TODAY(), "mmmm yyyy")</f>
        <v/>
      </c>
      <c r="F5" s="4" t="inlineStr">
        <is>
          <t>Distance</t>
        </is>
      </c>
      <c r="G5" s="32" t="inlineStr">
        <is>
          <t>Points</t>
        </is>
      </c>
      <c r="I5" s="32" t="inlineStr">
        <is>
          <t>Extracted Data</t>
        </is>
      </c>
      <c r="J5" s="71" t="n"/>
      <c r="L5" s="32" t="inlineStr">
        <is>
          <t>Distance Points</t>
        </is>
      </c>
      <c r="M5" s="72" t="n"/>
      <c r="N5" s="72" t="n"/>
      <c r="O5" s="72" t="n"/>
      <c r="P5" s="72" t="n"/>
      <c r="Q5" s="72" t="n"/>
      <c r="R5" s="71" t="n"/>
      <c r="AB5" s="34" t="n"/>
    </row>
    <row r="6">
      <c r="B6" s="38" t="inlineStr">
        <is>
          <t>Driving Profile</t>
        </is>
      </c>
      <c r="C6" s="8">
        <f>MIN(1500, IF($C$13,G7,G6+G9))</f>
        <v/>
      </c>
      <c r="E6" s="38" t="inlineStr">
        <is>
          <t>Month-to-Date</t>
        </is>
      </c>
      <c r="F6" s="8">
        <f>J11</f>
        <v/>
      </c>
      <c r="G6" s="9">
        <f>J7</f>
        <v/>
      </c>
      <c r="I6" s="32" t="inlineStr">
        <is>
          <t>Description</t>
        </is>
      </c>
      <c r="J6" s="32" t="inlineStr">
        <is>
          <t>Value</t>
        </is>
      </c>
      <c r="L6" s="32" t="inlineStr">
        <is>
          <t>Lower</t>
        </is>
      </c>
      <c r="M6" s="32" t="inlineStr">
        <is>
          <t>Upper</t>
        </is>
      </c>
      <c r="N6" s="39" t="inlineStr">
        <is>
          <t>Blue</t>
        </is>
      </c>
      <c r="O6" s="40" t="inlineStr">
        <is>
          <t>Bronze</t>
        </is>
      </c>
      <c r="P6" s="41" t="inlineStr">
        <is>
          <t>Silver</t>
        </is>
      </c>
      <c r="Q6" s="42" t="inlineStr">
        <is>
          <t>Gold</t>
        </is>
      </c>
      <c r="R6" s="43" t="inlineStr">
        <is>
          <t>Diamond</t>
        </is>
      </c>
      <c r="AB6" s="10" t="n"/>
      <c r="AC6" s="10" t="n"/>
    </row>
    <row r="7">
      <c r="B7" s="38" t="inlineStr">
        <is>
          <t>Claim Free Years</t>
        </is>
      </c>
      <c r="C7" s="8">
        <f>J8</f>
        <v/>
      </c>
      <c r="D7" s="11" t="n"/>
      <c r="E7" s="38" t="inlineStr">
        <is>
          <t>End of Month</t>
        </is>
      </c>
      <c r="F7" s="8">
        <f>F6/J27*J26</f>
        <v/>
      </c>
      <c r="G7" s="8">
        <f>G6/J27*J26</f>
        <v/>
      </c>
      <c r="I7" s="8" t="inlineStr">
        <is>
          <t>Driving Profile</t>
        </is>
      </c>
      <c r="J7" s="8" t="n">
        <v>1093</v>
      </c>
      <c r="L7" s="12" t="n">
        <v>0</v>
      </c>
      <c r="M7" s="38" t="n">
        <v>299</v>
      </c>
      <c r="N7" s="44" t="n">
        <v>300</v>
      </c>
      <c r="O7" s="45" t="n">
        <v>300</v>
      </c>
      <c r="P7" s="46" t="n">
        <v>300</v>
      </c>
      <c r="Q7" s="47" t="n">
        <v>300</v>
      </c>
      <c r="R7" s="48" t="n">
        <v>300</v>
      </c>
      <c r="AB7" s="11" t="n"/>
    </row>
    <row r="8" ht="15" customHeight="1">
      <c r="B8" s="38" t="inlineStr">
        <is>
          <t>Night Time Driving</t>
        </is>
      </c>
      <c r="C8" s="8">
        <f>IF( AND( J9&lt;=J24+J19, J9&gt;=J24-J19 ), J9, J24)</f>
        <v/>
      </c>
      <c r="E8" s="38" t="inlineStr">
        <is>
          <t>Daily Average</t>
        </is>
      </c>
      <c r="F8" s="13">
        <f>F6/J27</f>
        <v/>
      </c>
      <c r="G8" s="13">
        <f>G6/J27</f>
        <v/>
      </c>
      <c r="I8" s="14" t="inlineStr">
        <is>
          <t>Claim Free Years</t>
        </is>
      </c>
      <c r="J8" s="8" t="n">
        <v>300</v>
      </c>
      <c r="L8" s="12" t="n">
        <v>300</v>
      </c>
      <c r="M8" s="38" t="n">
        <v>599</v>
      </c>
      <c r="N8" s="44" t="n">
        <v>100</v>
      </c>
      <c r="O8" s="45" t="n">
        <v>150</v>
      </c>
      <c r="P8" s="46" t="n">
        <v>200</v>
      </c>
      <c r="Q8" s="47" t="n">
        <v>250</v>
      </c>
      <c r="R8" s="48" t="n">
        <v>300</v>
      </c>
    </row>
    <row r="9">
      <c r="B9" s="38" t="inlineStr">
        <is>
          <t>Distance Points</t>
        </is>
      </c>
      <c r="C9" s="8">
        <f>VLOOKUP(IF(C13,F7,F6),N17:P23,3)</f>
        <v/>
      </c>
      <c r="E9" s="38" t="inlineStr">
        <is>
          <t>Remaining</t>
        </is>
      </c>
      <c r="F9" s="8">
        <f>IF(J31&gt;=M13, "Unlimited", J31-F6)</f>
        <v/>
      </c>
      <c r="G9" s="8">
        <f>50*J28 + IF(J26&lt;30,(30-J26)*G8,0)</f>
        <v/>
      </c>
      <c r="I9" s="14" t="inlineStr">
        <is>
          <t>Night Time Drive</t>
        </is>
      </c>
      <c r="J9" s="8" t="n">
        <v>300</v>
      </c>
      <c r="L9" s="12" t="n">
        <v>600</v>
      </c>
      <c r="M9" s="38" t="n">
        <v>899</v>
      </c>
      <c r="N9" s="44" t="n">
        <v>75</v>
      </c>
      <c r="O9" s="45" t="n">
        <v>100</v>
      </c>
      <c r="P9" s="46" t="n">
        <v>150</v>
      </c>
      <c r="Q9" s="47" t="n">
        <v>200</v>
      </c>
      <c r="R9" s="48" t="n">
        <v>300</v>
      </c>
    </row>
    <row r="10">
      <c r="B10" s="38" t="inlineStr">
        <is>
          <t>MultiPoint Check</t>
        </is>
      </c>
      <c r="C10" s="8">
        <f>J12</f>
        <v/>
      </c>
      <c r="E10" s="15" t="n"/>
      <c r="I10" s="14" t="inlineStr">
        <is>
          <t>Distance Points</t>
        </is>
      </c>
      <c r="J10" s="14" t="n">
        <v>250</v>
      </c>
      <c r="L10" s="12" t="n">
        <v>900</v>
      </c>
      <c r="M10" s="38" t="n">
        <v>1199</v>
      </c>
      <c r="N10" s="44" t="n">
        <v>50</v>
      </c>
      <c r="O10" s="45" t="n">
        <v>75</v>
      </c>
      <c r="P10" s="46" t="n">
        <v>100</v>
      </c>
      <c r="Q10" s="47" t="n">
        <v>175</v>
      </c>
      <c r="R10" s="48" t="n">
        <v>300</v>
      </c>
    </row>
    <row r="11">
      <c r="B11" s="38" t="inlineStr">
        <is>
          <t>Accumulated Points</t>
        </is>
      </c>
      <c r="C11" s="8">
        <f>SUM(C6:C10)</f>
        <v/>
      </c>
      <c r="E11" s="32" t="inlineStr">
        <is>
          <t>Night Time Drive</t>
        </is>
      </c>
      <c r="F11" s="72" t="n"/>
      <c r="G11" s="71" t="n"/>
      <c r="I11" s="14" t="inlineStr">
        <is>
          <t>Distance Kilometers</t>
        </is>
      </c>
      <c r="J11" s="8" t="n">
        <v>524</v>
      </c>
      <c r="L11" s="12" t="n">
        <v>1200</v>
      </c>
      <c r="M11" s="38" t="n">
        <v>1499</v>
      </c>
      <c r="N11" s="44" t="n">
        <v>25</v>
      </c>
      <c r="O11" s="45" t="n">
        <v>50</v>
      </c>
      <c r="P11" s="46" t="n">
        <v>75</v>
      </c>
      <c r="Q11" s="47" t="n">
        <v>125</v>
      </c>
      <c r="R11" s="48" t="n">
        <v>300</v>
      </c>
    </row>
    <row r="12">
      <c r="B12" s="38" t="inlineStr">
        <is>
          <t>Vitality Drive Status</t>
        </is>
      </c>
      <c r="C12" s="38">
        <f>VLOOKUP(C11,M27:O31,3,TRUE)</f>
        <v/>
      </c>
      <c r="D12" s="11" t="n"/>
      <c r="E12" s="4" t="inlineStr">
        <is>
          <t>Penalty Weight</t>
        </is>
      </c>
      <c r="F12" s="5" t="inlineStr">
        <is>
          <t>Duration</t>
        </is>
      </c>
      <c r="G12" s="4" t="inlineStr">
        <is>
          <t>Points</t>
        </is>
      </c>
      <c r="I12" s="14" t="inlineStr">
        <is>
          <t>MultiPoint Check</t>
        </is>
      </c>
      <c r="J12" s="14" t="n">
        <v>300</v>
      </c>
      <c r="L12" s="12" t="n">
        <v>1500</v>
      </c>
      <c r="M12" s="38" t="n">
        <v>1799</v>
      </c>
      <c r="N12" s="44" t="n">
        <v>10</v>
      </c>
      <c r="O12" s="45" t="n">
        <v>25</v>
      </c>
      <c r="P12" s="46" t="n">
        <v>50</v>
      </c>
      <c r="Q12" s="47" t="n">
        <v>100</v>
      </c>
      <c r="R12" s="48" t="n">
        <v>250</v>
      </c>
      <c r="T12" s="34" t="n"/>
      <c r="Z12" s="10" t="n"/>
    </row>
    <row r="13">
      <c r="B13" s="38" t="inlineStr">
        <is>
          <t>Predict Status</t>
        </is>
      </c>
      <c r="C13" s="38" t="b">
        <v>0</v>
      </c>
      <c r="E13" s="38" t="n">
        <v>2</v>
      </c>
      <c r="F13" s="38" t="n">
        <v>0</v>
      </c>
      <c r="G13" s="38">
        <f>NightTimeDrive1114[[#This Row],[Penalty Weight]]*NightTimeDrive1114[[#This Row],[Duration]]</f>
        <v/>
      </c>
      <c r="I13" s="14" t="inlineStr">
        <is>
          <t>Qualifying Fuel Spend</t>
        </is>
      </c>
      <c r="J13" s="14" t="n">
        <v>0</v>
      </c>
      <c r="L13" s="16" t="n">
        <v>1800</v>
      </c>
      <c r="M13" s="17" t="n">
        <v>1800</v>
      </c>
      <c r="N13" s="49" t="n">
        <v>5</v>
      </c>
      <c r="O13" s="50" t="n">
        <v>10</v>
      </c>
      <c r="P13" s="51" t="n">
        <v>25</v>
      </c>
      <c r="Q13" s="52" t="n">
        <v>60</v>
      </c>
      <c r="R13" s="53" t="n">
        <v>100</v>
      </c>
      <c r="Z13" s="10" t="n"/>
      <c r="AA13" s="11" t="n"/>
    </row>
    <row r="14">
      <c r="B14" s="38" t="inlineStr">
        <is>
          <t>Qualifying Fuel Spend</t>
        </is>
      </c>
      <c r="C14" s="18">
        <f>J13</f>
        <v/>
      </c>
      <c r="E14" s="38" t="inlineStr">
        <is>
          <t>Total</t>
        </is>
      </c>
      <c r="F14" s="38">
        <f>SUBTOTAL(109,NightTimeDrive1114[Duration])</f>
        <v/>
      </c>
      <c r="G14" s="38">
        <f>SUBTOTAL(109,NightTimeDrive1114[Points])</f>
        <v/>
      </c>
      <c r="I14" s="8" t="inlineStr">
        <is>
          <t>Last Month's Status</t>
        </is>
      </c>
      <c r="J14" s="8" t="inlineStr">
        <is>
          <t>Gold</t>
        </is>
      </c>
    </row>
    <row r="15">
      <c r="B15" s="38" t="inlineStr">
        <is>
          <t>Fuel Cash Back in Miles</t>
        </is>
      </c>
      <c r="C15" s="19">
        <f>_xlfn.CONCAT("Đ",J32*VLOOKUP(C12,O26:P31,2,FALSE)*10)</f>
        <v/>
      </c>
      <c r="D15" s="20" t="n"/>
      <c r="N15" s="32">
        <f>_xlfn.CONCAT("Distance Points for ",J14)</f>
        <v/>
      </c>
      <c r="O15" s="72" t="n"/>
      <c r="P15" s="71" t="n"/>
      <c r="V15" s="21" t="n"/>
      <c r="AA15" s="11" t="n"/>
      <c r="AB15" s="11" t="n"/>
    </row>
    <row r="16">
      <c r="B16" s="38" t="inlineStr">
        <is>
          <t>Remaining Fuel Spend</t>
        </is>
      </c>
      <c r="C16" s="18">
        <f>MAX(0,C11-C14)</f>
        <v/>
      </c>
      <c r="I16" s="32" t="inlineStr">
        <is>
          <t>Config Data</t>
        </is>
      </c>
      <c r="J16" s="71" t="n"/>
      <c r="N16" s="32" t="inlineStr">
        <is>
          <t>Lower</t>
        </is>
      </c>
      <c r="O16" s="32" t="inlineStr">
        <is>
          <t>Upper</t>
        </is>
      </c>
      <c r="P16" s="32" t="inlineStr">
        <is>
          <t>Points</t>
        </is>
      </c>
    </row>
    <row r="17" ht="14.45" customHeight="1">
      <c r="I17" s="32" t="inlineStr">
        <is>
          <t>Description</t>
        </is>
      </c>
      <c r="J17" s="32" t="inlineStr">
        <is>
          <t>Value</t>
        </is>
      </c>
      <c r="N17" s="38">
        <f t="array" ref="N17:N23">DistancePointsStefan[Lower]</f>
        <v/>
      </c>
      <c r="O17" s="38">
        <f t="array" ref="O17:O23">DistancePointsStefan[Upper]</f>
        <v/>
      </c>
      <c r="P17" s="38">
        <f t="array" ref="P17:P23">_xlfn.XLOOKUP(J14,DistancePointsStefan[#Headers],DistancePointsStefan[])</f>
        <v/>
      </c>
    </row>
    <row r="18">
      <c r="I18" s="38" t="inlineStr">
        <is>
          <t>Username</t>
        </is>
      </c>
      <c r="J18" s="38" t="inlineStr">
        <is>
          <t>Stefan</t>
        </is>
      </c>
      <c r="N18" s="38" t="n">
        <v>300</v>
      </c>
      <c r="O18" s="38" t="n">
        <v>599</v>
      </c>
      <c r="P18" s="38" t="n">
        <v>250</v>
      </c>
    </row>
    <row r="19">
      <c r="I19" s="38" t="inlineStr">
        <is>
          <t>Night Pts Tolerance</t>
        </is>
      </c>
      <c r="J19" s="38" t="n">
        <v>10</v>
      </c>
      <c r="N19" s="38" t="n">
        <v>600</v>
      </c>
      <c r="O19" s="38" t="n">
        <v>899</v>
      </c>
      <c r="P19" s="38" t="n">
        <v>200</v>
      </c>
    </row>
    <row r="20">
      <c r="I20" s="38" t="inlineStr">
        <is>
          <t>Report Date</t>
        </is>
      </c>
      <c r="J20" s="22" t="n">
        <v>45806</v>
      </c>
      <c r="N20" s="38" t="n">
        <v>900</v>
      </c>
      <c r="O20" s="38" t="n">
        <v>1199</v>
      </c>
      <c r="P20" s="38" t="n">
        <v>175</v>
      </c>
    </row>
    <row r="21">
      <c r="N21" s="38" t="n">
        <v>1200</v>
      </c>
      <c r="O21" s="38" t="n">
        <v>1499</v>
      </c>
      <c r="P21" s="38" t="n">
        <v>125</v>
      </c>
    </row>
    <row r="22">
      <c r="I22" s="32" t="inlineStr">
        <is>
          <t>Calculated Data</t>
        </is>
      </c>
      <c r="J22" s="71" t="n"/>
      <c r="N22" s="38" t="n">
        <v>1500</v>
      </c>
      <c r="O22" s="38" t="n">
        <v>1799</v>
      </c>
      <c r="P22" s="38" t="n">
        <v>100</v>
      </c>
    </row>
    <row r="23">
      <c r="I23" s="32" t="inlineStr">
        <is>
          <t>Description</t>
        </is>
      </c>
      <c r="J23" s="32" t="inlineStr">
        <is>
          <t>Value</t>
        </is>
      </c>
      <c r="N23" s="38" t="n">
        <v>1800</v>
      </c>
      <c r="O23" s="38" t="n">
        <v>1800</v>
      </c>
      <c r="P23" s="38" t="n">
        <v>60</v>
      </c>
    </row>
    <row r="24">
      <c r="I24" s="23" t="inlineStr">
        <is>
          <t>Night Time Drive</t>
        </is>
      </c>
      <c r="J24" s="24" t="n">
        <v>38</v>
      </c>
    </row>
    <row r="25">
      <c r="I25" s="25" t="inlineStr">
        <is>
          <t>Night Extr or Calc</t>
        </is>
      </c>
      <c r="J25" s="26" t="n">
        <v>64</v>
      </c>
      <c r="M25" s="32" t="inlineStr">
        <is>
          <t>Driving Status</t>
        </is>
      </c>
      <c r="N25" s="72" t="n"/>
      <c r="O25" s="72" t="n"/>
      <c r="P25" s="72" t="n"/>
      <c r="Q25" s="71" t="n"/>
    </row>
    <row r="26">
      <c r="I26" s="27">
        <f>_xlfn.CONCAT("Days ",TEXT(TODAY(), "mmm yyyy"))</f>
        <v/>
      </c>
      <c r="J26" s="28" t="n">
        <v>6</v>
      </c>
      <c r="M26" s="32" t="inlineStr">
        <is>
          <t>Lower</t>
        </is>
      </c>
      <c r="N26" s="32" t="inlineStr">
        <is>
          <t>Upper</t>
        </is>
      </c>
      <c r="O26" s="32" t="inlineStr">
        <is>
          <t>Category</t>
        </is>
      </c>
      <c r="P26" s="32" t="inlineStr">
        <is>
          <t>Fuel %</t>
        </is>
      </c>
      <c r="Q26" s="32" t="inlineStr">
        <is>
          <t>Color</t>
        </is>
      </c>
    </row>
    <row r="27">
      <c r="I27" s="27" t="inlineStr">
        <is>
          <t>Days Past</t>
        </is>
      </c>
      <c r="J27" s="28" t="n">
        <v>1288.43</v>
      </c>
      <c r="M27" s="54" t="n">
        <v>0</v>
      </c>
      <c r="N27" s="44" t="n">
        <v>799</v>
      </c>
      <c r="O27" s="44" t="inlineStr">
        <is>
          <t>Blue</t>
        </is>
      </c>
      <c r="P27" s="55" t="n">
        <v>0.05</v>
      </c>
      <c r="Q27" s="56" t="inlineStr">
        <is>
          <t>#8EA9DB</t>
        </is>
      </c>
    </row>
    <row r="28">
      <c r="I28" s="25" t="inlineStr">
        <is>
          <t>Days Left</t>
        </is>
      </c>
      <c r="J28" s="26">
        <f>J26-J27</f>
        <v/>
      </c>
      <c r="M28" s="57" t="n">
        <v>800</v>
      </c>
      <c r="N28" s="45" t="n">
        <v>1599</v>
      </c>
      <c r="O28" s="45" t="inlineStr">
        <is>
          <t>Bronze</t>
        </is>
      </c>
      <c r="P28" s="58" t="n">
        <v>0.1</v>
      </c>
      <c r="Q28" s="59" t="inlineStr">
        <is>
          <t>#F4B084</t>
        </is>
      </c>
    </row>
    <row r="29">
      <c r="I29" s="23" t="inlineStr">
        <is>
          <t>Rem Dist Points</t>
        </is>
      </c>
      <c r="J29" s="29">
        <f>C11-VLOOKUP(C11,M27:O31,1,TRUE)</f>
        <v/>
      </c>
      <c r="M29" s="60" t="n">
        <v>1600</v>
      </c>
      <c r="N29" s="46" t="n">
        <v>2199</v>
      </c>
      <c r="O29" s="46" t="inlineStr">
        <is>
          <t>Silver</t>
        </is>
      </c>
      <c r="P29" s="61" t="n">
        <v>0.2</v>
      </c>
      <c r="Q29" s="62" t="inlineStr">
        <is>
          <t>#DBDBDB</t>
        </is>
      </c>
    </row>
    <row r="30">
      <c r="I30" s="27" t="inlineStr">
        <is>
          <t>Rem - Dist</t>
        </is>
      </c>
      <c r="J30" s="30">
        <f>MAX(0,C9-J29)</f>
        <v/>
      </c>
      <c r="M30" s="63" t="n">
        <v>2200</v>
      </c>
      <c r="N30" s="64" t="n">
        <v>2499</v>
      </c>
      <c r="O30" s="64" t="inlineStr">
        <is>
          <t>Gold</t>
        </is>
      </c>
      <c r="P30" s="65" t="n">
        <v>0.35</v>
      </c>
      <c r="Q30" s="66" t="inlineStr">
        <is>
          <t>#FFD966</t>
        </is>
      </c>
    </row>
    <row r="31">
      <c r="I31" s="25" t="inlineStr">
        <is>
          <t>Distance Upper Limit</t>
        </is>
      </c>
      <c r="J31" s="26">
        <f t="array" ref="J31">MAX(_xlfn._xlws.FILTER(_xlfn.ANCHORARRAY(O17),_xlfn.ANCHORARRAY( P17)&gt;=J30))</f>
        <v/>
      </c>
      <c r="M31" s="67" t="n">
        <v>2500</v>
      </c>
      <c r="N31" s="68" t="n">
        <v>3000</v>
      </c>
      <c r="O31" s="68" t="inlineStr">
        <is>
          <t>Diamond</t>
        </is>
      </c>
      <c r="P31" s="69" t="n">
        <v>0.5</v>
      </c>
      <c r="Q31" s="70" t="inlineStr">
        <is>
          <t>#D9B3FF</t>
        </is>
      </c>
    </row>
    <row r="32">
      <c r="I32" s="31" t="inlineStr">
        <is>
          <t>Min Fuel or Points</t>
        </is>
      </c>
      <c r="J32" s="8">
        <f>MIN(C14,C11)</f>
        <v/>
      </c>
    </row>
    <row r="33">
      <c r="I33" s="31" t="inlineStr">
        <is>
          <t>Current Drive Points</t>
        </is>
      </c>
      <c r="J33" s="8">
        <f>SUM(J7:J10,J12)</f>
        <v/>
      </c>
    </row>
  </sheetData>
  <mergeCells count="9">
    <mergeCell ref="N15:P15"/>
    <mergeCell ref="B2:G3"/>
    <mergeCell ref="L5:R5"/>
    <mergeCell ref="M25:Q25"/>
    <mergeCell ref="I16:J16"/>
    <mergeCell ref="E11:G11"/>
    <mergeCell ref="AB5:AC5"/>
    <mergeCell ref="I5:J5"/>
    <mergeCell ref="I22:J22"/>
  </mergeCells>
  <conditionalFormatting sqref="B11:C12">
    <cfRule type="expression" priority="1" dxfId="37">
      <formula>$C$12="Blue"</formula>
    </cfRule>
    <cfRule type="expression" priority="2" dxfId="36">
      <formula>$C$12="Bronze"</formula>
    </cfRule>
    <cfRule type="expression" priority="3" dxfId="35">
      <formula>$C$12="Silver"</formula>
    </cfRule>
    <cfRule type="expression" priority="4" dxfId="34">
      <formula>$C$12="Gold"</formula>
    </cfRule>
    <cfRule type="expression" priority="5" dxfId="33">
      <formula>$C$12="Diamond"</formula>
    </cfRule>
  </conditionalFormatting>
  <conditionalFormatting sqref="P17:P23">
    <cfRule type="expression" priority="6" dxfId="37">
      <formula>$J$14="Blue"</formula>
    </cfRule>
    <cfRule type="expression" priority="7" dxfId="36">
      <formula>$J$14="Bronze"</formula>
    </cfRule>
    <cfRule type="expression" priority="8" dxfId="35">
      <formula>$J$14="Silver"</formula>
    </cfRule>
    <cfRule type="expression" priority="9" dxfId="34">
      <formula>$J$14="Gold"</formula>
    </cfRule>
    <cfRule type="expression" priority="10" dxfId="33">
      <formula>$J$14="Diamond"</formula>
    </cfRule>
  </conditionalFormatting>
  <dataValidations count="1">
    <dataValidation sqref="C13" showDropDown="0" showInputMessage="1" showErrorMessage="1" allowBlank="1" prompt="The predicted status gives a realistic prediction of the driving status. If the prediction is disable, best case scenario is assumed, which is 50 point drive days and the distance remains in the same bracket."/>
  </dataValidations>
  <pageMargins left="0.7" right="0.7" top="0.75" bottom="0.75" header="0.3" footer="0.3"/>
  <pageSetup orientation="portrait" scale="32"/>
  <tableParts count="3">
    <tablePart xmlns:r="http://schemas.openxmlformats.org/officeDocument/2006/relationships" r:id="rId1"/>
    <tablePart xmlns:r="http://schemas.openxmlformats.org/officeDocument/2006/relationships" r:id="rId2"/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2025-05-29T11:22:15Z</dcterms:created>
  <dcterms:modified xmlns:dcterms="http://purl.org/dc/terms/" xmlns:xsi="http://www.w3.org/2001/XMLSchema-instance" xsi:type="dcterms:W3CDTF">2025-05-29T12:35:15Z</dcterms:modified>
  <cp:lastModifiedBy>Stefan Oberholzer</cp:lastModifiedBy>
</cp:coreProperties>
</file>