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7" documentId="11_DA39029DC6B1C53613CB09DD21CE172C5C824D09" xr6:coauthVersionLast="47" xr6:coauthVersionMax="47" xr10:uidLastSave="{72EA6F94-D0B4-40D6-B4D2-20E35C8DEE1F}"/>
  <bookViews>
    <workbookView xWindow="-4140" yWindow="-16320" windowWidth="29040" windowHeight="16440"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 i="3" l="1"/>
  <c r="J30" i="3" s="1"/>
  <c r="J28" i="3"/>
  <c r="J23" i="3"/>
  <c r="J31" i="3" s="1"/>
  <c r="J32" i="3" s="1"/>
  <c r="J22" i="3"/>
  <c r="J24" i="3" s="1"/>
  <c r="G9" i="3" s="1"/>
  <c r="I22" i="3"/>
  <c r="P17" i="3" a="1"/>
  <c r="P23" i="3" s="1"/>
  <c r="O20" i="3"/>
  <c r="O17" i="3" a="1"/>
  <c r="O22" i="3" s="1"/>
  <c r="N21" i="3"/>
  <c r="N20" i="3"/>
  <c r="N17" i="3" a="1"/>
  <c r="N18" i="3" s="1"/>
  <c r="N17" i="3"/>
  <c r="N15" i="3"/>
  <c r="C10" i="3"/>
  <c r="C8" i="3"/>
  <c r="F7" i="3"/>
  <c r="C7" i="3"/>
  <c r="F6" i="3"/>
  <c r="F8" i="3" s="1"/>
  <c r="E5" i="3"/>
  <c r="B2" i="3"/>
  <c r="J29" i="2"/>
  <c r="J23" i="2"/>
  <c r="J31" i="2" s="1"/>
  <c r="J32" i="2" s="1"/>
  <c r="J22" i="2"/>
  <c r="J24" i="2" s="1"/>
  <c r="G9" i="2" s="1"/>
  <c r="I22" i="2"/>
  <c r="P17" i="2" a="1"/>
  <c r="P23" i="2" s="1"/>
  <c r="O23" i="2"/>
  <c r="O22" i="2"/>
  <c r="O21" i="2"/>
  <c r="O20" i="2"/>
  <c r="O17" i="2" a="1"/>
  <c r="O19" i="2" s="1"/>
  <c r="O17" i="2"/>
  <c r="N18" i="2"/>
  <c r="N17" i="2" a="1"/>
  <c r="N23" i="2" s="1"/>
  <c r="N17" i="2"/>
  <c r="N15" i="2"/>
  <c r="C10" i="2"/>
  <c r="C8" i="2"/>
  <c r="C7" i="2"/>
  <c r="F6" i="2"/>
  <c r="E5" i="2"/>
  <c r="B2" i="2"/>
  <c r="J31" i="1"/>
  <c r="J32" i="1" s="1"/>
  <c r="J29" i="1"/>
  <c r="J30" i="1" s="1"/>
  <c r="J33" i="1" s="1"/>
  <c r="J28" i="1"/>
  <c r="J23" i="1"/>
  <c r="J22" i="1"/>
  <c r="J24" i="1" s="1"/>
  <c r="G9" i="1" s="1"/>
  <c r="I22" i="1"/>
  <c r="P17" i="1" a="1"/>
  <c r="P19" i="1" s="1"/>
  <c r="O19" i="1"/>
  <c r="O17" i="1" a="1"/>
  <c r="O23" i="1" s="1"/>
  <c r="O17" i="1"/>
  <c r="N21" i="1"/>
  <c r="N17" i="1" a="1"/>
  <c r="N23" i="1" s="1"/>
  <c r="N17" i="1"/>
  <c r="N15" i="1"/>
  <c r="C10" i="1"/>
  <c r="C8" i="1"/>
  <c r="C7" i="1"/>
  <c r="F6" i="1"/>
  <c r="F8" i="1" s="1"/>
  <c r="E5" i="1"/>
  <c r="B2" i="1"/>
  <c r="G6" i="1" l="1"/>
  <c r="J33" i="3"/>
  <c r="N19" i="3"/>
  <c r="O23" i="3"/>
  <c r="P20" i="1"/>
  <c r="P21" i="1"/>
  <c r="F7" i="2"/>
  <c r="O18" i="1"/>
  <c r="P22" i="1"/>
  <c r="P17" i="3"/>
  <c r="N22" i="3"/>
  <c r="P18" i="3"/>
  <c r="P23" i="1"/>
  <c r="F7" i="1"/>
  <c r="O20" i="1"/>
  <c r="O21" i="1"/>
  <c r="N20" i="2"/>
  <c r="C9" i="2" s="1"/>
  <c r="P17" i="2"/>
  <c r="N23" i="3"/>
  <c r="P19" i="3"/>
  <c r="O17" i="3"/>
  <c r="P20" i="3"/>
  <c r="F8" i="2"/>
  <c r="N19" i="2"/>
  <c r="N18" i="1"/>
  <c r="O22" i="1"/>
  <c r="N21" i="2"/>
  <c r="N19" i="1"/>
  <c r="P18" i="2"/>
  <c r="P21" i="3"/>
  <c r="N22" i="2"/>
  <c r="N20" i="1"/>
  <c r="P17" i="1"/>
  <c r="P19" i="2"/>
  <c r="O18" i="3"/>
  <c r="P22" i="3"/>
  <c r="P20" i="2"/>
  <c r="J28" i="2"/>
  <c r="J30" i="2" s="1"/>
  <c r="J33" i="2" s="1"/>
  <c r="O19" i="3"/>
  <c r="N22" i="1"/>
  <c r="P18" i="1"/>
  <c r="P21" i="2"/>
  <c r="O18" i="2"/>
  <c r="P22" i="2"/>
  <c r="O21" i="3"/>
  <c r="G6" i="2" l="1"/>
  <c r="J34" i="2"/>
  <c r="G6" i="3"/>
  <c r="C9" i="3"/>
  <c r="G8" i="1"/>
  <c r="G7" i="1"/>
  <c r="C6" i="1"/>
  <c r="C11" i="1" s="1"/>
  <c r="C9" i="1"/>
  <c r="J25" i="1" l="1"/>
  <c r="J26" i="1" s="1"/>
  <c r="J27" i="1" s="1" a="1"/>
  <c r="J27" i="1" s="1"/>
  <c r="F9" i="1" s="1"/>
  <c r="C12" i="1"/>
  <c r="J34" i="3"/>
  <c r="J34" i="1"/>
  <c r="G7" i="3"/>
  <c r="C6" i="3"/>
  <c r="C11" i="3" s="1"/>
  <c r="G8" i="3"/>
  <c r="C6" i="2"/>
  <c r="C11" i="2" s="1"/>
  <c r="G8" i="2"/>
  <c r="G7" i="2"/>
  <c r="C12" i="3" l="1"/>
  <c r="J25" i="3"/>
  <c r="J26" i="3" s="1"/>
  <c r="J27" i="3" s="1" a="1"/>
  <c r="J27" i="3" s="1"/>
  <c r="F9" i="3" s="1"/>
  <c r="C12" i="2"/>
  <c r="J25" i="2"/>
  <c r="J26" i="2" s="1"/>
  <c r="J27" i="2" s="1" a="1"/>
  <c r="J27" i="2" s="1"/>
  <c r="F9" i="2" s="1"/>
</calcChain>
</file>

<file path=xl/sharedStrings.xml><?xml version="1.0" encoding="utf-8"?>
<sst xmlns="http://schemas.openxmlformats.org/spreadsheetml/2006/main" count="223" uniqueCount="56">
  <si>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</si>
  <si>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</si>
  <si>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</si>
  <si>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</si>
  <si>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</si>
  <si>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</si>
  <si>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</si>
  <si>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</si>
  <si>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</si>
  <si>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</si>
  <si>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</si>
  <si>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</si>
  <si>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</si>
  <si>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</si>
  <si>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</si>
  <si>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</si>
  <si>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</si>
  <si>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</si>
  <si>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</si>
  <si>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</si>
  <si>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</si>
  <si>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</si>
  <si>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</si>
  <si>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</si>
  <si>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</si>
  <si>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</si>
  <si>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</si>
  <si>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</si>
  <si>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</si>
  <si>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</si>
  <si>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</si>
  <si>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2025/05/30</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</si>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</sst>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3">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3" xfId="0" applyBorder="1"/>
    <xf numFmtId="0" fontId="0" fillId="0" borderId="4" xfId="0" applyBorder="1"/>
    <xf numFmtId="0" fontId="4" fillId="0" borderId="0" xfId="0" applyFont="1" applyAlignment="1">
      <alignment horizontal="center" vertical="center"/>
    </xf>
    <xf numFmtId="0" fontId="0" fillId="0" borderId="0" xfId="0"/>
    <xf numFmtId="0" fontId="0" fillId="0" borderId="1" xfId="0" applyBorder="1" applyAlignment="1">
      <alignment horizontal="center" vertical="center"/>
      <extLst>
        <ext xmlns:xfpb="http://schemas.microsoft.com/office/spreadsheetml/2022/featurepropertybag" uri="{C7286773-470A-42A8-94C5-96B5CB345126}">
          <xfpb:xfComplement i="0"/>
        </ext>
      </extLst>
    </xf>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tabSelected="1" topLeftCell="C1" zoomScaleNormal="100" workbookViewId="0">
      <selection activeCell="Y14" sqref="Y14"/>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8" width="8.85546875" style="2" customWidth="1"/>
    <col min="29" max="16384" width="8.85546875" style="2"/>
  </cols>
  <sheetData>
    <row r="2" spans="2:29" ht="14.45" customHeight="1" x14ac:dyDescent="0.25">
      <c r="B2" s="70" t="str">
        <f>_xlfn.CONCAT("Drive Summary ",J13, " ",TEXT(J14, "mmmm yyyy"))</f>
        <v>Drive Summary Stefan May 2025</v>
      </c>
      <c r="C2" s="66"/>
      <c r="D2" s="66"/>
      <c r="E2" s="71"/>
      <c r="F2" s="66"/>
      <c r="G2" s="66"/>
      <c r="H2" s="13"/>
    </row>
    <row r="3" spans="2:29" ht="14.45" customHeight="1" x14ac:dyDescent="0.25">
      <c r="B3" s="66"/>
      <c r="C3" s="66"/>
      <c r="D3" s="66"/>
      <c r="E3" s="71"/>
      <c r="F3" s="66"/>
      <c r="G3" s="66"/>
      <c r="H3" s="13"/>
    </row>
    <row r="5" spans="2:29" x14ac:dyDescent="0.25">
      <c r="B5" s="14" t="s">
        <v>0</v>
      </c>
      <c r="C5" s="15" t="s">
        <v>1</v>
      </c>
      <c r="E5" s="14" t="str">
        <f ca="1">TEXT(TODAY(), "mmmm yyyy")</f>
        <v>May 2025</v>
      </c>
      <c r="F5" s="14" t="s">
        <v>2</v>
      </c>
      <c r="G5" s="16" t="s">
        <v>3</v>
      </c>
      <c r="I5" s="67" t="s">
        <v>4</v>
      </c>
      <c r="J5" s="68"/>
      <c r="L5" s="67" t="s">
        <v>5</v>
      </c>
      <c r="M5" s="69"/>
      <c r="N5" s="69"/>
      <c r="O5" s="69"/>
      <c r="P5" s="69"/>
      <c r="Q5" s="69"/>
      <c r="R5" s="68"/>
      <c r="AB5" s="66"/>
      <c r="AC5" s="66"/>
    </row>
    <row r="6" spans="2:29" x14ac:dyDescent="0.25">
      <c r="B6" s="1" t="s">
        <v>6</v>
      </c>
      <c r="C6" s="6">
        <f>MIN(1500, IF($C$13,G7,G6+G9))</f>
        <v>1500</v>
      </c>
      <c r="E6" s="1" t="s">
        <v>7</v>
      </c>
      <c r="F6" s="6">
        <f>J9</f>
        <v>1572.799</v>
      </c>
      <c r="G6" s="17">
        <f>J33</f>
        <v>1492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1625.2256333333335</v>
      </c>
      <c r="G7" s="6">
        <f>G6/J23*J22</f>
        <v>1541.7333333333333</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52.426633333333335</v>
      </c>
      <c r="G8" s="65">
        <f>G6/J23</f>
        <v>49.733333333333334</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50</v>
      </c>
      <c r="I9" s="1" t="s">
        <v>2</v>
      </c>
      <c r="J9" s="6">
        <v>1572.799</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7"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72" t="b">
        <v>0</v>
      </c>
      <c r="I13" s="1" t="s">
        <v>28</v>
      </c>
      <c r="J13" s="1" t="s">
        <v>29</v>
      </c>
      <c r="L13" s="12">
        <v>1800</v>
      </c>
      <c r="M13" s="10">
        <v>1800</v>
      </c>
      <c r="N13" s="29">
        <v>5</v>
      </c>
      <c r="O13" s="30">
        <v>10</v>
      </c>
      <c r="P13" s="31">
        <v>25</v>
      </c>
      <c r="Q13" s="32">
        <v>60</v>
      </c>
      <c r="R13" s="33">
        <v>100</v>
      </c>
      <c r="Z13" s="8"/>
      <c r="AA13" s="3"/>
    </row>
    <row r="14" spans="2:29" x14ac:dyDescent="0.25">
      <c r="I14" s="1" t="s">
        <v>30</v>
      </c>
      <c r="J14" s="58" t="s">
        <v>31</v>
      </c>
    </row>
    <row r="15" spans="2:29" x14ac:dyDescent="0.25">
      <c r="D15" s="4"/>
      <c r="I15" s="28" t="s">
        <v>16</v>
      </c>
      <c r="J15" s="6">
        <v>300</v>
      </c>
      <c r="N15" s="67" t="str">
        <f>_xlfn.CONCAT("Distance Points for ",J17)</f>
        <v>Distance Points for Diamond</v>
      </c>
      <c r="O15" s="69"/>
      <c r="P15" s="68"/>
      <c r="V15" s="9"/>
      <c r="AA15" s="3"/>
      <c r="AB15" s="3"/>
    </row>
    <row r="16" spans="2:29" x14ac:dyDescent="0.25">
      <c r="I16" s="28" t="s">
        <v>23</v>
      </c>
      <c r="J16" s="28">
        <v>300</v>
      </c>
      <c r="N16" s="16" t="s">
        <v>9</v>
      </c>
      <c r="O16" s="16" t="s">
        <v>10</v>
      </c>
      <c r="P16" s="16" t="s">
        <v>3</v>
      </c>
    </row>
    <row r="17" spans="9:17" ht="14.45" customHeight="1" x14ac:dyDescent="0.25">
      <c r="I17" s="6" t="s">
        <v>32</v>
      </c>
      <c r="J17" s="6" t="s">
        <v>15</v>
      </c>
      <c r="N17" s="1">
        <f t="array" ref="N17:N23">DistancePointsStefan615[Lower]</f>
        <v>0</v>
      </c>
      <c r="O17" s="1">
        <f t="array" ref="O17:O23">DistancePointsStefan615[Upper]</f>
        <v>299</v>
      </c>
      <c r="P17" s="1">
        <f t="array" ref="P17:P23">_xlfn.XLOOKUP(J17,DistancePointsStefan615[#Headers],DistancePointsStefan615[])</f>
        <v>300</v>
      </c>
    </row>
    <row r="18" spans="9:17" x14ac:dyDescent="0.25">
      <c r="I18" s="6" t="s">
        <v>33</v>
      </c>
      <c r="J18" s="1"/>
      <c r="N18" s="1">
        <v>300</v>
      </c>
      <c r="O18" s="1">
        <v>599</v>
      </c>
      <c r="P18" s="1">
        <v>300</v>
      </c>
    </row>
    <row r="19" spans="9:17" x14ac:dyDescent="0.25">
      <c r="N19" s="1">
        <v>600</v>
      </c>
      <c r="O19" s="1">
        <v>899</v>
      </c>
      <c r="P19" s="1">
        <v>300</v>
      </c>
    </row>
    <row r="20" spans="9:17" x14ac:dyDescent="0.25">
      <c r="I20" s="67" t="s">
        <v>34</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35</v>
      </c>
      <c r="J23" s="55">
        <f>DAY(J14)</f>
        <v>30</v>
      </c>
      <c r="N23" s="1">
        <v>1800</v>
      </c>
      <c r="O23" s="1">
        <v>1800</v>
      </c>
      <c r="P23" s="1">
        <v>100</v>
      </c>
    </row>
    <row r="24" spans="9:17" x14ac:dyDescent="0.25">
      <c r="I24" s="51" t="s">
        <v>36</v>
      </c>
      <c r="J24" s="54">
        <f>J22-J23</f>
        <v>1</v>
      </c>
    </row>
    <row r="25" spans="9:17" x14ac:dyDescent="0.25">
      <c r="I25" s="53" t="s">
        <v>37</v>
      </c>
      <c r="J25" s="56">
        <f>C11-VLOOKUP(C11,M27:O31,1,TRUE)</f>
        <v>150</v>
      </c>
      <c r="M25" s="67" t="s">
        <v>38</v>
      </c>
      <c r="N25" s="69"/>
      <c r="O25" s="69"/>
      <c r="P25" s="69"/>
      <c r="Q25" s="68"/>
    </row>
    <row r="26" spans="9:17" x14ac:dyDescent="0.25">
      <c r="I26" s="55" t="s">
        <v>39</v>
      </c>
      <c r="J26" s="57">
        <f>MAX(0,C9-J25)</f>
        <v>100</v>
      </c>
      <c r="M26" s="16" t="s">
        <v>9</v>
      </c>
      <c r="N26" s="16" t="s">
        <v>10</v>
      </c>
      <c r="O26" s="16" t="s">
        <v>40</v>
      </c>
      <c r="P26" s="16" t="s">
        <v>41</v>
      </c>
      <c r="Q26" s="16" t="s">
        <v>42</v>
      </c>
    </row>
    <row r="27" spans="9:17" x14ac:dyDescent="0.25">
      <c r="I27" s="54" t="s">
        <v>43</v>
      </c>
      <c r="J27" s="54">
        <f t="array" ref="J27">MAX(_xlfn._xlws.FILTER(_xlfn.ANCHORARRAY(O17),_xlfn.ANCHORARRAY( P17)&gt;=J26))</f>
        <v>1800</v>
      </c>
      <c r="M27" s="34">
        <v>0</v>
      </c>
      <c r="N27" s="23">
        <v>799</v>
      </c>
      <c r="O27" s="23" t="s">
        <v>11</v>
      </c>
      <c r="P27" s="35">
        <v>0.05</v>
      </c>
      <c r="Q27" s="36" t="s">
        <v>44</v>
      </c>
    </row>
    <row r="28" spans="9:17" x14ac:dyDescent="0.25">
      <c r="I28" s="62" t="s">
        <v>33</v>
      </c>
      <c r="J28" s="62">
        <f>IF(ISBLANK(J18),ROUND(50-J6/J23,0),J18)</f>
        <v>50</v>
      </c>
      <c r="M28" s="37">
        <v>800</v>
      </c>
      <c r="N28" s="24">
        <v>1599</v>
      </c>
      <c r="O28" s="24" t="s">
        <v>12</v>
      </c>
      <c r="P28" s="38">
        <v>0.1</v>
      </c>
      <c r="Q28" s="39" t="s">
        <v>45</v>
      </c>
    </row>
    <row r="29" spans="9:17" x14ac:dyDescent="0.25">
      <c r="I29" s="61" t="s">
        <v>46</v>
      </c>
      <c r="J29" s="61">
        <f>J8</f>
        <v>4</v>
      </c>
      <c r="M29" s="40">
        <v>1600</v>
      </c>
      <c r="N29" s="25">
        <v>2199</v>
      </c>
      <c r="O29" s="25" t="s">
        <v>13</v>
      </c>
      <c r="P29" s="41">
        <v>0.2</v>
      </c>
      <c r="Q29" s="42" t="s">
        <v>47</v>
      </c>
    </row>
    <row r="30" spans="9:17" x14ac:dyDescent="0.25">
      <c r="I30" s="60" t="s">
        <v>48</v>
      </c>
      <c r="J30" s="60">
        <f>J29*J28</f>
        <v>200</v>
      </c>
      <c r="M30" s="43">
        <v>2200</v>
      </c>
      <c r="N30" s="44">
        <v>2499</v>
      </c>
      <c r="O30" s="44" t="s">
        <v>14</v>
      </c>
      <c r="P30" s="45">
        <v>0.35</v>
      </c>
      <c r="Q30" s="46" t="s">
        <v>49</v>
      </c>
    </row>
    <row r="31" spans="9:17" x14ac:dyDescent="0.25">
      <c r="I31" s="53" t="s">
        <v>50</v>
      </c>
      <c r="J31" s="53">
        <f>J23-J29</f>
        <v>26</v>
      </c>
      <c r="M31" s="47">
        <v>2500</v>
      </c>
      <c r="N31" s="48">
        <v>3000</v>
      </c>
      <c r="O31" s="48" t="s">
        <v>15</v>
      </c>
      <c r="P31" s="49">
        <v>0.5</v>
      </c>
      <c r="Q31" s="50" t="s">
        <v>51</v>
      </c>
    </row>
    <row r="32" spans="9:17" x14ac:dyDescent="0.25">
      <c r="I32" s="54" t="s">
        <v>52</v>
      </c>
      <c r="J32" s="59">
        <f>50*J31-J6</f>
        <v>1292</v>
      </c>
    </row>
    <row r="33" spans="9:10" x14ac:dyDescent="0.25">
      <c r="I33" s="1" t="s">
        <v>6</v>
      </c>
      <c r="J33" s="6">
        <f>J30+J32</f>
        <v>1492</v>
      </c>
    </row>
    <row r="34" spans="9:10" x14ac:dyDescent="0.25">
      <c r="I34" s="1" t="s">
        <v>53</v>
      </c>
      <c r="J34" s="6">
        <f>J33+SUM(C7:C10)</f>
        <v>2642</v>
      </c>
    </row>
  </sheetData>
  <mergeCells count="8">
    <mergeCell ref="I20:J20"/>
    <mergeCell ref="M25:Q25"/>
    <mergeCell ref="I11:J11"/>
    <mergeCell ref="AB5:AC5"/>
    <mergeCell ref="I5:J5"/>
    <mergeCell ref="N15:P15"/>
    <mergeCell ref="B2:G3"/>
    <mergeCell ref="L5:R5"/>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zoomScaleNormal="100" workbookViewId="0">
      <selection activeCell="C13" sqref="C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hidden="1" customWidth="1"/>
    <col min="10" max="10" width="10.7109375" style="2" hidden="1" customWidth="1"/>
    <col min="11" max="11" width="2.7109375" style="2" hidden="1" customWidth="1"/>
    <col min="12" max="14" width="9.7109375" style="2" hidden="1" customWidth="1"/>
    <col min="15" max="15" width="10.5703125" style="2" hidden="1" customWidth="1"/>
    <col min="16" max="17" width="9.7109375" style="2" hidden="1" customWidth="1"/>
    <col min="18" max="18" width="11.42578125" style="2" hidden="1" customWidth="1"/>
    <col min="19" max="19" width="2.7109375" style="2" hidden="1" customWidth="1"/>
    <col min="20" max="20" width="9.7109375" style="5" customWidth="1"/>
    <col min="21" max="23" width="9.7109375" style="2" customWidth="1"/>
    <col min="24" max="28" width="8.85546875" style="2" customWidth="1"/>
    <col min="29" max="16384" width="8.85546875" style="2"/>
  </cols>
  <sheetData>
    <row r="2" spans="2:29" ht="14.45" customHeight="1" x14ac:dyDescent="0.25">
      <c r="B2" s="70" t="str">
        <f>_xlfn.CONCAT("Drive Summary ",J13, " ",TEXT(J14, "mmmm yyyy"))</f>
        <v>Drive Summary Christiaan May 2025</v>
      </c>
      <c r="C2" s="66"/>
      <c r="D2" s="66"/>
      <c r="E2" s="71"/>
      <c r="F2" s="66"/>
      <c r="G2" s="66"/>
      <c r="H2" s="13"/>
    </row>
    <row r="3" spans="2:29" ht="14.45" customHeight="1" x14ac:dyDescent="0.25">
      <c r="B3" s="66"/>
      <c r="C3" s="66"/>
      <c r="D3" s="66"/>
      <c r="E3" s="71"/>
      <c r="F3" s="66"/>
      <c r="G3" s="66"/>
      <c r="H3" s="13"/>
    </row>
    <row r="5" spans="2:29" x14ac:dyDescent="0.25">
      <c r="B5" s="14" t="s">
        <v>0</v>
      </c>
      <c r="C5" s="15" t="s">
        <v>1</v>
      </c>
      <c r="E5" s="14" t="str">
        <f ca="1">TEXT(TODAY(), "mmmm yyyy")</f>
        <v>May 2025</v>
      </c>
      <c r="F5" s="14" t="s">
        <v>2</v>
      </c>
      <c r="G5" s="16" t="s">
        <v>3</v>
      </c>
      <c r="I5" s="67" t="s">
        <v>4</v>
      </c>
      <c r="J5" s="68"/>
      <c r="L5" s="67" t="s">
        <v>5</v>
      </c>
      <c r="M5" s="69"/>
      <c r="N5" s="69"/>
      <c r="O5" s="69"/>
      <c r="P5" s="69"/>
      <c r="Q5" s="69"/>
      <c r="R5" s="68"/>
      <c r="AB5" s="66"/>
      <c r="AC5" s="66"/>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7"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72"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7" t="str">
        <f>_xlfn.CONCAT("Distance Points for ",J17)</f>
        <v>Distance Points for Diamond</v>
      </c>
      <c r="O15" s="69"/>
      <c r="P15" s="68"/>
      <c r="V15" s="9"/>
      <c r="AA15" s="3"/>
      <c r="AB15" s="3"/>
    </row>
    <row r="16" spans="2:29" x14ac:dyDescent="0.25">
      <c r="I16" s="28" t="s">
        <v>23</v>
      </c>
      <c r="J16" s="28">
        <v>300</v>
      </c>
      <c r="N16" s="16" t="s">
        <v>9</v>
      </c>
      <c r="O16" s="16" t="s">
        <v>10</v>
      </c>
      <c r="P16" s="16" t="s">
        <v>3</v>
      </c>
    </row>
    <row r="17" spans="9:17" ht="14.45" customHeight="1" x14ac:dyDescent="0.25">
      <c r="I17" s="6" t="s">
        <v>32</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33</v>
      </c>
      <c r="J18" s="1"/>
      <c r="N18" s="1">
        <v>300</v>
      </c>
      <c r="O18" s="1">
        <v>599</v>
      </c>
      <c r="P18" s="1">
        <v>300</v>
      </c>
    </row>
    <row r="19" spans="9:17" x14ac:dyDescent="0.25">
      <c r="N19" s="1">
        <v>600</v>
      </c>
      <c r="O19" s="1">
        <v>899</v>
      </c>
      <c r="P19" s="1">
        <v>300</v>
      </c>
    </row>
    <row r="20" spans="9:17" x14ac:dyDescent="0.25">
      <c r="I20" s="67" t="s">
        <v>34</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35</v>
      </c>
      <c r="J23" s="55">
        <f>DAY(J14)</f>
        <v>28</v>
      </c>
      <c r="N23" s="1">
        <v>1800</v>
      </c>
      <c r="O23" s="1">
        <v>1800</v>
      </c>
      <c r="P23" s="1">
        <v>100</v>
      </c>
    </row>
    <row r="24" spans="9:17" x14ac:dyDescent="0.25">
      <c r="I24" s="51" t="s">
        <v>36</v>
      </c>
      <c r="J24" s="54">
        <f>J22-J23</f>
        <v>3</v>
      </c>
    </row>
    <row r="25" spans="9:17" x14ac:dyDescent="0.25">
      <c r="I25" s="53" t="s">
        <v>37</v>
      </c>
      <c r="J25" s="56">
        <f>C11-VLOOKUP(C11,M27:O31,1,TRUE)</f>
        <v>150</v>
      </c>
      <c r="M25" s="67" t="s">
        <v>38</v>
      </c>
      <c r="N25" s="69"/>
      <c r="O25" s="69"/>
      <c r="P25" s="69"/>
      <c r="Q25" s="68"/>
    </row>
    <row r="26" spans="9:17" x14ac:dyDescent="0.25">
      <c r="I26" s="55" t="s">
        <v>39</v>
      </c>
      <c r="J26" s="57">
        <f>MAX(0,C9-J25)</f>
        <v>100</v>
      </c>
      <c r="M26" s="16" t="s">
        <v>9</v>
      </c>
      <c r="N26" s="16" t="s">
        <v>10</v>
      </c>
      <c r="O26" s="16" t="s">
        <v>40</v>
      </c>
      <c r="P26" s="16" t="s">
        <v>41</v>
      </c>
      <c r="Q26" s="16" t="s">
        <v>42</v>
      </c>
    </row>
    <row r="27" spans="9:17" x14ac:dyDescent="0.25">
      <c r="I27" s="54" t="s">
        <v>43</v>
      </c>
      <c r="J27" s="54">
        <f t="array" ref="J27">MAX(_xlfn._xlws.FILTER(_xlfn.ANCHORARRAY(O17),_xlfn.ANCHORARRAY( P17)&gt;=J26))</f>
        <v>1800</v>
      </c>
      <c r="M27" s="34">
        <v>0</v>
      </c>
      <c r="N27" s="23">
        <v>799</v>
      </c>
      <c r="O27" s="23" t="s">
        <v>11</v>
      </c>
      <c r="P27" s="35">
        <v>0.05</v>
      </c>
      <c r="Q27" s="36" t="s">
        <v>44</v>
      </c>
    </row>
    <row r="28" spans="9:17" x14ac:dyDescent="0.25">
      <c r="I28" s="62" t="s">
        <v>33</v>
      </c>
      <c r="J28" s="62">
        <f>IF(ISBLANK(J18),ROUND(50-J6/J23,0),J18)</f>
        <v>50</v>
      </c>
      <c r="M28" s="37">
        <v>800</v>
      </c>
      <c r="N28" s="24">
        <v>1599</v>
      </c>
      <c r="O28" s="24" t="s">
        <v>12</v>
      </c>
      <c r="P28" s="38">
        <v>0.1</v>
      </c>
      <c r="Q28" s="39" t="s">
        <v>45</v>
      </c>
    </row>
    <row r="29" spans="9:17" x14ac:dyDescent="0.25">
      <c r="I29" s="61" t="s">
        <v>46</v>
      </c>
      <c r="J29" s="61">
        <f>J8</f>
        <v>4</v>
      </c>
      <c r="M29" s="40">
        <v>1600</v>
      </c>
      <c r="N29" s="25">
        <v>2199</v>
      </c>
      <c r="O29" s="25" t="s">
        <v>13</v>
      </c>
      <c r="P29" s="41">
        <v>0.2</v>
      </c>
      <c r="Q29" s="42" t="s">
        <v>47</v>
      </c>
    </row>
    <row r="30" spans="9:17" x14ac:dyDescent="0.25">
      <c r="I30" s="60" t="s">
        <v>48</v>
      </c>
      <c r="J30" s="60">
        <f>J29*J28</f>
        <v>200</v>
      </c>
      <c r="M30" s="43">
        <v>2200</v>
      </c>
      <c r="N30" s="44">
        <v>2499</v>
      </c>
      <c r="O30" s="44" t="s">
        <v>14</v>
      </c>
      <c r="P30" s="45">
        <v>0.35</v>
      </c>
      <c r="Q30" s="46" t="s">
        <v>49</v>
      </c>
    </row>
    <row r="31" spans="9:17" x14ac:dyDescent="0.25">
      <c r="I31" s="53" t="s">
        <v>50</v>
      </c>
      <c r="J31" s="53">
        <f>J23-J29</f>
        <v>24</v>
      </c>
      <c r="M31" s="47">
        <v>2500</v>
      </c>
      <c r="N31" s="48">
        <v>3000</v>
      </c>
      <c r="O31" s="48" t="s">
        <v>15</v>
      </c>
      <c r="P31" s="49">
        <v>0.5</v>
      </c>
      <c r="Q31" s="50" t="s">
        <v>51</v>
      </c>
    </row>
    <row r="32" spans="9:17" x14ac:dyDescent="0.25">
      <c r="I32" s="54" t="s">
        <v>52</v>
      </c>
      <c r="J32" s="59">
        <f>50*J31-J6</f>
        <v>1192</v>
      </c>
    </row>
    <row r="33" spans="9:10" x14ac:dyDescent="0.25">
      <c r="I33" s="1" t="s">
        <v>6</v>
      </c>
      <c r="J33" s="6">
        <f>J30+J32</f>
        <v>1392</v>
      </c>
    </row>
    <row r="34" spans="9:10" x14ac:dyDescent="0.25">
      <c r="I34" s="1" t="s">
        <v>53</v>
      </c>
      <c r="J34" s="6">
        <f>J33+SUM(C7:C10)</f>
        <v>2542</v>
      </c>
    </row>
  </sheetData>
  <mergeCells count="8">
    <mergeCell ref="I20:J20"/>
    <mergeCell ref="M25:Q25"/>
    <mergeCell ref="I11:J11"/>
    <mergeCell ref="AB5:AC5"/>
    <mergeCell ref="I5:J5"/>
    <mergeCell ref="N15:P15"/>
    <mergeCell ref="B2:G3"/>
    <mergeCell ref="L5:R5"/>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C13" sqref="C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hidden="1" customWidth="1"/>
    <col min="10" max="10" width="10.7109375" style="2" hidden="1" customWidth="1"/>
    <col min="11" max="11" width="2.7109375" style="2" hidden="1" customWidth="1"/>
    <col min="12" max="14" width="9.7109375" style="2" hidden="1" customWidth="1"/>
    <col min="15" max="15" width="10.5703125" style="2" hidden="1" customWidth="1"/>
    <col min="16" max="17" width="9.7109375" style="2" hidden="1" customWidth="1"/>
    <col min="18" max="18" width="11.42578125" style="2" hidden="1" customWidth="1"/>
    <col min="19" max="19" width="2.7109375" style="2" hidden="1" customWidth="1"/>
    <col min="20" max="20" width="9.7109375" style="5" customWidth="1"/>
    <col min="21" max="23" width="9.7109375" style="2" customWidth="1"/>
    <col min="24" max="28" width="8.85546875" style="2" customWidth="1"/>
    <col min="29" max="16384" width="8.85546875" style="2"/>
  </cols>
  <sheetData>
    <row r="2" spans="2:29" ht="14.45" customHeight="1" x14ac:dyDescent="0.25">
      <c r="B2" s="70" t="str">
        <f>_xlfn.CONCAT("Drive Summary ",J13, " ",TEXT(J14, "mmmm yyyy"))</f>
        <v>Drive Summary Derrick May 2025</v>
      </c>
      <c r="C2" s="66"/>
      <c r="D2" s="66"/>
      <c r="E2" s="71"/>
      <c r="F2" s="66"/>
      <c r="G2" s="66"/>
      <c r="H2" s="13"/>
    </row>
    <row r="3" spans="2:29" ht="14.45" customHeight="1" x14ac:dyDescent="0.25">
      <c r="B3" s="66"/>
      <c r="C3" s="66"/>
      <c r="D3" s="66"/>
      <c r="E3" s="71"/>
      <c r="F3" s="66"/>
      <c r="G3" s="66"/>
      <c r="H3" s="13"/>
    </row>
    <row r="5" spans="2:29" x14ac:dyDescent="0.25">
      <c r="B5" s="14" t="s">
        <v>0</v>
      </c>
      <c r="C5" s="15" t="s">
        <v>1</v>
      </c>
      <c r="E5" s="14" t="str">
        <f ca="1">TEXT(TODAY(), "mmmm yyyy")</f>
        <v>May 2025</v>
      </c>
      <c r="F5" s="14" t="s">
        <v>2</v>
      </c>
      <c r="G5" s="16" t="s">
        <v>3</v>
      </c>
      <c r="I5" s="67" t="s">
        <v>4</v>
      </c>
      <c r="J5" s="68"/>
      <c r="L5" s="67" t="s">
        <v>5</v>
      </c>
      <c r="M5" s="69"/>
      <c r="N5" s="69"/>
      <c r="O5" s="69"/>
      <c r="P5" s="69"/>
      <c r="Q5" s="69"/>
      <c r="R5" s="68"/>
      <c r="AB5" s="66"/>
      <c r="AC5" s="66"/>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7"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72" t="b">
        <v>0</v>
      </c>
      <c r="I13" s="1" t="s">
        <v>28</v>
      </c>
      <c r="J13" s="1" t="s">
        <v>55</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7" t="str">
        <f>_xlfn.CONCAT("Distance Points for ",J17)</f>
        <v>Distance Points for Diamond</v>
      </c>
      <c r="O15" s="69"/>
      <c r="P15" s="68"/>
      <c r="V15" s="9"/>
      <c r="AA15" s="3"/>
      <c r="AB15" s="3"/>
    </row>
    <row r="16" spans="2:29" x14ac:dyDescent="0.25">
      <c r="I16" s="28" t="s">
        <v>23</v>
      </c>
      <c r="J16" s="28">
        <v>300</v>
      </c>
      <c r="N16" s="16" t="s">
        <v>9</v>
      </c>
      <c r="O16" s="16" t="s">
        <v>10</v>
      </c>
      <c r="P16" s="16" t="s">
        <v>3</v>
      </c>
    </row>
    <row r="17" spans="9:17" ht="14.45" customHeight="1" x14ac:dyDescent="0.25">
      <c r="I17" s="6" t="s">
        <v>32</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33</v>
      </c>
      <c r="J18" s="1"/>
      <c r="N18" s="1">
        <v>300</v>
      </c>
      <c r="O18" s="1">
        <v>599</v>
      </c>
      <c r="P18" s="1">
        <v>300</v>
      </c>
    </row>
    <row r="19" spans="9:17" x14ac:dyDescent="0.25">
      <c r="N19" s="1">
        <v>600</v>
      </c>
      <c r="O19" s="1">
        <v>899</v>
      </c>
      <c r="P19" s="1">
        <v>300</v>
      </c>
    </row>
    <row r="20" spans="9:17" x14ac:dyDescent="0.25">
      <c r="I20" s="67" t="s">
        <v>34</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35</v>
      </c>
      <c r="J23" s="55">
        <f>DAY(J14)</f>
        <v>28</v>
      </c>
      <c r="N23" s="1">
        <v>1800</v>
      </c>
      <c r="O23" s="1">
        <v>1800</v>
      </c>
      <c r="P23" s="1">
        <v>100</v>
      </c>
    </row>
    <row r="24" spans="9:17" x14ac:dyDescent="0.25">
      <c r="I24" s="51" t="s">
        <v>36</v>
      </c>
      <c r="J24" s="54">
        <f>J22-J23</f>
        <v>3</v>
      </c>
    </row>
    <row r="25" spans="9:17" x14ac:dyDescent="0.25">
      <c r="I25" s="53" t="s">
        <v>37</v>
      </c>
      <c r="J25" s="56">
        <f>C11-VLOOKUP(C11,M27:O31,1,TRUE)</f>
        <v>150</v>
      </c>
      <c r="M25" s="67" t="s">
        <v>38</v>
      </c>
      <c r="N25" s="69"/>
      <c r="O25" s="69"/>
      <c r="P25" s="69"/>
      <c r="Q25" s="68"/>
    </row>
    <row r="26" spans="9:17" x14ac:dyDescent="0.25">
      <c r="I26" s="55" t="s">
        <v>39</v>
      </c>
      <c r="J26" s="57">
        <f>MAX(0,C9-J25)</f>
        <v>100</v>
      </c>
      <c r="M26" s="16" t="s">
        <v>9</v>
      </c>
      <c r="N26" s="16" t="s">
        <v>10</v>
      </c>
      <c r="O26" s="16" t="s">
        <v>40</v>
      </c>
      <c r="P26" s="16" t="s">
        <v>41</v>
      </c>
      <c r="Q26" s="16" t="s">
        <v>42</v>
      </c>
    </row>
    <row r="27" spans="9:17" x14ac:dyDescent="0.25">
      <c r="I27" s="54" t="s">
        <v>43</v>
      </c>
      <c r="J27" s="54">
        <f t="array" ref="J27">MAX(_xlfn._xlws.FILTER(_xlfn.ANCHORARRAY(O17),_xlfn.ANCHORARRAY( P17)&gt;=J26))</f>
        <v>1800</v>
      </c>
      <c r="M27" s="34">
        <v>0</v>
      </c>
      <c r="N27" s="23">
        <v>799</v>
      </c>
      <c r="O27" s="23" t="s">
        <v>11</v>
      </c>
      <c r="P27" s="35">
        <v>0.05</v>
      </c>
      <c r="Q27" s="36" t="s">
        <v>44</v>
      </c>
    </row>
    <row r="28" spans="9:17" x14ac:dyDescent="0.25">
      <c r="I28" s="62" t="s">
        <v>33</v>
      </c>
      <c r="J28" s="62">
        <f>IF(ISBLANK(J18),ROUND(50-J6/J23,0),J18)</f>
        <v>50</v>
      </c>
      <c r="M28" s="37">
        <v>800</v>
      </c>
      <c r="N28" s="24">
        <v>1599</v>
      </c>
      <c r="O28" s="24" t="s">
        <v>12</v>
      </c>
      <c r="P28" s="38">
        <v>0.1</v>
      </c>
      <c r="Q28" s="39" t="s">
        <v>45</v>
      </c>
    </row>
    <row r="29" spans="9:17" x14ac:dyDescent="0.25">
      <c r="I29" s="61" t="s">
        <v>46</v>
      </c>
      <c r="J29" s="61">
        <f>J8</f>
        <v>4</v>
      </c>
      <c r="M29" s="40">
        <v>1600</v>
      </c>
      <c r="N29" s="25">
        <v>2199</v>
      </c>
      <c r="O29" s="25" t="s">
        <v>13</v>
      </c>
      <c r="P29" s="41">
        <v>0.2</v>
      </c>
      <c r="Q29" s="42" t="s">
        <v>47</v>
      </c>
    </row>
    <row r="30" spans="9:17" x14ac:dyDescent="0.25">
      <c r="I30" s="60" t="s">
        <v>48</v>
      </c>
      <c r="J30" s="60">
        <f>J29*J28</f>
        <v>200</v>
      </c>
      <c r="M30" s="43">
        <v>2200</v>
      </c>
      <c r="N30" s="44">
        <v>2499</v>
      </c>
      <c r="O30" s="44" t="s">
        <v>14</v>
      </c>
      <c r="P30" s="45">
        <v>0.35</v>
      </c>
      <c r="Q30" s="46" t="s">
        <v>49</v>
      </c>
    </row>
    <row r="31" spans="9:17" x14ac:dyDescent="0.25">
      <c r="I31" s="53" t="s">
        <v>50</v>
      </c>
      <c r="J31" s="53">
        <f>J23-J29</f>
        <v>24</v>
      </c>
      <c r="M31" s="47">
        <v>2500</v>
      </c>
      <c r="N31" s="48">
        <v>3000</v>
      </c>
      <c r="O31" s="48" t="s">
        <v>15</v>
      </c>
      <c r="P31" s="49">
        <v>0.5</v>
      </c>
      <c r="Q31" s="50" t="s">
        <v>51</v>
      </c>
    </row>
    <row r="32" spans="9:17" x14ac:dyDescent="0.25">
      <c r="I32" s="54" t="s">
        <v>52</v>
      </c>
      <c r="J32" s="59">
        <f>50*J31-J6</f>
        <v>1192</v>
      </c>
    </row>
    <row r="33" spans="9:10" x14ac:dyDescent="0.25">
      <c r="I33" s="1" t="s">
        <v>6</v>
      </c>
      <c r="J33" s="6">
        <f>J30+J32</f>
        <v>1392</v>
      </c>
    </row>
    <row r="34" spans="9:10" x14ac:dyDescent="0.25">
      <c r="I34" s="1" t="s">
        <v>53</v>
      </c>
      <c r="J34" s="6">
        <f>J33+SUM(C7:C10)</f>
        <v>2542</v>
      </c>
    </row>
  </sheetData>
  <mergeCells count="8">
    <mergeCell ref="I20:J20"/>
    <mergeCell ref="M25:Q25"/>
    <mergeCell ref="I11:J11"/>
    <mergeCell ref="AB5:AC5"/>
    <mergeCell ref="I5:J5"/>
    <mergeCell ref="N15:P15"/>
    <mergeCell ref="B2:G3"/>
    <mergeCell ref="L5:R5"/>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2024-09-30T18:20:25Z</cp:lastPrinted>
  <dcterms:created xsi:type="dcterms:W3CDTF">2023-09-18T15:21:34Z</dcterms:created>
  <dcterms:modified xsi:type="dcterms:W3CDTF">2025-05-30T11:45:33Z</dcterms:modified>
</cp:coreProperties>
</file>