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tefan" sheetId="1" state="visible" r:id="rId1"/>
    <sheet xmlns:r="http://schemas.openxmlformats.org/officeDocument/2006/relationships" name="Christiaan" sheetId="2" state="visible" r:id="rId2"/>
    <sheet xmlns:r="http://schemas.openxmlformats.org/officeDocument/2006/relationships" name="Derrick" sheetId="3" state="visible" r:id="rId3"/>
  </sheets>
  <definedNames>
    <definedName name="Username">#REF!</definedName>
    <definedName name="Username" localSheetId="0">Stefan!$J$21</definedName>
    <definedName name="Username" localSheetId="1">Christiaan!$J$21</definedName>
    <definedName name="Username" localSheetId="2">Derrick!$J$21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R-1C09]#,##0.00"/>
    <numFmt numFmtId="165" formatCode="0.0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color theme="1"/>
      <sz val="20"/>
      <scheme val="minor"/>
    </font>
    <font>
      <name val="72 Monospace"/>
      <family val="3"/>
      <color theme="1"/>
      <sz val="10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3999450666829432"/>
        <bgColor indexed="64"/>
      </patternFill>
    </fill>
    <fill>
      <patternFill patternType="solid">
        <fgColor rgb="FFD9B3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1" fillId="0" borderId="0"/>
    <xf numFmtId="0" fontId="1" fillId="3" borderId="0" applyAlignment="1">
      <alignment horizontal="center" vertical="center"/>
    </xf>
    <xf numFmtId="0" fontId="1" fillId="4" borderId="1" applyAlignment="1">
      <alignment horizontal="center" vertical="center"/>
    </xf>
    <xf numFmtId="0" fontId="1" fillId="5" borderId="0"/>
    <xf numFmtId="0" fontId="1" fillId="6" borderId="1" applyAlignment="1">
      <alignment horizontal="center" vertical="center"/>
    </xf>
    <xf numFmtId="0" fontId="1" fillId="7" borderId="1" applyAlignment="1">
      <alignment horizontal="center" vertical="center"/>
    </xf>
  </cellStyleXfs>
  <cellXfs count="7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1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3" borderId="7" applyAlignment="1" pivotButton="0" quotePrefix="0" xfId="1">
      <alignment horizontal="center" vertical="center"/>
    </xf>
    <xf numFmtId="0" fontId="0" fillId="4" borderId="7" applyAlignment="1" pivotButton="0" quotePrefix="0" xfId="2">
      <alignment horizontal="center" vertical="center"/>
    </xf>
    <xf numFmtId="0" fontId="0" fillId="5" borderId="7" applyAlignment="1" pivotButton="0" quotePrefix="0" xfId="3">
      <alignment horizontal="center" vertical="center"/>
    </xf>
    <xf numFmtId="0" fontId="0" fillId="6" borderId="7" applyAlignment="1" pivotButton="0" quotePrefix="0" xfId="4">
      <alignment horizontal="center" vertical="center"/>
    </xf>
    <xf numFmtId="0" fontId="1" fillId="7" borderId="8" applyAlignment="1" pivotButton="0" quotePrefix="0" xfId="5">
      <alignment horizontal="center" vertical="center"/>
    </xf>
    <xf numFmtId="0" fontId="0" fillId="3" borderId="1" applyAlignment="1" pivotButton="0" quotePrefix="0" xfId="1">
      <alignment horizontal="center" vertical="center"/>
    </xf>
    <xf numFmtId="0" fontId="0" fillId="4" borderId="1" applyAlignment="1" pivotButton="0" quotePrefix="0" xfId="2">
      <alignment horizontal="center" vertical="center"/>
    </xf>
    <xf numFmtId="0" fontId="0" fillId="5" borderId="1" applyAlignment="1" pivotButton="0" quotePrefix="0" xfId="3">
      <alignment horizontal="center" vertical="center"/>
    </xf>
    <xf numFmtId="0" fontId="0" fillId="6" borderId="1" applyAlignment="1" pivotButton="0" quotePrefix="0" xfId="4">
      <alignment horizontal="center" vertical="center"/>
    </xf>
    <xf numFmtId="0" fontId="1" fillId="7" borderId="2" applyAlignment="1" pivotButton="0" quotePrefix="0" xfId="5">
      <alignment horizontal="center" vertical="center"/>
    </xf>
    <xf numFmtId="1" fontId="0" fillId="0" borderId="6" applyAlignment="1" pivotButton="0" quotePrefix="0" xfId="0">
      <alignment horizontal="center" vertical="center"/>
    </xf>
    <xf numFmtId="0" fontId="0" fillId="3" borderId="6" applyAlignment="1" pivotButton="0" quotePrefix="0" xfId="1">
      <alignment horizontal="center" vertical="center"/>
    </xf>
    <xf numFmtId="0" fontId="0" fillId="4" borderId="6" applyAlignment="1" pivotButton="0" quotePrefix="0" xfId="2">
      <alignment horizontal="center" vertical="center"/>
    </xf>
    <xf numFmtId="0" fontId="0" fillId="5" borderId="6" applyAlignment="1" pivotButton="0" quotePrefix="0" xfId="3">
      <alignment horizontal="center" vertical="center"/>
    </xf>
    <xf numFmtId="0" fontId="0" fillId="6" borderId="6" applyAlignment="1" pivotButton="0" quotePrefix="0" xfId="4">
      <alignment horizontal="center" vertical="center"/>
    </xf>
    <xf numFmtId="0" fontId="1" fillId="7" borderId="5" applyAlignment="1" pivotButton="0" quotePrefix="0" xfId="5">
      <alignment horizontal="center" vertical="center"/>
    </xf>
    <xf numFmtId="0" fontId="0" fillId="3" borderId="3" applyAlignment="1" pivotButton="0" quotePrefix="0" xfId="1">
      <alignment horizontal="center" vertical="center"/>
    </xf>
    <xf numFmtId="9" fontId="0" fillId="3" borderId="1" applyAlignment="1" pivotButton="0" quotePrefix="0" xfId="1">
      <alignment horizontal="center" vertical="center"/>
    </xf>
    <xf numFmtId="9" fontId="5" fillId="3" borderId="2" applyAlignment="1" pivotButton="0" quotePrefix="0" xfId="1">
      <alignment horizontal="center" vertical="center"/>
    </xf>
    <xf numFmtId="0" fontId="0" fillId="4" borderId="3" applyAlignment="1" pivotButton="0" quotePrefix="0" xfId="2">
      <alignment horizontal="center" vertical="center"/>
    </xf>
    <xf numFmtId="9" fontId="0" fillId="4" borderId="1" applyAlignment="1" pivotButton="0" quotePrefix="0" xfId="2">
      <alignment horizontal="center" vertical="center"/>
    </xf>
    <xf numFmtId="9" fontId="5" fillId="4" borderId="2" applyAlignment="1" pivotButton="0" quotePrefix="0" xfId="2">
      <alignment horizontal="center" vertical="center"/>
    </xf>
    <xf numFmtId="0" fontId="0" fillId="5" borderId="3" applyAlignment="1" pivotButton="0" quotePrefix="0" xfId="3">
      <alignment horizontal="center" vertical="center"/>
    </xf>
    <xf numFmtId="9" fontId="0" fillId="5" borderId="1" applyAlignment="1" pivotButton="0" quotePrefix="0" xfId="3">
      <alignment horizontal="center" vertical="center"/>
    </xf>
    <xf numFmtId="9" fontId="5" fillId="5" borderId="2" applyAlignment="1" pivotButton="0" quotePrefix="0" xfId="3">
      <alignment horizontal="center" vertical="center"/>
    </xf>
    <xf numFmtId="0" fontId="1" fillId="6" borderId="3" applyAlignment="1" pivotButton="0" quotePrefix="0" xfId="4">
      <alignment horizontal="center" vertical="center"/>
    </xf>
    <xf numFmtId="0" fontId="1" fillId="6" borderId="1" applyAlignment="1" pivotButton="0" quotePrefix="0" xfId="4">
      <alignment horizontal="center" vertical="center"/>
    </xf>
    <xf numFmtId="9" fontId="1" fillId="6" borderId="1" applyAlignment="1" pivotButton="0" quotePrefix="0" xfId="4">
      <alignment horizontal="center" vertical="center"/>
    </xf>
    <xf numFmtId="9" fontId="5" fillId="6" borderId="2" applyAlignment="1" pivotButton="0" quotePrefix="0" xfId="4">
      <alignment horizontal="center" vertical="center"/>
    </xf>
    <xf numFmtId="0" fontId="1" fillId="7" borderId="9" applyAlignment="1" pivotButton="0" quotePrefix="0" xfId="5">
      <alignment horizontal="center" vertical="center"/>
    </xf>
    <xf numFmtId="0" fontId="1" fillId="7" borderId="6" applyAlignment="1" pivotButton="0" quotePrefix="0" xfId="5">
      <alignment horizontal="center" vertical="center"/>
    </xf>
    <xf numFmtId="9" fontId="1" fillId="7" borderId="6" applyAlignment="1" pivotButton="0" quotePrefix="0" xfId="5">
      <alignment horizontal="center" vertical="center"/>
    </xf>
    <xf numFmtId="9" fontId="5" fillId="7" borderId="5" applyAlignment="1" pivotButton="0" quotePrefix="0" xfId="5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" fontId="0" fillId="0" borderId="12" applyAlignment="1" pivotButton="0" quotePrefix="0" xfId="0">
      <alignment horizontal="center" vertical="center"/>
    </xf>
    <xf numFmtId="1" fontId="0" fillId="0" borderId="14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1" fontId="0" fillId="0" borderId="1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165" fontId="0" fillId="0" borderId="6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Blue" xfId="1"/>
    <cellStyle name="Bronze" xfId="2"/>
    <cellStyle name="Silver" xfId="3"/>
    <cellStyle name="Gold" xfId="4"/>
    <cellStyle name="Diamond" xfId="5"/>
  </cellStyles>
  <dxfs count="115"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ill>
        <patternFill>
          <bgColor rgb="FFD9B3FF"/>
        </patternFill>
      </fill>
    </dxf>
    <dxf>
      <fill>
        <patternFill>
          <bgColor rgb="FFFFD966"/>
        </patternFill>
      </fill>
    </dxf>
    <dxf>
      <fill>
        <patternFill>
          <bgColor rgb="FFDBDBDB"/>
        </patternFill>
      </fill>
    </dxf>
    <dxf>
      <fill>
        <patternFill>
          <bgColor rgb="FFF4B084"/>
        </patternFill>
      </fill>
    </dxf>
    <dxf>
      <fill>
        <patternFill>
          <bgColor rgb="FF8EA9DB"/>
        </patternFill>
      </fill>
    </dxf>
    <dxf>
      <font>
        <name val="72 Monospace"/>
        <family val="3"/>
        <strike val="0"/>
        <outline val="0"/>
        <shadow val="0"/>
        <condense val="0"/>
        <color theme="1"/>
        <extend val="0"/>
        <sz val="10"/>
        <vertAlign val="baseline"/>
      </font>
      <numFmt numFmtId="13" formatCode="0%"/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72 Monospace"/>
        <family val="3"/>
        <strike val="0"/>
        <outline val="0"/>
        <shadow val="0"/>
        <condense val="0"/>
        <color theme="1"/>
        <extend val="0"/>
        <sz val="10"/>
        <vertAlign val="baseline"/>
      </font>
      <numFmt numFmtId="13" formatCode="0%"/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72 Monospace"/>
        <family val="3"/>
        <strike val="0"/>
        <outline val="0"/>
        <shadow val="0"/>
        <condense val="0"/>
        <color theme="1"/>
        <extend val="0"/>
        <sz val="10"/>
        <vertAlign val="baseline"/>
      </font>
      <numFmt numFmtId="13" formatCode="0%"/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0999786370433668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6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2" defaultTableStyle="TableStyleMedium2" defaultPivotStyle="PivotStyleLight16">
    <tableStyle name="Table Style 1" pivot="0" count="1">
      <tableStyleElement type="wholeTable" dxfId="114"/>
    </tableStyle>
    <tableStyle name="Table Style 1 10" pivot="0" count="1">
      <tableStyleElement type="wholeTable" dxfId="113"/>
    </tableStyle>
    <tableStyle name="Table Style 1 11" pivot="0" count="1">
      <tableStyleElement type="wholeTable" dxfId="112"/>
    </tableStyle>
    <tableStyle name="Table Style 1 12" pivot="0" count="1">
      <tableStyleElement type="wholeTable" dxfId="111"/>
    </tableStyle>
    <tableStyle name="Table Style 1 13" pivot="0" count="1">
      <tableStyleElement type="wholeTable" dxfId="110"/>
    </tableStyle>
    <tableStyle name="Table Style 1 14" pivot="0" count="1">
      <tableStyleElement type="wholeTable" dxfId="109"/>
    </tableStyle>
    <tableStyle name="Table Style 1 15" pivot="0" count="1">
      <tableStyleElement type="wholeTable" dxfId="108"/>
    </tableStyle>
    <tableStyle name="Table Style 1 16" pivot="0" count="1">
      <tableStyleElement type="wholeTable" dxfId="107"/>
    </tableStyle>
    <tableStyle name="Table Style 1 17" pivot="0" count="1">
      <tableStyleElement type="wholeTable" dxfId="106"/>
    </tableStyle>
    <tableStyle name="Table Style 1 18" pivot="0" count="1">
      <tableStyleElement type="wholeTable" dxfId="105"/>
    </tableStyle>
    <tableStyle name="Table Style 1 19" pivot="0" count="1">
      <tableStyleElement type="wholeTable" dxfId="104"/>
    </tableStyle>
    <tableStyle name="Table Style 1 2" pivot="0" count="1">
      <tableStyleElement type="wholeTable" dxfId="103"/>
    </tableStyle>
    <tableStyle name="Table Style 1 20" pivot="0" count="1">
      <tableStyleElement type="wholeTable" dxfId="102"/>
    </tableStyle>
    <tableStyle name="Table Style 1 21" pivot="0" count="1">
      <tableStyleElement type="wholeTable" dxfId="101"/>
    </tableStyle>
    <tableStyle name="Table Style 1 22" pivot="0" count="1">
      <tableStyleElement type="wholeTable" dxfId="100"/>
    </tableStyle>
    <tableStyle name="Table Style 1 3" pivot="0" count="1">
      <tableStyleElement type="wholeTable" dxfId="99"/>
    </tableStyle>
    <tableStyle name="Table Style 1 4" pivot="0" count="1">
      <tableStyleElement type="wholeTable" dxfId="98"/>
    </tableStyle>
    <tableStyle name="Table Style 1 5" pivot="0" count="1">
      <tableStyleElement type="wholeTable" dxfId="97"/>
    </tableStyle>
    <tableStyle name="Table Style 1 6" pivot="0" count="1">
      <tableStyleElement type="wholeTable" dxfId="96"/>
    </tableStyle>
    <tableStyle name="Table Style 1 7" pivot="0" count="1">
      <tableStyleElement type="wholeTable" dxfId="95"/>
    </tableStyle>
    <tableStyle name="Table Style 1 8" pivot="0" count="1">
      <tableStyleElement type="wholeTable" dxfId="94"/>
    </tableStyle>
    <tableStyle name="Table Style 1 9" pivot="0" count="1">
      <tableStyleElement type="wholeTable" dxfId="9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DistancePointsStefan615" displayName="DistancePointsStefan615" ref="L6:R13" headerRowCount="1" totalsRowShown="0" headerRowDxfId="92" dataDxfId="90" headerRowBorderDxfId="91" tableBorderDxfId="89" totalsRowBorderDxfId="88">
  <autoFilter ref="L6:R13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</autoFilter>
  <tableColumns count="7">
    <tableColumn id="1" name="Lower" dataDxfId="87"/>
    <tableColumn id="2" name="Upper" dataDxfId="86"/>
    <tableColumn id="3" name="Blue" dataDxfId="85" dataCellStyle="Blue"/>
    <tableColumn id="4" name="Bronze" dataDxfId="84" dataCellStyle="Bronze"/>
    <tableColumn id="5" name="Silver" dataDxfId="83" dataCellStyle="Silver"/>
    <tableColumn id="6" name="Gold" dataDxfId="82" dataCellStyle="Gold"/>
    <tableColumn id="7" name="Diamond" dataDxfId="81" dataCellStyle="Diamond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id="2" name="DrivingStatusStefan716" displayName="DrivingStatusStefan716" ref="M26:Q31" headerRowCount="1" totalsRowShown="0" headerRowDxfId="80" headerRowBorderDxfId="79" tableBorderDxfId="78" totalsRowBorderDxfId="77">
  <autoFilter ref="M26:Q31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Lower" dataDxfId="76" dataCellStyle="Silver"/>
    <tableColumn id="2" name="Upper" dataDxfId="75" dataCellStyle="Silver"/>
    <tableColumn id="3" name="Category" dataDxfId="74" dataCellStyle="Silver"/>
    <tableColumn id="4" name="Fuel %" dataDxfId="73" dataCellStyle="Silver"/>
    <tableColumn id="5" name="Color" dataDxfId="72" dataCellStyle="Silver"/>
  </tableColumns>
  <tableStyleInfo name="Table Style 1" showFirstColumn="0" showLastColumn="0" showRowStripes="0" showColumnStripes="0"/>
</table>
</file>

<file path=xl/tables/table3.xml><?xml version="1.0" encoding="utf-8"?>
<table xmlns="http://schemas.openxmlformats.org/spreadsheetml/2006/main" id="3" name="DistancePointsStefan4" displayName="DistancePointsStefan4" ref="L6:R13" headerRowCount="1" totalsRowShown="0" headerRowDxfId="71" dataDxfId="69" headerRowBorderDxfId="70" tableBorderDxfId="68" totalsRowBorderDxfId="67">
  <autoFilter ref="L6:R13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</autoFilter>
  <tableColumns count="7">
    <tableColumn id="1" name="Lower" dataDxfId="66"/>
    <tableColumn id="2" name="Upper" dataDxfId="65"/>
    <tableColumn id="3" name="Blue" dataDxfId="64" dataCellStyle="Blue"/>
    <tableColumn id="4" name="Bronze" dataDxfId="63" dataCellStyle="Bronze"/>
    <tableColumn id="5" name="Silver" dataDxfId="62" dataCellStyle="Silver"/>
    <tableColumn id="6" name="Gold" dataDxfId="61" dataCellStyle="Gold"/>
    <tableColumn id="7" name="Diamond" dataDxfId="60" dataCellStyle="Diamond"/>
  </tableColumns>
  <tableStyleInfo name="Table Style 1" showFirstColumn="0" showLastColumn="0" showRowStripes="0" showColumnStripes="0"/>
</table>
</file>

<file path=xl/tables/table4.xml><?xml version="1.0" encoding="utf-8"?>
<table xmlns="http://schemas.openxmlformats.org/spreadsheetml/2006/main" id="4" name="DrivingStatusStefan5" displayName="DrivingStatusStefan5" ref="M26:Q31" headerRowCount="1" totalsRowShown="0" headerRowDxfId="59" headerRowBorderDxfId="58" tableBorderDxfId="57" totalsRowBorderDxfId="56">
  <autoFilter ref="M26:Q31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Lower" dataDxfId="55" dataCellStyle="Silver"/>
    <tableColumn id="2" name="Upper" dataDxfId="54" dataCellStyle="Silver"/>
    <tableColumn id="3" name="Category" dataDxfId="53" dataCellStyle="Silver"/>
    <tableColumn id="4" name="Fuel %" dataDxfId="52" dataCellStyle="Silver"/>
    <tableColumn id="5" name="Color" dataDxfId="51" dataCellStyle="Silver"/>
  </tableColumns>
  <tableStyleInfo name="Table Style 1" showFirstColumn="0" showLastColumn="0" showRowStripes="0" showColumnStripes="0"/>
</table>
</file>

<file path=xl/tables/table5.xml><?xml version="1.0" encoding="utf-8"?>
<table xmlns="http://schemas.openxmlformats.org/spreadsheetml/2006/main" id="5" name="DistancePointsStefan2" displayName="DistancePointsStefan2" ref="L6:R13" headerRowCount="1" totalsRowShown="0" headerRowDxfId="50" dataDxfId="48" headerRowBorderDxfId="49" tableBorderDxfId="47" totalsRowBorderDxfId="46">
  <autoFilter ref="L6:R13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</autoFilter>
  <tableColumns count="7">
    <tableColumn id="1" name="Lower" dataDxfId="45"/>
    <tableColumn id="2" name="Upper" dataDxfId="44"/>
    <tableColumn id="3" name="Blue" dataDxfId="43" dataCellStyle="Blue"/>
    <tableColumn id="4" name="Bronze" dataDxfId="42" dataCellStyle="Bronze"/>
    <tableColumn id="5" name="Silver" dataDxfId="41" dataCellStyle="Silver"/>
    <tableColumn id="6" name="Gold" dataDxfId="40" dataCellStyle="Gold"/>
    <tableColumn id="7" name="Diamond" dataDxfId="39" dataCellStyle="Diamond"/>
  </tableColumns>
  <tableStyleInfo name="Table Style 1" showFirstColumn="0" showLastColumn="0" showRowStripes="0" showColumnStripes="0"/>
</table>
</file>

<file path=xl/tables/table6.xml><?xml version="1.0" encoding="utf-8"?>
<table xmlns="http://schemas.openxmlformats.org/spreadsheetml/2006/main" id="6" name="DrivingStatusStefan3" displayName="DrivingStatusStefan3" ref="M26:Q31" headerRowCount="1" totalsRowShown="0" headerRowDxfId="38" headerRowBorderDxfId="37" tableBorderDxfId="36" totalsRowBorderDxfId="35">
  <autoFilter ref="M26:Q31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</autoFilter>
  <tableColumns count="5">
    <tableColumn id="1" name="Lower" dataDxfId="34" dataCellStyle="Silver"/>
    <tableColumn id="2" name="Upper" dataDxfId="33" dataCellStyle="Silver"/>
    <tableColumn id="3" name="Category" dataDxfId="32" dataCellStyle="Silver"/>
    <tableColumn id="4" name="Fuel %" dataDxfId="31" dataCellStyle="Silver"/>
    <tableColumn id="5" name="Color" dataDxfId="30" dataCellStyle="Silver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Relationship Type="http://schemas.openxmlformats.org/officeDocument/2006/relationships/table" Target="/xl/tables/table6.xml" Id="rId2"/></Relationships>
</file>

<file path=xl/worksheets/sheet1.xml><?xml version="1.0" encoding="utf-8"?>
<worksheet xmlns="http://schemas.openxmlformats.org/spreadsheetml/2006/main">
  <sheetPr codeName="Sheet10">
    <outlinePr summaryBelow="1" summaryRight="1"/>
    <pageSetUpPr fitToPage="1"/>
  </sheetPr>
  <dimension ref="B2:AC34"/>
  <sheetViews>
    <sheetView tabSelected="1" zoomScaleNormal="100" workbookViewId="0">
      <selection activeCell="G14" sqref="G14"/>
    </sheetView>
  </sheetViews>
  <sheetFormatPr baseColWidth="8" defaultColWidth="8.85546875" defaultRowHeight="15"/>
  <cols>
    <col width="2.7109375" customWidth="1" style="70" min="1" max="1"/>
    <col width="25.140625" bestFit="1" customWidth="1" style="70" min="2" max="2"/>
    <col width="9.7109375" customWidth="1" style="70" min="3" max="3"/>
    <col width="2.7109375" customWidth="1" style="70" min="4" max="4"/>
    <col width="16.140625" customWidth="1" style="71" min="5" max="5"/>
    <col width="11.140625" bestFit="1" customWidth="1" style="70" min="6" max="6"/>
    <col width="9.7109375" customWidth="1" style="70" min="7" max="7"/>
    <col width="2.7109375" customWidth="1" style="70" min="8" max="8"/>
    <col width="22.42578125" customWidth="1" style="70" min="9" max="9"/>
    <col width="10.7109375" customWidth="1" style="70" min="10" max="10"/>
    <col width="2.7109375" customWidth="1" style="70" min="11" max="11"/>
    <col width="9.7109375" customWidth="1" style="70" min="12" max="14"/>
    <col width="10.5703125" customWidth="1" style="70" min="15" max="15"/>
    <col width="9.7109375" customWidth="1" style="70" min="16" max="17"/>
    <col width="11.42578125" customWidth="1" style="70" min="18" max="18"/>
    <col width="2.7109375" customWidth="1" style="70" min="19" max="19"/>
    <col width="9.7109375" customWidth="1" style="5" min="20" max="20"/>
    <col width="9.7109375" customWidth="1" style="70" min="21" max="23"/>
    <col width="8.85546875" customWidth="1" style="70" min="24" max="36"/>
    <col width="8.85546875" customWidth="1" style="70" min="37" max="16384"/>
  </cols>
  <sheetData>
    <row r="2" ht="14.45" customHeight="1" s="71">
      <c r="B2" s="69">
        <f>_xlfn.CONCAT("Drive Summary ",J13, " ",TEXT(J14, "mmmm yyyy"))</f>
        <v/>
      </c>
      <c r="H2" s="13" t="n"/>
    </row>
    <row r="3" ht="14.45" customHeight="1" s="71">
      <c r="H3" s="13" t="n"/>
    </row>
    <row r="5">
      <c r="B5" s="14" t="inlineStr">
        <is>
          <t>Description</t>
        </is>
      </c>
      <c r="C5" s="15" t="inlineStr">
        <is>
          <t>Value</t>
        </is>
      </c>
      <c r="E5" s="14">
        <f>TEXT(TODAY(), "mmmm yyyy")</f>
        <v/>
      </c>
      <c r="F5" s="14" t="inlineStr">
        <is>
          <t>Distance</t>
        </is>
      </c>
      <c r="G5" s="66" t="inlineStr">
        <is>
          <t>Points</t>
        </is>
      </c>
      <c r="I5" s="66" t="inlineStr">
        <is>
          <t>Python Data</t>
        </is>
      </c>
      <c r="J5" s="68" t="n"/>
      <c r="L5" s="66" t="inlineStr">
        <is>
          <t>Distance Points</t>
        </is>
      </c>
      <c r="M5" s="67" t="n"/>
      <c r="N5" s="67" t="n"/>
      <c r="O5" s="67" t="n"/>
      <c r="P5" s="67" t="n"/>
      <c r="Q5" s="67" t="n"/>
      <c r="R5" s="68" t="n"/>
      <c r="AB5" s="70" t="n"/>
    </row>
    <row r="6">
      <c r="B6" s="1" t="inlineStr">
        <is>
          <t>Driving Profile</t>
        </is>
      </c>
      <c r="C6" s="6">
        <f>MIN(1500, IF($C$13,G7,G6+G9))</f>
        <v/>
      </c>
      <c r="E6" s="1" t="inlineStr">
        <is>
          <t>Month-to-Date</t>
        </is>
      </c>
      <c r="F6" s="6">
        <f>J9</f>
        <v/>
      </c>
      <c r="G6" s="17">
        <f>J33</f>
        <v/>
      </c>
      <c r="I6" s="1" t="inlineStr">
        <is>
          <t>Drive Penalties</t>
        </is>
      </c>
      <c r="J6" s="1" t="n">
        <v>46</v>
      </c>
      <c r="L6" s="66" t="inlineStr">
        <is>
          <t>Lower</t>
        </is>
      </c>
      <c r="M6" s="66" t="inlineStr">
        <is>
          <t>Upper</t>
        </is>
      </c>
      <c r="N6" s="18" t="inlineStr">
        <is>
          <t>Blue</t>
        </is>
      </c>
      <c r="O6" s="19" t="inlineStr">
        <is>
          <t>Bronze</t>
        </is>
      </c>
      <c r="P6" s="20" t="inlineStr">
        <is>
          <t>Silver</t>
        </is>
      </c>
      <c r="Q6" s="21" t="inlineStr">
        <is>
          <t>Gold</t>
        </is>
      </c>
      <c r="R6" s="22" t="inlineStr">
        <is>
          <t>Diamond</t>
        </is>
      </c>
      <c r="AB6" s="8" t="n"/>
      <c r="AC6" s="8" t="n"/>
    </row>
    <row r="7">
      <c r="B7" s="1" t="inlineStr">
        <is>
          <t>Claim Free Years</t>
        </is>
      </c>
      <c r="C7" s="6">
        <f>J15</f>
        <v/>
      </c>
      <c r="D7" s="3" t="n"/>
      <c r="E7" s="1" t="inlineStr">
        <is>
          <t>End of Month</t>
        </is>
      </c>
      <c r="F7" s="6">
        <f>F6/J23*J22</f>
        <v/>
      </c>
      <c r="G7" s="6">
        <f>G6/J23*J22</f>
        <v/>
      </c>
      <c r="I7" s="1" t="inlineStr">
        <is>
          <t>Night Penalty</t>
        </is>
      </c>
      <c r="J7" s="1" t="n">
        <v>0</v>
      </c>
      <c r="L7" s="11" t="n">
        <v>0</v>
      </c>
      <c r="M7" s="1" t="n">
        <v>299</v>
      </c>
      <c r="N7" s="23" t="n">
        <v>300</v>
      </c>
      <c r="O7" s="24" t="n">
        <v>300</v>
      </c>
      <c r="P7" s="25" t="n">
        <v>300</v>
      </c>
      <c r="Q7" s="26" t="n">
        <v>300</v>
      </c>
      <c r="R7" s="27" t="n">
        <v>300</v>
      </c>
      <c r="AB7" s="3" t="n"/>
    </row>
    <row r="8" ht="15" customHeight="1" s="71" thickBot="1">
      <c r="B8" s="1" t="inlineStr">
        <is>
          <t>Night Time Driving</t>
        </is>
      </c>
      <c r="C8" s="6">
        <f>300-J7</f>
        <v/>
      </c>
      <c r="E8" s="10" t="inlineStr">
        <is>
          <t>Daily Average</t>
        </is>
      </c>
      <c r="F8" s="65">
        <f>F6/J23</f>
        <v/>
      </c>
      <c r="G8" s="65">
        <f>G6/J23</f>
        <v/>
      </c>
      <c r="I8" s="1" t="inlineStr">
        <is>
          <t>No-Drive Days</t>
        </is>
      </c>
      <c r="J8" s="1" t="n">
        <v>0</v>
      </c>
      <c r="L8" s="11" t="n">
        <v>300</v>
      </c>
      <c r="M8" s="1" t="n">
        <v>599</v>
      </c>
      <c r="N8" s="23" t="n">
        <v>100</v>
      </c>
      <c r="O8" s="24" t="n">
        <v>150</v>
      </c>
      <c r="P8" s="25" t="n">
        <v>200</v>
      </c>
      <c r="Q8" s="26" t="n">
        <v>250</v>
      </c>
      <c r="R8" s="27" t="n">
        <v>300</v>
      </c>
    </row>
    <row r="9" ht="15.75" customHeight="1" s="71" thickTop="1">
      <c r="B9" s="1" t="inlineStr">
        <is>
          <t>Distance Points</t>
        </is>
      </c>
      <c r="C9" s="6">
        <f>VLOOKUP(IF(C13,F7,F6),N17:P23,3)</f>
        <v/>
      </c>
      <c r="E9" s="64" t="inlineStr">
        <is>
          <t>Remaining</t>
        </is>
      </c>
      <c r="F9" s="63">
        <f>IF(J27&gt;=M13, "Unlimited", J27-F6)</f>
        <v/>
      </c>
      <c r="G9" s="63">
        <f>50*J24 + IF(J22&lt;30,(30-J22)*G8,0)</f>
        <v/>
      </c>
      <c r="I9" s="1" t="inlineStr">
        <is>
          <t>Distance</t>
        </is>
      </c>
      <c r="J9" s="6" t="n">
        <v>1539.284</v>
      </c>
      <c r="L9" s="11" t="n">
        <v>600</v>
      </c>
      <c r="M9" s="1" t="n">
        <v>899</v>
      </c>
      <c r="N9" s="23" t="n">
        <v>75</v>
      </c>
      <c r="O9" s="24" t="n">
        <v>100</v>
      </c>
      <c r="P9" s="25" t="n">
        <v>150</v>
      </c>
      <c r="Q9" s="26" t="n">
        <v>200</v>
      </c>
      <c r="R9" s="27" t="n">
        <v>300</v>
      </c>
    </row>
    <row r="10">
      <c r="B10" s="1" t="inlineStr">
        <is>
          <t>MultiPoint Check</t>
        </is>
      </c>
      <c r="C10" s="6">
        <f>J16</f>
        <v/>
      </c>
      <c r="E10" s="7" t="n"/>
      <c r="L10" s="11" t="n">
        <v>900</v>
      </c>
      <c r="M10" s="1" t="n">
        <v>1199</v>
      </c>
      <c r="N10" s="23" t="n">
        <v>50</v>
      </c>
      <c r="O10" s="24" t="n">
        <v>75</v>
      </c>
      <c r="P10" s="25" t="n">
        <v>100</v>
      </c>
      <c r="Q10" s="26" t="n">
        <v>175</v>
      </c>
      <c r="R10" s="27" t="n">
        <v>300</v>
      </c>
    </row>
    <row r="11">
      <c r="B11" s="1" t="inlineStr">
        <is>
          <t>Accumulated Points</t>
        </is>
      </c>
      <c r="C11" s="6">
        <f>SUM(C6:C10)</f>
        <v/>
      </c>
      <c r="I11" s="66" t="inlineStr">
        <is>
          <t>Config Data</t>
        </is>
      </c>
      <c r="J11" s="68" t="n"/>
      <c r="L11" s="11" t="n">
        <v>1200</v>
      </c>
      <c r="M11" s="1" t="n">
        <v>1499</v>
      </c>
      <c r="N11" s="23" t="n">
        <v>25</v>
      </c>
      <c r="O11" s="24" t="n">
        <v>50</v>
      </c>
      <c r="P11" s="25" t="n">
        <v>75</v>
      </c>
      <c r="Q11" s="26" t="n">
        <v>125</v>
      </c>
      <c r="R11" s="27" t="n">
        <v>300</v>
      </c>
    </row>
    <row r="12">
      <c r="B12" s="1" t="inlineStr">
        <is>
          <t>Vitality Drive Status</t>
        </is>
      </c>
      <c r="C12" s="1">
        <f>VLOOKUP(C11,M27:O31,3,TRUE)</f>
        <v/>
      </c>
      <c r="D12" s="3" t="n"/>
      <c r="I12" s="66" t="inlineStr">
        <is>
          <t>Description</t>
        </is>
      </c>
      <c r="J12" s="66" t="inlineStr">
        <is>
          <t>Value</t>
        </is>
      </c>
      <c r="L12" s="11" t="n">
        <v>1500</v>
      </c>
      <c r="M12" s="1" t="n">
        <v>1799</v>
      </c>
      <c r="N12" s="23" t="n">
        <v>10</v>
      </c>
      <c r="O12" s="24" t="n">
        <v>25</v>
      </c>
      <c r="P12" s="25" t="n">
        <v>50</v>
      </c>
      <c r="Q12" s="26" t="n">
        <v>100</v>
      </c>
      <c r="R12" s="27" t="n">
        <v>250</v>
      </c>
      <c r="T12" s="70" t="n"/>
      <c r="Z12" s="8" t="n"/>
    </row>
    <row r="13">
      <c r="B13" s="1" t="inlineStr">
        <is>
          <t>Predict Status</t>
        </is>
      </c>
      <c r="C13" s="1" t="b">
        <v>0</v>
      </c>
      <c r="I13" s="1" t="inlineStr">
        <is>
          <t>Username</t>
        </is>
      </c>
      <c r="J13" s="1" t="inlineStr">
        <is>
          <t>Stefan</t>
        </is>
      </c>
      <c r="L13" s="12" t="n">
        <v>1800</v>
      </c>
      <c r="M13" s="10" t="n">
        <v>1800</v>
      </c>
      <c r="N13" s="29" t="n">
        <v>5</v>
      </c>
      <c r="O13" s="30" t="n">
        <v>10</v>
      </c>
      <c r="P13" s="31" t="n">
        <v>25</v>
      </c>
      <c r="Q13" s="32" t="n">
        <v>60</v>
      </c>
      <c r="R13" s="33" t="n">
        <v>100</v>
      </c>
      <c r="Z13" s="8" t="n"/>
      <c r="AA13" s="3" t="n"/>
    </row>
    <row r="14">
      <c r="I14" s="1" t="inlineStr">
        <is>
          <t>Report Date</t>
        </is>
      </c>
      <c r="J14" s="58" t="n">
        <v>45831</v>
      </c>
    </row>
    <row r="15">
      <c r="D15" s="4" t="n"/>
      <c r="I15" s="28" t="inlineStr">
        <is>
          <t>Claim Free Years</t>
        </is>
      </c>
      <c r="J15" s="6" t="n">
        <v>300</v>
      </c>
      <c r="N15" s="66">
        <f>_xlfn.CONCAT("Distance Points for ",J17)</f>
        <v/>
      </c>
      <c r="O15" s="67" t="n"/>
      <c r="P15" s="68" t="n"/>
      <c r="V15" s="9" t="n"/>
      <c r="AA15" s="3" t="n"/>
      <c r="AB15" s="3" t="n"/>
    </row>
    <row r="16">
      <c r="I16" s="28" t="inlineStr">
        <is>
          <t>MultiPoint Check</t>
        </is>
      </c>
      <c r="J16" s="28" t="n">
        <v>300</v>
      </c>
      <c r="N16" s="66" t="inlineStr">
        <is>
          <t>Lower</t>
        </is>
      </c>
      <c r="O16" s="66" t="inlineStr">
        <is>
          <t>Upper</t>
        </is>
      </c>
      <c r="P16" s="66" t="inlineStr">
        <is>
          <t>Points</t>
        </is>
      </c>
    </row>
    <row r="17" ht="14.45" customHeight="1" s="71">
      <c r="I17" s="6" t="inlineStr">
        <is>
          <t>Last Month's Status</t>
        </is>
      </c>
      <c r="J17" s="6" t="inlineStr">
        <is>
          <t>Diamond</t>
        </is>
      </c>
      <c r="N17" s="1">
        <f t="array" ref="N17:N23">DistancePointsStefan615[Lower]</f>
        <v/>
      </c>
      <c r="O17" s="1">
        <f t="array" ref="O17:O23">DistancePointsStefan615[Upper]</f>
        <v/>
      </c>
      <c r="P17" s="1">
        <f t="array" ref="P17:P23">_xlfn.XLOOKUP(J17,DistancePointsStefan615[#Headers],DistancePointsStefan615[])</f>
        <v/>
      </c>
    </row>
    <row r="18">
      <c r="I18" s="6" t="inlineStr">
        <is>
          <t>Points on No-Drive Day</t>
        </is>
      </c>
      <c r="J18" s="1" t="n">
        <v>50</v>
      </c>
      <c r="N18" s="1" t="n">
        <v>300</v>
      </c>
      <c r="O18" s="1" t="n">
        <v>599</v>
      </c>
      <c r="P18" s="1" t="n">
        <v>300</v>
      </c>
    </row>
    <row r="19">
      <c r="N19" s="1" t="n">
        <v>600</v>
      </c>
      <c r="O19" s="1" t="n">
        <v>899</v>
      </c>
      <c r="P19" s="1" t="n">
        <v>300</v>
      </c>
    </row>
    <row r="20">
      <c r="I20" s="66" t="inlineStr">
        <is>
          <t>Calculated Data</t>
        </is>
      </c>
      <c r="J20" s="68" t="n"/>
      <c r="N20" s="1" t="n">
        <v>900</v>
      </c>
      <c r="O20" s="1" t="n">
        <v>1199</v>
      </c>
      <c r="P20" s="1" t="n">
        <v>300</v>
      </c>
    </row>
    <row r="21">
      <c r="I21" s="66" t="inlineStr">
        <is>
          <t>Description</t>
        </is>
      </c>
      <c r="J21" s="66" t="inlineStr">
        <is>
          <t>Value</t>
        </is>
      </c>
      <c r="N21" s="1" t="n">
        <v>1200</v>
      </c>
      <c r="O21" s="1" t="n">
        <v>1499</v>
      </c>
      <c r="P21" s="1" t="n">
        <v>300</v>
      </c>
    </row>
    <row r="22">
      <c r="I22" s="52">
        <f>_xlfn.CONCAT("Days ",TEXT(J14, "mmm yyyy"))</f>
        <v/>
      </c>
      <c r="J22" s="55">
        <f>DAY(EOMONTH(J14, 0))</f>
        <v/>
      </c>
      <c r="N22" s="1" t="n">
        <v>1500</v>
      </c>
      <c r="O22" s="1" t="n">
        <v>1799</v>
      </c>
      <c r="P22" s="1" t="n">
        <v>250</v>
      </c>
    </row>
    <row r="23">
      <c r="I23" s="52" t="inlineStr">
        <is>
          <t>Days Past</t>
        </is>
      </c>
      <c r="J23" s="55">
        <f>DAY(J14)</f>
        <v/>
      </c>
      <c r="N23" s="1" t="n">
        <v>1800</v>
      </c>
      <c r="O23" s="1" t="n">
        <v>1800</v>
      </c>
      <c r="P23" s="1" t="n">
        <v>100</v>
      </c>
    </row>
    <row r="24">
      <c r="I24" s="51" t="inlineStr">
        <is>
          <t>Days Left</t>
        </is>
      </c>
      <c r="J24" s="54">
        <f>J22-J23</f>
        <v/>
      </c>
    </row>
    <row r="25">
      <c r="I25" s="53" t="inlineStr">
        <is>
          <t>Rem Dist Points</t>
        </is>
      </c>
      <c r="J25" s="56">
        <f>C11-VLOOKUP(C11,M27:O31,1,TRUE)</f>
        <v/>
      </c>
      <c r="M25" s="66" t="inlineStr">
        <is>
          <t>Driving Status</t>
        </is>
      </c>
      <c r="N25" s="67" t="n"/>
      <c r="O25" s="67" t="n"/>
      <c r="P25" s="67" t="n"/>
      <c r="Q25" s="68" t="n"/>
    </row>
    <row r="26">
      <c r="I26" s="55" t="inlineStr">
        <is>
          <t>Rem - Dist</t>
        </is>
      </c>
      <c r="J26" s="57">
        <f>MAX(0,C9-J25)</f>
        <v/>
      </c>
      <c r="M26" s="66" t="inlineStr">
        <is>
          <t>Lower</t>
        </is>
      </c>
      <c r="N26" s="66" t="inlineStr">
        <is>
          <t>Upper</t>
        </is>
      </c>
      <c r="O26" s="66" t="inlineStr">
        <is>
          <t>Category</t>
        </is>
      </c>
      <c r="P26" s="66" t="inlineStr">
        <is>
          <t>Fuel %</t>
        </is>
      </c>
      <c r="Q26" s="66" t="inlineStr">
        <is>
          <t>Color</t>
        </is>
      </c>
    </row>
    <row r="27">
      <c r="I27" s="54" t="inlineStr">
        <is>
          <t>Distance Upper Limit</t>
        </is>
      </c>
      <c r="J27" s="54">
        <f t="array" ref="J27">MAX(_xlfn._xlws.FILTER(_xlfn.ANCHORARRAY(O17),_xlfn.ANCHORARRAY( P17)&gt;=J26))</f>
        <v/>
      </c>
      <c r="M27" s="34" t="n">
        <v>0</v>
      </c>
      <c r="N27" s="23" t="n">
        <v>799</v>
      </c>
      <c r="O27" s="23" t="inlineStr">
        <is>
          <t>Blue</t>
        </is>
      </c>
      <c r="P27" s="35" t="n">
        <v>0.05</v>
      </c>
      <c r="Q27" s="36" t="inlineStr">
        <is>
          <t>#8EA9DB</t>
        </is>
      </c>
    </row>
    <row r="28">
      <c r="I28" s="62" t="inlineStr">
        <is>
          <t>Points on No-Drive Day</t>
        </is>
      </c>
      <c r="J28" s="62">
        <f>IF(ISBLANK(J18),ROUND(50-J6/J23,0),J18)</f>
        <v/>
      </c>
      <c r="M28" s="37" t="n">
        <v>800</v>
      </c>
      <c r="N28" s="24" t="n">
        <v>1599</v>
      </c>
      <c r="O28" s="24" t="inlineStr">
        <is>
          <t>Bronze</t>
        </is>
      </c>
      <c r="P28" s="38" t="n">
        <v>0.1</v>
      </c>
      <c r="Q28" s="39" t="inlineStr">
        <is>
          <t>#F4B084</t>
        </is>
      </c>
    </row>
    <row r="29">
      <c r="I29" s="61" t="inlineStr">
        <is>
          <t>Count No-Drive Days</t>
        </is>
      </c>
      <c r="J29" s="61">
        <f>J8</f>
        <v/>
      </c>
      <c r="M29" s="40" t="n">
        <v>1600</v>
      </c>
      <c r="N29" s="25" t="n">
        <v>2199</v>
      </c>
      <c r="O29" s="25" t="inlineStr">
        <is>
          <t>Silver</t>
        </is>
      </c>
      <c r="P29" s="41" t="n">
        <v>0.2</v>
      </c>
      <c r="Q29" s="42" t="inlineStr">
        <is>
          <t>#DBDBDB</t>
        </is>
      </c>
    </row>
    <row r="30">
      <c r="I30" s="60" t="inlineStr">
        <is>
          <t>No-Drive Day Points</t>
        </is>
      </c>
      <c r="J30" s="60">
        <f>J29*J28</f>
        <v/>
      </c>
      <c r="M30" s="43" t="n">
        <v>2200</v>
      </c>
      <c r="N30" s="44" t="n">
        <v>2499</v>
      </c>
      <c r="O30" s="44" t="inlineStr">
        <is>
          <t>Gold</t>
        </is>
      </c>
      <c r="P30" s="45" t="n">
        <v>0.35</v>
      </c>
      <c r="Q30" s="46" t="inlineStr">
        <is>
          <t>#FFD966</t>
        </is>
      </c>
    </row>
    <row r="31">
      <c r="I31" s="53" t="inlineStr">
        <is>
          <t>Count Drive Days</t>
        </is>
      </c>
      <c r="J31" s="53">
        <f>J23-J29</f>
        <v/>
      </c>
      <c r="M31" s="47" t="n">
        <v>2500</v>
      </c>
      <c r="N31" s="48" t="n">
        <v>3000</v>
      </c>
      <c r="O31" s="48" t="inlineStr">
        <is>
          <t>Diamond</t>
        </is>
      </c>
      <c r="P31" s="49" t="n">
        <v>0.5</v>
      </c>
      <c r="Q31" s="50" t="inlineStr">
        <is>
          <t>#D9B3FF</t>
        </is>
      </c>
    </row>
    <row r="32">
      <c r="I32" s="54" t="inlineStr">
        <is>
          <t>Drive Day Points</t>
        </is>
      </c>
      <c r="J32" s="59">
        <f>50*J31-J6</f>
        <v/>
      </c>
    </row>
    <row r="33">
      <c r="I33" s="1" t="inlineStr">
        <is>
          <t>Driving Profile</t>
        </is>
      </c>
      <c r="J33" s="6">
        <f>J30+J32</f>
        <v/>
      </c>
    </row>
    <row r="34">
      <c r="I34" s="1" t="inlineStr">
        <is>
          <t>Current Drive Points</t>
        </is>
      </c>
      <c r="J34" s="6">
        <f>J33+SUM(C7:C10)</f>
        <v/>
      </c>
    </row>
  </sheetData>
  <mergeCells count="8">
    <mergeCell ref="N15:P15"/>
    <mergeCell ref="B2:G3"/>
    <mergeCell ref="L5:R5"/>
    <mergeCell ref="I20:J20"/>
    <mergeCell ref="M25:Q25"/>
    <mergeCell ref="I11:J11"/>
    <mergeCell ref="AB5:AC5"/>
    <mergeCell ref="I5:J5"/>
  </mergeCells>
  <conditionalFormatting sqref="B11:C12">
    <cfRule type="expression" priority="1" dxfId="4">
      <formula>$C$12="Blue"</formula>
    </cfRule>
    <cfRule type="expression" priority="2" dxfId="3">
      <formula>$C$12="Bronze"</formula>
    </cfRule>
    <cfRule type="expression" priority="3" dxfId="2">
      <formula>$C$12="Silver"</formula>
    </cfRule>
    <cfRule type="expression" priority="4" dxfId="1">
      <formula>$C$12="Gold"</formula>
    </cfRule>
    <cfRule type="expression" priority="5" dxfId="0">
      <formula>$C$12="Diamond"</formula>
    </cfRule>
  </conditionalFormatting>
  <conditionalFormatting sqref="P17:P23">
    <cfRule type="expression" priority="6" dxfId="4">
      <formula>$J$17="Blue"</formula>
    </cfRule>
    <cfRule type="expression" priority="7" dxfId="3">
      <formula>$J$17="Bronze"</formula>
    </cfRule>
    <cfRule type="expression" priority="8" dxfId="2">
      <formula>$J$17="Silver"</formula>
    </cfRule>
    <cfRule type="expression" priority="9" dxfId="1">
      <formula>$J$17="Gold"</formula>
    </cfRule>
    <cfRule type="expression" priority="10" dxfId="0">
      <formula>$J$17="Diamond"</formula>
    </cfRule>
  </conditionalFormatting>
  <dataValidations count="2">
    <dataValidation sqref="C13" showDropDown="0" showInputMessage="1" showErrorMessage="1" allowBlank="1" prompt="The predicted status gives a realistic prediction of the driving status. If the prediction is disable, best case scenario is assumed, which is 50 point drive days and the distance remains in the same bracket."/>
    <dataValidation sqref="J18" showDropDown="0" showInputMessage="1" showErrorMessage="1" allowBlank="1" prompt="Enter a value here to overwrite the No-Drive Day calculation" type="whole">
      <formula1>0</formula1>
      <formula2>50</formula2>
    </dataValidation>
  </dataValidations>
  <pageMargins left="0.7" right="0.7" top="0.75" bottom="0.75" header="0.3" footer="0.3"/>
  <pageSetup orientation="portrait" scale="3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 codeName="Sheet9">
    <outlinePr summaryBelow="1" summaryRight="1"/>
    <pageSetUpPr fitToPage="1"/>
  </sheetPr>
  <dimension ref="B2:AC34"/>
  <sheetViews>
    <sheetView zoomScaleNormal="100" workbookViewId="0">
      <selection activeCell="I1" sqref="I1"/>
    </sheetView>
  </sheetViews>
  <sheetFormatPr baseColWidth="8" defaultColWidth="8.85546875" defaultRowHeight="15"/>
  <cols>
    <col width="2.7109375" customWidth="1" style="70" min="1" max="1"/>
    <col width="25.140625" bestFit="1" customWidth="1" style="70" min="2" max="2"/>
    <col width="9.7109375" customWidth="1" style="70" min="3" max="3"/>
    <col width="2.7109375" customWidth="1" style="70" min="4" max="4"/>
    <col width="16.140625" customWidth="1" style="71" min="5" max="5"/>
    <col width="11.140625" bestFit="1" customWidth="1" style="70" min="6" max="6"/>
    <col width="9.7109375" customWidth="1" style="70" min="7" max="7"/>
    <col width="2.7109375" customWidth="1" style="70" min="8" max="8"/>
    <col width="22.42578125" customWidth="1" style="70" min="9" max="9"/>
    <col width="10.7109375" customWidth="1" style="70" min="10" max="10"/>
    <col width="2.7109375" customWidth="1" style="70" min="11" max="11"/>
    <col width="9.7109375" customWidth="1" style="70" min="12" max="14"/>
    <col width="10.5703125" customWidth="1" style="70" min="15" max="15"/>
    <col width="9.7109375" customWidth="1" style="70" min="16" max="17"/>
    <col width="11.42578125" customWidth="1" style="70" min="18" max="18"/>
    <col width="2.7109375" customWidth="1" style="70" min="19" max="19"/>
    <col width="9.7109375" customWidth="1" style="5" min="20" max="20"/>
    <col width="9.7109375" customWidth="1" style="70" min="21" max="23"/>
    <col width="8.85546875" customWidth="1" style="70" min="24" max="36"/>
    <col width="8.85546875" customWidth="1" style="70" min="37" max="16384"/>
  </cols>
  <sheetData>
    <row r="2" ht="14.45" customHeight="1" s="71">
      <c r="B2" s="69">
        <f>_xlfn.CONCAT("Drive Summary ",J13, " ",TEXT(J14, "mmmm yyyy"))</f>
        <v/>
      </c>
      <c r="H2" s="13" t="n"/>
    </row>
    <row r="3" ht="14.45" customHeight="1" s="71">
      <c r="H3" s="13" t="n"/>
    </row>
    <row r="5">
      <c r="B5" s="14" t="inlineStr">
        <is>
          <t>Description</t>
        </is>
      </c>
      <c r="C5" s="15" t="inlineStr">
        <is>
          <t>Value</t>
        </is>
      </c>
      <c r="E5" s="14">
        <f>TEXT(TODAY(), "mmmm yyyy")</f>
        <v/>
      </c>
      <c r="F5" s="14" t="inlineStr">
        <is>
          <t>Distance</t>
        </is>
      </c>
      <c r="G5" s="66" t="inlineStr">
        <is>
          <t>Points</t>
        </is>
      </c>
      <c r="I5" s="66" t="inlineStr">
        <is>
          <t>Python Data</t>
        </is>
      </c>
      <c r="J5" s="68" t="n"/>
      <c r="L5" s="66" t="inlineStr">
        <is>
          <t>Distance Points</t>
        </is>
      </c>
      <c r="M5" s="67" t="n"/>
      <c r="N5" s="67" t="n"/>
      <c r="O5" s="67" t="n"/>
      <c r="P5" s="67" t="n"/>
      <c r="Q5" s="67" t="n"/>
      <c r="R5" s="68" t="n"/>
      <c r="AB5" s="70" t="n"/>
    </row>
    <row r="6">
      <c r="B6" s="1" t="inlineStr">
        <is>
          <t>Driving Profile</t>
        </is>
      </c>
      <c r="C6" s="6">
        <f>MIN(1500, IF($C$13,G7,G6+G9))</f>
        <v/>
      </c>
      <c r="E6" s="1" t="inlineStr">
        <is>
          <t>Month-to-Date</t>
        </is>
      </c>
      <c r="F6" s="6">
        <f>J9</f>
        <v/>
      </c>
      <c r="G6" s="17">
        <f>J33</f>
        <v/>
      </c>
      <c r="I6" s="1" t="inlineStr">
        <is>
          <t>Drive Penalties</t>
        </is>
      </c>
      <c r="J6" s="1" t="n">
        <v>0</v>
      </c>
      <c r="L6" s="66" t="inlineStr">
        <is>
          <t>Lower</t>
        </is>
      </c>
      <c r="M6" s="66" t="inlineStr">
        <is>
          <t>Upper</t>
        </is>
      </c>
      <c r="N6" s="18" t="inlineStr">
        <is>
          <t>Blue</t>
        </is>
      </c>
      <c r="O6" s="19" t="inlineStr">
        <is>
          <t>Bronze</t>
        </is>
      </c>
      <c r="P6" s="20" t="inlineStr">
        <is>
          <t>Silver</t>
        </is>
      </c>
      <c r="Q6" s="21" t="inlineStr">
        <is>
          <t>Gold</t>
        </is>
      </c>
      <c r="R6" s="22" t="inlineStr">
        <is>
          <t>Diamond</t>
        </is>
      </c>
      <c r="AB6" s="8" t="n"/>
      <c r="AC6" s="8" t="n"/>
    </row>
    <row r="7">
      <c r="B7" s="1" t="inlineStr">
        <is>
          <t>Claim Free Years</t>
        </is>
      </c>
      <c r="C7" s="6">
        <f>J15</f>
        <v/>
      </c>
      <c r="D7" s="3" t="n"/>
      <c r="E7" s="1" t="inlineStr">
        <is>
          <t>End of Month</t>
        </is>
      </c>
      <c r="F7" s="6">
        <f>F6/J23*J22</f>
        <v/>
      </c>
      <c r="G7" s="6">
        <f>G6/J23*J22</f>
        <v/>
      </c>
      <c r="I7" s="1" t="inlineStr">
        <is>
          <t>Night Penalty</t>
        </is>
      </c>
      <c r="J7" s="1" t="n">
        <v>18</v>
      </c>
      <c r="L7" s="11" t="n">
        <v>0</v>
      </c>
      <c r="M7" s="1" t="n">
        <v>299</v>
      </c>
      <c r="N7" s="23" t="n">
        <v>300</v>
      </c>
      <c r="O7" s="24" t="n">
        <v>300</v>
      </c>
      <c r="P7" s="25" t="n">
        <v>300</v>
      </c>
      <c r="Q7" s="26" t="n">
        <v>300</v>
      </c>
      <c r="R7" s="27" t="n">
        <v>300</v>
      </c>
      <c r="AB7" s="3" t="n"/>
    </row>
    <row r="8" ht="15" customHeight="1" s="71" thickBot="1">
      <c r="B8" s="1" t="inlineStr">
        <is>
          <t>Night Time Driving</t>
        </is>
      </c>
      <c r="C8" s="6">
        <f>300-J7</f>
        <v/>
      </c>
      <c r="E8" s="10" t="inlineStr">
        <is>
          <t>Daily Average</t>
        </is>
      </c>
      <c r="F8" s="65">
        <f>F6/J23</f>
        <v/>
      </c>
      <c r="G8" s="65">
        <f>G6/J23</f>
        <v/>
      </c>
      <c r="I8" s="1" t="inlineStr">
        <is>
          <t>No-Drive Days</t>
        </is>
      </c>
      <c r="J8" s="1" t="n">
        <v>2</v>
      </c>
      <c r="L8" s="11" t="n">
        <v>300</v>
      </c>
      <c r="M8" s="1" t="n">
        <v>599</v>
      </c>
      <c r="N8" s="23" t="n">
        <v>100</v>
      </c>
      <c r="O8" s="24" t="n">
        <v>150</v>
      </c>
      <c r="P8" s="25" t="n">
        <v>200</v>
      </c>
      <c r="Q8" s="26" t="n">
        <v>250</v>
      </c>
      <c r="R8" s="27" t="n">
        <v>300</v>
      </c>
    </row>
    <row r="9" ht="15.75" customHeight="1" s="71" thickTop="1">
      <c r="B9" s="1" t="inlineStr">
        <is>
          <t>Distance Points</t>
        </is>
      </c>
      <c r="C9" s="6">
        <f>VLOOKUP(IF(C13,F7,F6),N17:P23,3)</f>
        <v/>
      </c>
      <c r="E9" s="64" t="inlineStr">
        <is>
          <t>Remaining</t>
        </is>
      </c>
      <c r="F9" s="63">
        <f>IF(J27&gt;=M13, "Unlimited", J27-F6)</f>
        <v/>
      </c>
      <c r="G9" s="63">
        <f>50*J24 + IF(J22&lt;30,(30-J22)*G8,0)</f>
        <v/>
      </c>
      <c r="I9" s="1" t="inlineStr">
        <is>
          <t>Distance</t>
        </is>
      </c>
      <c r="J9" s="6" t="n">
        <v>1496.702</v>
      </c>
      <c r="L9" s="11" t="n">
        <v>600</v>
      </c>
      <c r="M9" s="1" t="n">
        <v>899</v>
      </c>
      <c r="N9" s="23" t="n">
        <v>75</v>
      </c>
      <c r="O9" s="24" t="n">
        <v>100</v>
      </c>
      <c r="P9" s="25" t="n">
        <v>150</v>
      </c>
      <c r="Q9" s="26" t="n">
        <v>200</v>
      </c>
      <c r="R9" s="27" t="n">
        <v>300</v>
      </c>
    </row>
    <row r="10">
      <c r="B10" s="1" t="inlineStr">
        <is>
          <t>MultiPoint Check</t>
        </is>
      </c>
      <c r="C10" s="6">
        <f>J16</f>
        <v/>
      </c>
      <c r="E10" s="7" t="n"/>
      <c r="L10" s="11" t="n">
        <v>900</v>
      </c>
      <c r="M10" s="1" t="n">
        <v>1199</v>
      </c>
      <c r="N10" s="23" t="n">
        <v>50</v>
      </c>
      <c r="O10" s="24" t="n">
        <v>75</v>
      </c>
      <c r="P10" s="25" t="n">
        <v>100</v>
      </c>
      <c r="Q10" s="26" t="n">
        <v>175</v>
      </c>
      <c r="R10" s="27" t="n">
        <v>300</v>
      </c>
    </row>
    <row r="11">
      <c r="B11" s="1" t="inlineStr">
        <is>
          <t>Accumulated Points</t>
        </is>
      </c>
      <c r="C11" s="6">
        <f>SUM(C6:C10)</f>
        <v/>
      </c>
      <c r="I11" s="66" t="inlineStr">
        <is>
          <t>Config Data</t>
        </is>
      </c>
      <c r="J11" s="68" t="n"/>
      <c r="L11" s="11" t="n">
        <v>1200</v>
      </c>
      <c r="M11" s="1" t="n">
        <v>1499</v>
      </c>
      <c r="N11" s="23" t="n">
        <v>25</v>
      </c>
      <c r="O11" s="24" t="n">
        <v>50</v>
      </c>
      <c r="P11" s="25" t="n">
        <v>75</v>
      </c>
      <c r="Q11" s="26" t="n">
        <v>125</v>
      </c>
      <c r="R11" s="27" t="n">
        <v>300</v>
      </c>
    </row>
    <row r="12">
      <c r="B12" s="1" t="inlineStr">
        <is>
          <t>Vitality Drive Status</t>
        </is>
      </c>
      <c r="C12" s="1">
        <f>VLOOKUP(C11,M27:O31,3,TRUE)</f>
        <v/>
      </c>
      <c r="D12" s="3" t="n"/>
      <c r="I12" s="66" t="inlineStr">
        <is>
          <t>Description</t>
        </is>
      </c>
      <c r="J12" s="66" t="inlineStr">
        <is>
          <t>Value</t>
        </is>
      </c>
      <c r="L12" s="11" t="n">
        <v>1500</v>
      </c>
      <c r="M12" s="1" t="n">
        <v>1799</v>
      </c>
      <c r="N12" s="23" t="n">
        <v>10</v>
      </c>
      <c r="O12" s="24" t="n">
        <v>25</v>
      </c>
      <c r="P12" s="25" t="n">
        <v>50</v>
      </c>
      <c r="Q12" s="26" t="n">
        <v>100</v>
      </c>
      <c r="R12" s="27" t="n">
        <v>250</v>
      </c>
      <c r="T12" s="70" t="n"/>
      <c r="Z12" s="8" t="n"/>
    </row>
    <row r="13">
      <c r="B13" s="1" t="inlineStr">
        <is>
          <t>Predict Status</t>
        </is>
      </c>
      <c r="C13" s="1" t="b">
        <v>0</v>
      </c>
      <c r="I13" s="1" t="inlineStr">
        <is>
          <t>Username</t>
        </is>
      </c>
      <c r="J13" s="1" t="inlineStr">
        <is>
          <t>Christiaan</t>
        </is>
      </c>
      <c r="L13" s="12" t="n">
        <v>1800</v>
      </c>
      <c r="M13" s="10" t="n">
        <v>1800</v>
      </c>
      <c r="N13" s="29" t="n">
        <v>5</v>
      </c>
      <c r="O13" s="30" t="n">
        <v>10</v>
      </c>
      <c r="P13" s="31" t="n">
        <v>25</v>
      </c>
      <c r="Q13" s="32" t="n">
        <v>60</v>
      </c>
      <c r="R13" s="33" t="n">
        <v>100</v>
      </c>
      <c r="Z13" s="8" t="n"/>
      <c r="AA13" s="3" t="n"/>
    </row>
    <row r="14">
      <c r="I14" s="1" t="inlineStr">
        <is>
          <t>Report Date</t>
        </is>
      </c>
      <c r="J14" s="58" t="n">
        <v>45808</v>
      </c>
    </row>
    <row r="15">
      <c r="D15" s="4" t="n"/>
      <c r="I15" s="28" t="inlineStr">
        <is>
          <t>Claim Free Years</t>
        </is>
      </c>
      <c r="J15" s="6" t="n">
        <v>300</v>
      </c>
      <c r="N15" s="66">
        <f>_xlfn.CONCAT("Distance Points for ",J17)</f>
        <v/>
      </c>
      <c r="O15" s="67" t="n"/>
      <c r="P15" s="68" t="n"/>
      <c r="V15" s="9" t="n"/>
      <c r="AA15" s="3" t="n"/>
      <c r="AB15" s="3" t="n"/>
    </row>
    <row r="16">
      <c r="I16" s="28" t="inlineStr">
        <is>
          <t>MultiPoint Check</t>
        </is>
      </c>
      <c r="J16" s="28" t="n">
        <v>300</v>
      </c>
      <c r="N16" s="66" t="inlineStr">
        <is>
          <t>Lower</t>
        </is>
      </c>
      <c r="O16" s="66" t="inlineStr">
        <is>
          <t>Upper</t>
        </is>
      </c>
      <c r="P16" s="66" t="inlineStr">
        <is>
          <t>Points</t>
        </is>
      </c>
    </row>
    <row r="17" ht="14.45" customHeight="1" s="71">
      <c r="I17" s="6" t="inlineStr">
        <is>
          <t>Last Month's Status</t>
        </is>
      </c>
      <c r="J17" s="6" t="inlineStr">
        <is>
          <t>Diamond</t>
        </is>
      </c>
      <c r="N17" s="1">
        <f t="array" ref="N17:N23">DistancePointsStefan4[Lower]</f>
        <v/>
      </c>
      <c r="O17" s="1">
        <f t="array" ref="O17:O23">DistancePointsStefan4[Upper]</f>
        <v/>
      </c>
      <c r="P17" s="1">
        <f t="array" ref="P17:P23">_xlfn.XLOOKUP(J17,DistancePointsStefan4[#Headers],DistancePointsStefan4[])</f>
        <v/>
      </c>
    </row>
    <row r="18">
      <c r="I18" s="6" t="inlineStr">
        <is>
          <t>Points on No-Drive Day</t>
        </is>
      </c>
      <c r="J18" s="1" t="n"/>
      <c r="N18" s="1" t="n">
        <v>300</v>
      </c>
      <c r="O18" s="1" t="n">
        <v>599</v>
      </c>
      <c r="P18" s="1" t="n">
        <v>300</v>
      </c>
    </row>
    <row r="19">
      <c r="N19" s="1" t="n">
        <v>600</v>
      </c>
      <c r="O19" s="1" t="n">
        <v>899</v>
      </c>
      <c r="P19" s="1" t="n">
        <v>300</v>
      </c>
    </row>
    <row r="20">
      <c r="I20" s="66" t="inlineStr">
        <is>
          <t>Calculated Data</t>
        </is>
      </c>
      <c r="J20" s="68" t="n"/>
      <c r="N20" s="1" t="n">
        <v>900</v>
      </c>
      <c r="O20" s="1" t="n">
        <v>1199</v>
      </c>
      <c r="P20" s="1" t="n">
        <v>300</v>
      </c>
    </row>
    <row r="21">
      <c r="I21" s="66" t="inlineStr">
        <is>
          <t>Description</t>
        </is>
      </c>
      <c r="J21" s="66" t="inlineStr">
        <is>
          <t>Value</t>
        </is>
      </c>
      <c r="N21" s="1" t="n">
        <v>1200</v>
      </c>
      <c r="O21" s="1" t="n">
        <v>1499</v>
      </c>
      <c r="P21" s="1" t="n">
        <v>300</v>
      </c>
    </row>
    <row r="22">
      <c r="I22" s="52">
        <f>_xlfn.CONCAT("Days ",TEXT(J14, "mmm yyyy"))</f>
        <v/>
      </c>
      <c r="J22" s="55">
        <f>DAY(EOMONTH(J14, 0))</f>
        <v/>
      </c>
      <c r="N22" s="1" t="n">
        <v>1500</v>
      </c>
      <c r="O22" s="1" t="n">
        <v>1799</v>
      </c>
      <c r="P22" s="1" t="n">
        <v>250</v>
      </c>
    </row>
    <row r="23">
      <c r="I23" s="52" t="inlineStr">
        <is>
          <t>Days Past</t>
        </is>
      </c>
      <c r="J23" s="55">
        <f>DAY(J14)</f>
        <v/>
      </c>
      <c r="N23" s="1" t="n">
        <v>1800</v>
      </c>
      <c r="O23" s="1" t="n">
        <v>1800</v>
      </c>
      <c r="P23" s="1" t="n">
        <v>100</v>
      </c>
    </row>
    <row r="24">
      <c r="I24" s="51" t="inlineStr">
        <is>
          <t>Days Left</t>
        </is>
      </c>
      <c r="J24" s="54">
        <f>J22-J23</f>
        <v/>
      </c>
    </row>
    <row r="25">
      <c r="I25" s="53" t="inlineStr">
        <is>
          <t>Rem Dist Points</t>
        </is>
      </c>
      <c r="J25" s="56">
        <f>C11-VLOOKUP(C11,M27:O31,1,TRUE)</f>
        <v/>
      </c>
      <c r="M25" s="66" t="inlineStr">
        <is>
          <t>Driving Status</t>
        </is>
      </c>
      <c r="N25" s="67" t="n"/>
      <c r="O25" s="67" t="n"/>
      <c r="P25" s="67" t="n"/>
      <c r="Q25" s="68" t="n"/>
    </row>
    <row r="26">
      <c r="I26" s="55" t="inlineStr">
        <is>
          <t>Rem - Dist</t>
        </is>
      </c>
      <c r="J26" s="57">
        <f>MAX(0,C9-J25)</f>
        <v/>
      </c>
      <c r="M26" s="66" t="inlineStr">
        <is>
          <t>Lower</t>
        </is>
      </c>
      <c r="N26" s="66" t="inlineStr">
        <is>
          <t>Upper</t>
        </is>
      </c>
      <c r="O26" s="66" t="inlineStr">
        <is>
          <t>Category</t>
        </is>
      </c>
      <c r="P26" s="66" t="inlineStr">
        <is>
          <t>Fuel %</t>
        </is>
      </c>
      <c r="Q26" s="66" t="inlineStr">
        <is>
          <t>Color</t>
        </is>
      </c>
    </row>
    <row r="27">
      <c r="I27" s="54" t="inlineStr">
        <is>
          <t>Distance Upper Limit</t>
        </is>
      </c>
      <c r="J27" s="54">
        <f t="array" ref="J27">MAX(_xlfn._xlws.FILTER(_xlfn.ANCHORARRAY(O17),_xlfn.ANCHORARRAY( P17)&gt;=J26))</f>
        <v/>
      </c>
      <c r="M27" s="34" t="n">
        <v>0</v>
      </c>
      <c r="N27" s="23" t="n">
        <v>799</v>
      </c>
      <c r="O27" s="23" t="inlineStr">
        <is>
          <t>Blue</t>
        </is>
      </c>
      <c r="P27" s="35" t="n">
        <v>0.05</v>
      </c>
      <c r="Q27" s="36" t="inlineStr">
        <is>
          <t>#8EA9DB</t>
        </is>
      </c>
    </row>
    <row r="28">
      <c r="I28" s="62" t="inlineStr">
        <is>
          <t>Points on No-Drive Day</t>
        </is>
      </c>
      <c r="J28" s="62">
        <f>IF(ISBLANK(J18),ROUND(50-J6/J23,0),J18)</f>
        <v/>
      </c>
      <c r="M28" s="37" t="n">
        <v>800</v>
      </c>
      <c r="N28" s="24" t="n">
        <v>1599</v>
      </c>
      <c r="O28" s="24" t="inlineStr">
        <is>
          <t>Bronze</t>
        </is>
      </c>
      <c r="P28" s="38" t="n">
        <v>0.1</v>
      </c>
      <c r="Q28" s="39" t="inlineStr">
        <is>
          <t>#F4B084</t>
        </is>
      </c>
    </row>
    <row r="29">
      <c r="I29" s="61" t="inlineStr">
        <is>
          <t>Count No-Drive Days</t>
        </is>
      </c>
      <c r="J29" s="61">
        <f>J8</f>
        <v/>
      </c>
      <c r="M29" s="40" t="n">
        <v>1600</v>
      </c>
      <c r="N29" s="25" t="n">
        <v>2199</v>
      </c>
      <c r="O29" s="25" t="inlineStr">
        <is>
          <t>Silver</t>
        </is>
      </c>
      <c r="P29" s="41" t="n">
        <v>0.2</v>
      </c>
      <c r="Q29" s="42" t="inlineStr">
        <is>
          <t>#DBDBDB</t>
        </is>
      </c>
    </row>
    <row r="30">
      <c r="I30" s="60" t="inlineStr">
        <is>
          <t>No-Drive Day Points</t>
        </is>
      </c>
      <c r="J30" s="60">
        <f>J29*J28</f>
        <v/>
      </c>
      <c r="M30" s="43" t="n">
        <v>2200</v>
      </c>
      <c r="N30" s="44" t="n">
        <v>2499</v>
      </c>
      <c r="O30" s="44" t="inlineStr">
        <is>
          <t>Gold</t>
        </is>
      </c>
      <c r="P30" s="45" t="n">
        <v>0.35</v>
      </c>
      <c r="Q30" s="46" t="inlineStr">
        <is>
          <t>#FFD966</t>
        </is>
      </c>
    </row>
    <row r="31">
      <c r="I31" s="53" t="inlineStr">
        <is>
          <t>Count Drive Days</t>
        </is>
      </c>
      <c r="J31" s="53">
        <f>J23-J29</f>
        <v/>
      </c>
      <c r="M31" s="47" t="n">
        <v>2500</v>
      </c>
      <c r="N31" s="48" t="n">
        <v>3000</v>
      </c>
      <c r="O31" s="48" t="inlineStr">
        <is>
          <t>Diamond</t>
        </is>
      </c>
      <c r="P31" s="49" t="n">
        <v>0.5</v>
      </c>
      <c r="Q31" s="50" t="inlineStr">
        <is>
          <t>#D9B3FF</t>
        </is>
      </c>
    </row>
    <row r="32">
      <c r="I32" s="54" t="inlineStr">
        <is>
          <t>Drive Day Points</t>
        </is>
      </c>
      <c r="J32" s="59">
        <f>50*J31-J6</f>
        <v/>
      </c>
    </row>
    <row r="33">
      <c r="I33" s="1" t="inlineStr">
        <is>
          <t>Driving Profile</t>
        </is>
      </c>
      <c r="J33" s="6">
        <f>J30+J32</f>
        <v/>
      </c>
    </row>
    <row r="34">
      <c r="I34" s="1" t="inlineStr">
        <is>
          <t>Current Drive Points</t>
        </is>
      </c>
      <c r="J34" s="6">
        <f>J33+SUM(C7:C10)</f>
        <v/>
      </c>
    </row>
  </sheetData>
  <mergeCells count="8">
    <mergeCell ref="N15:P15"/>
    <mergeCell ref="B2:G3"/>
    <mergeCell ref="L5:R5"/>
    <mergeCell ref="I20:J20"/>
    <mergeCell ref="M25:Q25"/>
    <mergeCell ref="I11:J11"/>
    <mergeCell ref="AB5:AC5"/>
    <mergeCell ref="I5:J5"/>
  </mergeCells>
  <conditionalFormatting sqref="B11:C12">
    <cfRule type="expression" priority="1" dxfId="4">
      <formula>$C$12="Blue"</formula>
    </cfRule>
    <cfRule type="expression" priority="2" dxfId="3">
      <formula>$C$12="Bronze"</formula>
    </cfRule>
    <cfRule type="expression" priority="3" dxfId="2">
      <formula>$C$12="Silver"</formula>
    </cfRule>
    <cfRule type="expression" priority="4" dxfId="1">
      <formula>$C$12="Gold"</formula>
    </cfRule>
    <cfRule type="expression" priority="5" dxfId="0">
      <formula>$C$12="Diamond"</formula>
    </cfRule>
  </conditionalFormatting>
  <conditionalFormatting sqref="P17:P23">
    <cfRule type="expression" priority="6" dxfId="4">
      <formula>$J$17="Blue"</formula>
    </cfRule>
    <cfRule type="expression" priority="7" dxfId="3">
      <formula>$J$17="Bronze"</formula>
    </cfRule>
    <cfRule type="expression" priority="8" dxfId="2">
      <formula>$J$17="Silver"</formula>
    </cfRule>
    <cfRule type="expression" priority="9" dxfId="1">
      <formula>$J$17="Gold"</formula>
    </cfRule>
    <cfRule type="expression" priority="10" dxfId="0">
      <formula>$J$17="Diamond"</formula>
    </cfRule>
  </conditionalFormatting>
  <dataValidations count="2">
    <dataValidation sqref="C13" showDropDown="0" showInputMessage="1" showErrorMessage="1" allowBlank="1" prompt="The predicted status gives a realistic prediction of the driving status. If the prediction is disable, best case scenario is assumed, which is 50 point drive days and the distance remains in the same bracket."/>
    <dataValidation sqref="J18" showDropDown="0" showInputMessage="1" showErrorMessage="1" allowBlank="1" prompt="Enter a value here to overwrite the No-Drive Day calculation" type="whole">
      <formula1>0</formula1>
      <formula2>50</formula2>
    </dataValidation>
  </dataValidations>
  <pageMargins left="0.7" right="0.7" top="0.75" bottom="0.75" header="0.3" footer="0.3"/>
  <pageSetup orientation="portrait" scale="3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 codeName="Sheet5">
    <outlinePr summaryBelow="1" summaryRight="1"/>
    <pageSetUpPr fitToPage="1"/>
  </sheetPr>
  <dimension ref="B2:AC34"/>
  <sheetViews>
    <sheetView zoomScaleNormal="100" workbookViewId="0">
      <selection activeCell="C13" sqref="C13"/>
    </sheetView>
  </sheetViews>
  <sheetFormatPr baseColWidth="8" defaultColWidth="8.85546875" defaultRowHeight="15"/>
  <cols>
    <col width="2.7109375" customWidth="1" style="70" min="1" max="1"/>
    <col width="25.140625" bestFit="1" customWidth="1" style="70" min="2" max="2"/>
    <col width="9.7109375" customWidth="1" style="70" min="3" max="3"/>
    <col width="2.7109375" customWidth="1" style="70" min="4" max="4"/>
    <col width="16.140625" customWidth="1" style="71" min="5" max="5"/>
    <col width="11.140625" bestFit="1" customWidth="1" style="70" min="6" max="6"/>
    <col width="9.7109375" customWidth="1" style="70" min="7" max="7"/>
    <col width="2.7109375" customWidth="1" style="70" min="8" max="8"/>
    <col hidden="1" width="22.42578125" customWidth="1" style="70" min="9" max="9"/>
    <col hidden="1" width="10.7109375" customWidth="1" style="70" min="10" max="10"/>
    <col hidden="1" width="2.7109375" customWidth="1" style="70" min="11" max="11"/>
    <col hidden="1" width="9.7109375" customWidth="1" style="70" min="12" max="14"/>
    <col hidden="1" width="10.5703125" customWidth="1" style="70" min="15" max="15"/>
    <col hidden="1" width="9.7109375" customWidth="1" style="70" min="16" max="17"/>
    <col hidden="1" width="11.42578125" customWidth="1" style="70" min="18" max="18"/>
    <col hidden="1" width="2.7109375" customWidth="1" style="70" min="19" max="19"/>
    <col width="9.7109375" customWidth="1" style="5" min="20" max="20"/>
    <col width="9.7109375" customWidth="1" style="70" min="21" max="23"/>
    <col width="8.85546875" customWidth="1" style="70" min="24" max="36"/>
    <col width="8.85546875" customWidth="1" style="70" min="37" max="16384"/>
  </cols>
  <sheetData>
    <row r="2" ht="14.45" customHeight="1" s="71">
      <c r="B2" s="69">
        <f>_xlfn.CONCAT("Drive Summary ",J13, " ",TEXT(J14, "mmmm yyyy"))</f>
        <v/>
      </c>
      <c r="H2" s="13" t="n"/>
    </row>
    <row r="3" ht="14.45" customHeight="1" s="71">
      <c r="H3" s="13" t="n"/>
    </row>
    <row r="5">
      <c r="B5" s="14" t="inlineStr">
        <is>
          <t>Description</t>
        </is>
      </c>
      <c r="C5" s="15" t="inlineStr">
        <is>
          <t>Value</t>
        </is>
      </c>
      <c r="E5" s="14">
        <f>TEXT(TODAY(), "mmmm yyyy")</f>
        <v/>
      </c>
      <c r="F5" s="14" t="inlineStr">
        <is>
          <t>Distance</t>
        </is>
      </c>
      <c r="G5" s="66" t="inlineStr">
        <is>
          <t>Points</t>
        </is>
      </c>
      <c r="I5" s="66" t="inlineStr">
        <is>
          <t>Python Data</t>
        </is>
      </c>
      <c r="J5" s="68" t="n"/>
      <c r="L5" s="66" t="inlineStr">
        <is>
          <t>Distance Points</t>
        </is>
      </c>
      <c r="M5" s="67" t="n"/>
      <c r="N5" s="67" t="n"/>
      <c r="O5" s="67" t="n"/>
      <c r="P5" s="67" t="n"/>
      <c r="Q5" s="67" t="n"/>
      <c r="R5" s="68" t="n"/>
      <c r="AB5" s="70" t="n"/>
    </row>
    <row r="6">
      <c r="B6" s="1" t="inlineStr">
        <is>
          <t>Driving Profile</t>
        </is>
      </c>
      <c r="C6" s="6">
        <f>MIN(1500, IF($C$13,G7,G6+G9))</f>
        <v/>
      </c>
      <c r="E6" s="1" t="inlineStr">
        <is>
          <t>Month-to-Date</t>
        </is>
      </c>
      <c r="F6" s="6">
        <f>J9</f>
        <v/>
      </c>
      <c r="G6" s="17">
        <f>J33</f>
        <v/>
      </c>
      <c r="I6" s="1" t="inlineStr">
        <is>
          <t>Drive Penalties</t>
        </is>
      </c>
      <c r="J6" s="1" t="n">
        <v>8</v>
      </c>
      <c r="L6" s="66" t="inlineStr">
        <is>
          <t>Lower</t>
        </is>
      </c>
      <c r="M6" s="66" t="inlineStr">
        <is>
          <t>Upper</t>
        </is>
      </c>
      <c r="N6" s="18" t="inlineStr">
        <is>
          <t>Blue</t>
        </is>
      </c>
      <c r="O6" s="19" t="inlineStr">
        <is>
          <t>Bronze</t>
        </is>
      </c>
      <c r="P6" s="20" t="inlineStr">
        <is>
          <t>Silver</t>
        </is>
      </c>
      <c r="Q6" s="21" t="inlineStr">
        <is>
          <t>Gold</t>
        </is>
      </c>
      <c r="R6" s="22" t="inlineStr">
        <is>
          <t>Diamond</t>
        </is>
      </c>
      <c r="AB6" s="8" t="n"/>
      <c r="AC6" s="8" t="n"/>
    </row>
    <row r="7">
      <c r="B7" s="1" t="inlineStr">
        <is>
          <t>Claim Free Years</t>
        </is>
      </c>
      <c r="C7" s="6">
        <f>J15</f>
        <v/>
      </c>
      <c r="D7" s="3" t="n"/>
      <c r="E7" s="1" t="inlineStr">
        <is>
          <t>End of Month</t>
        </is>
      </c>
      <c r="F7" s="6">
        <f>F6/J23*J22</f>
        <v/>
      </c>
      <c r="G7" s="6">
        <f>G6/J23*J22</f>
        <v/>
      </c>
      <c r="I7" s="1" t="inlineStr">
        <is>
          <t>Night Penalty</t>
        </is>
      </c>
      <c r="J7" s="1" t="n">
        <v>0</v>
      </c>
      <c r="L7" s="11" t="n">
        <v>0</v>
      </c>
      <c r="M7" s="1" t="n">
        <v>299</v>
      </c>
      <c r="N7" s="23" t="n">
        <v>300</v>
      </c>
      <c r="O7" s="24" t="n">
        <v>300</v>
      </c>
      <c r="P7" s="25" t="n">
        <v>300</v>
      </c>
      <c r="Q7" s="26" t="n">
        <v>300</v>
      </c>
      <c r="R7" s="27" t="n">
        <v>300</v>
      </c>
      <c r="AB7" s="3" t="n"/>
    </row>
    <row r="8" ht="15" customHeight="1" s="71" thickBot="1">
      <c r="B8" s="1" t="inlineStr">
        <is>
          <t>Night Time Driving</t>
        </is>
      </c>
      <c r="C8" s="6">
        <f>300-J7</f>
        <v/>
      </c>
      <c r="E8" s="10" t="inlineStr">
        <is>
          <t>Daily Average</t>
        </is>
      </c>
      <c r="F8" s="65">
        <f>F6/J23</f>
        <v/>
      </c>
      <c r="G8" s="65">
        <f>G6/J23</f>
        <v/>
      </c>
      <c r="I8" s="1" t="inlineStr">
        <is>
          <t>No-Drive Days</t>
        </is>
      </c>
      <c r="J8" s="1" t="n">
        <v>4</v>
      </c>
      <c r="L8" s="11" t="n">
        <v>300</v>
      </c>
      <c r="M8" s="1" t="n">
        <v>599</v>
      </c>
      <c r="N8" s="23" t="n">
        <v>100</v>
      </c>
      <c r="O8" s="24" t="n">
        <v>150</v>
      </c>
      <c r="P8" s="25" t="n">
        <v>200</v>
      </c>
      <c r="Q8" s="26" t="n">
        <v>250</v>
      </c>
      <c r="R8" s="27" t="n">
        <v>300</v>
      </c>
    </row>
    <row r="9" ht="15.75" customHeight="1" s="71" thickTop="1">
      <c r="B9" s="1" t="inlineStr">
        <is>
          <t>Distance Points</t>
        </is>
      </c>
      <c r="C9" s="6">
        <f>VLOOKUP(IF(C13,F7,F6),N17:P23,3)</f>
        <v/>
      </c>
      <c r="E9" s="64" t="inlineStr">
        <is>
          <t>Remaining</t>
        </is>
      </c>
      <c r="F9" s="63">
        <f>IF(J27&gt;=M13, "Unlimited", J27-F6)</f>
        <v/>
      </c>
      <c r="G9" s="63">
        <f>50*J24 + IF(J22&lt;30,(30-J22)*G8,0)</f>
        <v/>
      </c>
      <c r="I9" s="1" t="inlineStr">
        <is>
          <t>Distance</t>
        </is>
      </c>
      <c r="J9" s="1" t="n">
        <v>1500</v>
      </c>
      <c r="L9" s="11" t="n">
        <v>600</v>
      </c>
      <c r="M9" s="1" t="n">
        <v>899</v>
      </c>
      <c r="N9" s="23" t="n">
        <v>75</v>
      </c>
      <c r="O9" s="24" t="n">
        <v>100</v>
      </c>
      <c r="P9" s="25" t="n">
        <v>150</v>
      </c>
      <c r="Q9" s="26" t="n">
        <v>200</v>
      </c>
      <c r="R9" s="27" t="n">
        <v>300</v>
      </c>
    </row>
    <row r="10">
      <c r="B10" s="1" t="inlineStr">
        <is>
          <t>MultiPoint Check</t>
        </is>
      </c>
      <c r="C10" s="6">
        <f>J16</f>
        <v/>
      </c>
      <c r="E10" s="7" t="n"/>
      <c r="L10" s="11" t="n">
        <v>900</v>
      </c>
      <c r="M10" s="1" t="n">
        <v>1199</v>
      </c>
      <c r="N10" s="23" t="n">
        <v>50</v>
      </c>
      <c r="O10" s="24" t="n">
        <v>75</v>
      </c>
      <c r="P10" s="25" t="n">
        <v>100</v>
      </c>
      <c r="Q10" s="26" t="n">
        <v>175</v>
      </c>
      <c r="R10" s="27" t="n">
        <v>300</v>
      </c>
    </row>
    <row r="11">
      <c r="B11" s="1" t="inlineStr">
        <is>
          <t>Accumulated Points</t>
        </is>
      </c>
      <c r="C11" s="6">
        <f>SUM(C6:C10)</f>
        <v/>
      </c>
      <c r="I11" s="66" t="inlineStr">
        <is>
          <t>Config Data</t>
        </is>
      </c>
      <c r="J11" s="68" t="n"/>
      <c r="L11" s="11" t="n">
        <v>1200</v>
      </c>
      <c r="M11" s="1" t="n">
        <v>1499</v>
      </c>
      <c r="N11" s="23" t="n">
        <v>25</v>
      </c>
      <c r="O11" s="24" t="n">
        <v>50</v>
      </c>
      <c r="P11" s="25" t="n">
        <v>75</v>
      </c>
      <c r="Q11" s="26" t="n">
        <v>125</v>
      </c>
      <c r="R11" s="27" t="n">
        <v>300</v>
      </c>
    </row>
    <row r="12">
      <c r="B12" s="1" t="inlineStr">
        <is>
          <t>Vitality Drive Status</t>
        </is>
      </c>
      <c r="C12" s="1">
        <f>VLOOKUP(C11,M27:O31,3,TRUE)</f>
        <v/>
      </c>
      <c r="D12" s="3" t="n"/>
      <c r="I12" s="66" t="inlineStr">
        <is>
          <t>Description</t>
        </is>
      </c>
      <c r="J12" s="66" t="inlineStr">
        <is>
          <t>Value</t>
        </is>
      </c>
      <c r="L12" s="11" t="n">
        <v>1500</v>
      </c>
      <c r="M12" s="1" t="n">
        <v>1799</v>
      </c>
      <c r="N12" s="23" t="n">
        <v>10</v>
      </c>
      <c r="O12" s="24" t="n">
        <v>25</v>
      </c>
      <c r="P12" s="25" t="n">
        <v>50</v>
      </c>
      <c r="Q12" s="26" t="n">
        <v>100</v>
      </c>
      <c r="R12" s="27" t="n">
        <v>250</v>
      </c>
      <c r="T12" s="70" t="n"/>
      <c r="Z12" s="8" t="n"/>
    </row>
    <row r="13">
      <c r="B13" s="1" t="inlineStr">
        <is>
          <t>Predict Status</t>
        </is>
      </c>
      <c r="C13" s="1" t="b">
        <v>0</v>
      </c>
      <c r="I13" s="1" t="inlineStr">
        <is>
          <t>Username</t>
        </is>
      </c>
      <c r="J13" s="1" t="inlineStr">
        <is>
          <t>Derrick</t>
        </is>
      </c>
      <c r="L13" s="12" t="n">
        <v>1800</v>
      </c>
      <c r="M13" s="10" t="n">
        <v>1800</v>
      </c>
      <c r="N13" s="29" t="n">
        <v>5</v>
      </c>
      <c r="O13" s="30" t="n">
        <v>10</v>
      </c>
      <c r="P13" s="31" t="n">
        <v>25</v>
      </c>
      <c r="Q13" s="32" t="n">
        <v>60</v>
      </c>
      <c r="R13" s="33" t="n">
        <v>100</v>
      </c>
      <c r="Z13" s="8" t="n"/>
      <c r="AA13" s="3" t="n"/>
    </row>
    <row r="14">
      <c r="I14" s="1" t="inlineStr">
        <is>
          <t>Report Date</t>
        </is>
      </c>
      <c r="J14" s="58" t="n">
        <v>45805</v>
      </c>
    </row>
    <row r="15">
      <c r="D15" s="4" t="n"/>
      <c r="I15" s="28" t="inlineStr">
        <is>
          <t>Claim Free Years</t>
        </is>
      </c>
      <c r="J15" s="6" t="n">
        <v>300</v>
      </c>
      <c r="N15" s="66">
        <f>_xlfn.CONCAT("Distance Points for ",J17)</f>
        <v/>
      </c>
      <c r="O15" s="67" t="n"/>
      <c r="P15" s="68" t="n"/>
      <c r="V15" s="9" t="n"/>
      <c r="AA15" s="3" t="n"/>
      <c r="AB15" s="3" t="n"/>
    </row>
    <row r="16">
      <c r="I16" s="28" t="inlineStr">
        <is>
          <t>MultiPoint Check</t>
        </is>
      </c>
      <c r="J16" s="28" t="n">
        <v>300</v>
      </c>
      <c r="N16" s="66" t="inlineStr">
        <is>
          <t>Lower</t>
        </is>
      </c>
      <c r="O16" s="66" t="inlineStr">
        <is>
          <t>Upper</t>
        </is>
      </c>
      <c r="P16" s="66" t="inlineStr">
        <is>
          <t>Points</t>
        </is>
      </c>
    </row>
    <row r="17" ht="14.45" customHeight="1" s="71">
      <c r="I17" s="6" t="inlineStr">
        <is>
          <t>Last Month's Status</t>
        </is>
      </c>
      <c r="J17" s="6" t="inlineStr">
        <is>
          <t>Diamond</t>
        </is>
      </c>
      <c r="N17" s="1">
        <f t="array" ref="N17:N23">DistancePointsStefan2[Lower]</f>
        <v/>
      </c>
      <c r="O17" s="1">
        <f t="array" ref="O17:O23">DistancePointsStefan2[Upper]</f>
        <v/>
      </c>
      <c r="P17" s="1">
        <f t="array" ref="P17:P23">_xlfn.XLOOKUP(J17,DistancePointsStefan2[#Headers],DistancePointsStefan2[])</f>
        <v/>
      </c>
    </row>
    <row r="18">
      <c r="I18" s="6" t="inlineStr">
        <is>
          <t>Points on No-Drive Day</t>
        </is>
      </c>
      <c r="J18" s="1" t="n"/>
      <c r="N18" s="1" t="n">
        <v>300</v>
      </c>
      <c r="O18" s="1" t="n">
        <v>599</v>
      </c>
      <c r="P18" s="1" t="n">
        <v>300</v>
      </c>
    </row>
    <row r="19">
      <c r="N19" s="1" t="n">
        <v>600</v>
      </c>
      <c r="O19" s="1" t="n">
        <v>899</v>
      </c>
      <c r="P19" s="1" t="n">
        <v>300</v>
      </c>
    </row>
    <row r="20">
      <c r="I20" s="66" t="inlineStr">
        <is>
          <t>Calculated Data</t>
        </is>
      </c>
      <c r="J20" s="68" t="n"/>
      <c r="N20" s="1" t="n">
        <v>900</v>
      </c>
      <c r="O20" s="1" t="n">
        <v>1199</v>
      </c>
      <c r="P20" s="1" t="n">
        <v>300</v>
      </c>
    </row>
    <row r="21">
      <c r="I21" s="66" t="inlineStr">
        <is>
          <t>Description</t>
        </is>
      </c>
      <c r="J21" s="66" t="inlineStr">
        <is>
          <t>Value</t>
        </is>
      </c>
      <c r="N21" s="1" t="n">
        <v>1200</v>
      </c>
      <c r="O21" s="1" t="n">
        <v>1499</v>
      </c>
      <c r="P21" s="1" t="n">
        <v>300</v>
      </c>
    </row>
    <row r="22">
      <c r="I22" s="52">
        <f>_xlfn.CONCAT("Days ",TEXT(J14, "mmm yyyy"))</f>
        <v/>
      </c>
      <c r="J22" s="55">
        <f>DAY(EOMONTH(J14, 0))</f>
        <v/>
      </c>
      <c r="N22" s="1" t="n">
        <v>1500</v>
      </c>
      <c r="O22" s="1" t="n">
        <v>1799</v>
      </c>
      <c r="P22" s="1" t="n">
        <v>250</v>
      </c>
    </row>
    <row r="23">
      <c r="I23" s="52" t="inlineStr">
        <is>
          <t>Days Past</t>
        </is>
      </c>
      <c r="J23" s="55">
        <f>DAY(J14)</f>
        <v/>
      </c>
      <c r="N23" s="1" t="n">
        <v>1800</v>
      </c>
      <c r="O23" s="1" t="n">
        <v>1800</v>
      </c>
      <c r="P23" s="1" t="n">
        <v>100</v>
      </c>
    </row>
    <row r="24">
      <c r="I24" s="51" t="inlineStr">
        <is>
          <t>Days Left</t>
        </is>
      </c>
      <c r="J24" s="54">
        <f>J22-J23</f>
        <v/>
      </c>
    </row>
    <row r="25">
      <c r="I25" s="53" t="inlineStr">
        <is>
          <t>Rem Dist Points</t>
        </is>
      </c>
      <c r="J25" s="56">
        <f>C11-VLOOKUP(C11,M27:O31,1,TRUE)</f>
        <v/>
      </c>
      <c r="M25" s="66" t="inlineStr">
        <is>
          <t>Driving Status</t>
        </is>
      </c>
      <c r="N25" s="67" t="n"/>
      <c r="O25" s="67" t="n"/>
      <c r="P25" s="67" t="n"/>
      <c r="Q25" s="68" t="n"/>
    </row>
    <row r="26">
      <c r="I26" s="55" t="inlineStr">
        <is>
          <t>Rem - Dist</t>
        </is>
      </c>
      <c r="J26" s="57">
        <f>MAX(0,C9-J25)</f>
        <v/>
      </c>
      <c r="M26" s="66" t="inlineStr">
        <is>
          <t>Lower</t>
        </is>
      </c>
      <c r="N26" s="66" t="inlineStr">
        <is>
          <t>Upper</t>
        </is>
      </c>
      <c r="O26" s="66" t="inlineStr">
        <is>
          <t>Category</t>
        </is>
      </c>
      <c r="P26" s="66" t="inlineStr">
        <is>
          <t>Fuel %</t>
        </is>
      </c>
      <c r="Q26" s="66" t="inlineStr">
        <is>
          <t>Color</t>
        </is>
      </c>
    </row>
    <row r="27">
      <c r="I27" s="54" t="inlineStr">
        <is>
          <t>Distance Upper Limit</t>
        </is>
      </c>
      <c r="J27" s="54">
        <f t="array" ref="J27">MAX(_xlfn._xlws.FILTER(_xlfn.ANCHORARRAY(O17),_xlfn.ANCHORARRAY( P17)&gt;=J26))</f>
        <v/>
      </c>
      <c r="M27" s="34" t="n">
        <v>0</v>
      </c>
      <c r="N27" s="23" t="n">
        <v>799</v>
      </c>
      <c r="O27" s="23" t="inlineStr">
        <is>
          <t>Blue</t>
        </is>
      </c>
      <c r="P27" s="35" t="n">
        <v>0.05</v>
      </c>
      <c r="Q27" s="36" t="inlineStr">
        <is>
          <t>#8EA9DB</t>
        </is>
      </c>
    </row>
    <row r="28">
      <c r="I28" s="62" t="inlineStr">
        <is>
          <t>Points on No-Drive Day</t>
        </is>
      </c>
      <c r="J28" s="62">
        <f>IF(ISBLANK(J18),ROUND(50-J6/J23,0),J18)</f>
        <v/>
      </c>
      <c r="M28" s="37" t="n">
        <v>800</v>
      </c>
      <c r="N28" s="24" t="n">
        <v>1599</v>
      </c>
      <c r="O28" s="24" t="inlineStr">
        <is>
          <t>Bronze</t>
        </is>
      </c>
      <c r="P28" s="38" t="n">
        <v>0.1</v>
      </c>
      <c r="Q28" s="39" t="inlineStr">
        <is>
          <t>#F4B084</t>
        </is>
      </c>
    </row>
    <row r="29">
      <c r="I29" s="61" t="inlineStr">
        <is>
          <t>Count No-Drive Days</t>
        </is>
      </c>
      <c r="J29" s="61">
        <f>J8</f>
        <v/>
      </c>
      <c r="M29" s="40" t="n">
        <v>1600</v>
      </c>
      <c r="N29" s="25" t="n">
        <v>2199</v>
      </c>
      <c r="O29" s="25" t="inlineStr">
        <is>
          <t>Silver</t>
        </is>
      </c>
      <c r="P29" s="41" t="n">
        <v>0.2</v>
      </c>
      <c r="Q29" s="42" t="inlineStr">
        <is>
          <t>#DBDBDB</t>
        </is>
      </c>
    </row>
    <row r="30">
      <c r="I30" s="60" t="inlineStr">
        <is>
          <t>No-Drive Day Points</t>
        </is>
      </c>
      <c r="J30" s="60">
        <f>J29*J28</f>
        <v/>
      </c>
      <c r="M30" s="43" t="n">
        <v>2200</v>
      </c>
      <c r="N30" s="44" t="n">
        <v>2499</v>
      </c>
      <c r="O30" s="44" t="inlineStr">
        <is>
          <t>Gold</t>
        </is>
      </c>
      <c r="P30" s="45" t="n">
        <v>0.35</v>
      </c>
      <c r="Q30" s="46" t="inlineStr">
        <is>
          <t>#FFD966</t>
        </is>
      </c>
    </row>
    <row r="31">
      <c r="I31" s="53" t="inlineStr">
        <is>
          <t>Count Drive Days</t>
        </is>
      </c>
      <c r="J31" s="53">
        <f>J23-J29</f>
        <v/>
      </c>
      <c r="M31" s="47" t="n">
        <v>2500</v>
      </c>
      <c r="N31" s="48" t="n">
        <v>3000</v>
      </c>
      <c r="O31" s="48" t="inlineStr">
        <is>
          <t>Diamond</t>
        </is>
      </c>
      <c r="P31" s="49" t="n">
        <v>0.5</v>
      </c>
      <c r="Q31" s="50" t="inlineStr">
        <is>
          <t>#D9B3FF</t>
        </is>
      </c>
    </row>
    <row r="32">
      <c r="I32" s="54" t="inlineStr">
        <is>
          <t>Drive Day Points</t>
        </is>
      </c>
      <c r="J32" s="59">
        <f>50*J31-J6</f>
        <v/>
      </c>
    </row>
    <row r="33">
      <c r="I33" s="1" t="inlineStr">
        <is>
          <t>Driving Profile</t>
        </is>
      </c>
      <c r="J33" s="6">
        <f>J30+J32</f>
        <v/>
      </c>
    </row>
    <row r="34">
      <c r="I34" s="1" t="inlineStr">
        <is>
          <t>Current Drive Points</t>
        </is>
      </c>
      <c r="J34" s="6">
        <f>J33+SUM(C7:C10)</f>
        <v/>
      </c>
    </row>
  </sheetData>
  <mergeCells count="8">
    <mergeCell ref="N15:P15"/>
    <mergeCell ref="B2:G3"/>
    <mergeCell ref="L5:R5"/>
    <mergeCell ref="I20:J20"/>
    <mergeCell ref="M25:Q25"/>
    <mergeCell ref="I11:J11"/>
    <mergeCell ref="AB5:AC5"/>
    <mergeCell ref="I5:J5"/>
  </mergeCells>
  <conditionalFormatting sqref="B11:C12">
    <cfRule type="expression" priority="1" dxfId="4">
      <formula>$C$12="Blue"</formula>
    </cfRule>
    <cfRule type="expression" priority="2" dxfId="3">
      <formula>$C$12="Bronze"</formula>
    </cfRule>
    <cfRule type="expression" priority="3" dxfId="2">
      <formula>$C$12="Silver"</formula>
    </cfRule>
    <cfRule type="expression" priority="4" dxfId="1">
      <formula>$C$12="Gold"</formula>
    </cfRule>
    <cfRule type="expression" priority="5" dxfId="0">
      <formula>$C$12="Diamond"</formula>
    </cfRule>
  </conditionalFormatting>
  <conditionalFormatting sqref="P17:P23">
    <cfRule type="expression" priority="6" dxfId="4">
      <formula>$J$17="Blue"</formula>
    </cfRule>
    <cfRule type="expression" priority="7" dxfId="3">
      <formula>$J$17="Bronze"</formula>
    </cfRule>
    <cfRule type="expression" priority="8" dxfId="2">
      <formula>$J$17="Silver"</formula>
    </cfRule>
    <cfRule type="expression" priority="9" dxfId="1">
      <formula>$J$17="Gold"</formula>
    </cfRule>
    <cfRule type="expression" priority="10" dxfId="0">
      <formula>$J$17="Diamond"</formula>
    </cfRule>
  </conditionalFormatting>
  <dataValidations count="2">
    <dataValidation sqref="C13" showDropDown="0" showInputMessage="1" showErrorMessage="1" allowBlank="1" prompt="The predicted status gives a realistic prediction of the driving status. If the prediction is disable, best case scenario is assumed, which is 50 point drive days and the distance remains in the same bracket."/>
    <dataValidation sqref="J18" showDropDown="0" showInputMessage="1" showErrorMessage="1" allowBlank="1" prompt="Enter a value here to overwrite the No-Drive Day calculation" type="whole">
      <formula1>0</formula1>
      <formula2>50</formula2>
    </dataValidation>
  </dataValidations>
  <pageMargins left="0.7" right="0.7" top="0.75" bottom="0.75" header="0.3" footer="0.3"/>
  <pageSetup orientation="portrait" scale="3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Christiaan Oberholzer</dc:creator>
  <dcterms:created xmlns:dcterms="http://purl.org/dc/terms/" xmlns:xsi="http://www.w3.org/2001/XMLSchema-instance" xsi:type="dcterms:W3CDTF">2023-09-18T15:21:34Z</dcterms:created>
  <dcterms:modified xmlns:dcterms="http://purl.org/dc/terms/" xmlns:xsi="http://www.w3.org/2001/XMLSchema-instance" xsi:type="dcterms:W3CDTF">2025-06-24T08:41:20Z</dcterms:modified>
  <cp:lastModifiedBy>Stefan Oberholzer</cp:lastModifiedBy>
  <cp:lastPrinted>2024-09-30T18:20:25Z</cp:lastPrinted>
</cp:coreProperties>
</file>