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4" documentId="11_C902A33841EF41D6600F982210F777C16EA304F9" xr6:coauthVersionLast="47" xr6:coauthVersionMax="47" xr10:uidLastSave="{AA834542-778B-4378-9B7A-7CB1410329F2}"/>
  <bookViews>
    <workbookView xWindow="-120" yWindow="-120" windowWidth="20730" windowHeight="11040" xr2:uid="{00000000-000D-0000-FFFF-FFFF00000000}"/>
  </bookViews>
  <sheets>
    <sheet name="DEV" sheetId="2" r:id="rId1"/>
  </sheets>
  <externalReferences>
    <externalReference r:id="rId2"/>
  </externalReferences>
  <definedNames>
    <definedName name="Username" localSheetId="0">DEV!$J$23</definedName>
    <definedName name="User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3" i="2" l="1"/>
  <c r="J27" i="2"/>
  <c r="J26" i="2"/>
  <c r="J28" i="2" s="1"/>
  <c r="G9" i="2" s="1"/>
  <c r="I26" i="2"/>
  <c r="P17" i="2" a="1"/>
  <c r="P17" i="2" s="1"/>
  <c r="O17" i="2" a="1"/>
  <c r="O17" i="2" s="1"/>
  <c r="N17" i="2" a="1"/>
  <c r="N17" i="2" s="1"/>
  <c r="N15" i="2"/>
  <c r="G14" i="2"/>
  <c r="J24" i="2" s="1"/>
  <c r="C8" i="2" s="1"/>
  <c r="F14" i="2"/>
  <c r="C14" i="2"/>
  <c r="G13" i="2"/>
  <c r="C10" i="2"/>
  <c r="C7" i="2"/>
  <c r="G6" i="2"/>
  <c r="C6" i="2" s="1"/>
  <c r="F6" i="2"/>
  <c r="C9" i="2" s="1"/>
  <c r="E5" i="2"/>
  <c r="B2" i="2"/>
  <c r="F8" i="2" l="1"/>
  <c r="J32" i="2"/>
  <c r="C15" i="2" s="1"/>
  <c r="C11" i="2"/>
  <c r="F7" i="2"/>
  <c r="G8" i="2"/>
  <c r="C16" i="2"/>
  <c r="C12" i="2"/>
  <c r="J29" i="2"/>
  <c r="J30" i="2" s="1"/>
  <c r="J31" i="2" s="1" a="1"/>
  <c r="J31" i="2" s="1"/>
  <c r="F9" i="2" s="1"/>
  <c r="J25" i="2"/>
  <c r="G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<sst xmlns="http://schemas.openxmlformats.org/spreadsheetml/2006/main" count="82" uniqueCount="56">
  <si>
    <t>Description</t>
  </si>
  <si>
    <t>Value</t>
  </si>
  <si>
    <t>Distance</t>
  </si>
  <si>
    <t>Points</t>
  </si>
  <si>
    <t>Extracted Data</t>
  </si>
  <si>
    <t>Distance Points</t>
  </si>
  <si>
    <t>Driving Profile</t>
  </si>
  <si>
    <t>Month-to-Date</t>
  </si>
  <si>
    <t>Lower</t>
  </si>
  <si>
    <t>Upper</t>
  </si>
  <si>
    <t>Blue</t>
  </si>
  <si>
    <t>Bronze</t>
  </si>
  <si>
    <t>Silver</t>
  </si>
  <si>
    <t>Gold</t>
  </si>
  <si>
    <t>Diamond</t>
  </si>
  <si>
    <t>Claim Free Years</t>
  </si>
  <si>
    <t>End of Month</t>
  </si>
  <si>
    <t>Night Time Driving</t>
  </si>
  <si>
    <t>Daily Average</t>
  </si>
  <si>
    <t>Remaining</t>
  </si>
  <si>
    <t>Night Time Drive</t>
  </si>
  <si>
    <t>MultiPoint Check</t>
  </si>
  <si>
    <t>Accumulated Points</t>
  </si>
  <si>
    <t>Distance Kilometers</t>
  </si>
  <si>
    <t>Vitality Drive Status</t>
  </si>
  <si>
    <t>Penalty Weight</t>
  </si>
  <si>
    <t>Duration</t>
  </si>
  <si>
    <t>Predict Status</t>
  </si>
  <si>
    <t>Qualifying Fuel Spend</t>
  </si>
  <si>
    <t>Total</t>
  </si>
  <si>
    <t>Last Month's Status</t>
  </si>
  <si>
    <t>Fuel Cash Back in Miles</t>
  </si>
  <si>
    <t>Remaining Fuel Spend</t>
  </si>
  <si>
    <t>Config Data</t>
  </si>
  <si>
    <t>Username</t>
  </si>
  <si>
    <t>Stefan</t>
  </si>
  <si>
    <t>Night Pts Tolerance</t>
  </si>
  <si>
    <t>Report Date</t>
  </si>
  <si>
    <t>Calculated Data</t>
  </si>
  <si>
    <t>Night Extr or Calc</t>
  </si>
  <si>
    <t>Driving Status</t>
  </si>
  <si>
    <t>Category</t>
  </si>
  <si>
    <t>Fuel %</t>
  </si>
  <si>
    <t>Color</t>
  </si>
  <si>
    <t>Days Past</t>
  </si>
  <si>
    <t>#8EA9DB</t>
  </si>
  <si>
    <t>Days Left</t>
  </si>
  <si>
    <t>#F4B084</t>
  </si>
  <si>
    <t>Rem Dist Points</t>
  </si>
  <si>
    <t>#DBDBDB</t>
  </si>
  <si>
    <t>Rem - Dist</t>
  </si>
  <si>
    <t>#FFD966</t>
  </si>
  <si>
    <t>Distance Upper Limit</t>
  </si>
  <si>
    <t>#D9B3FF</t>
  </si>
  <si>
    <t>Min Fuel or Points</t>
  </si>
  <si>
    <t>Current Drive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</si>
</sst>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R&quot;#,##0"/>
    <numFmt numFmtId="166" formatCode="[$£-809]#,##0"/>
    <numFmt numFmtId="167" formatCode="[$R-1C09]#,##0.00"/>
  </numFmts>
  <fonts count="6" x14ac:knownFonts="1">
    <font>
      <sz val="11"/>
      <color theme="1"/>
      <name val="Calibri"/>
      <family val="2"/>
      <scheme val="minor"/>
    </font>
    <font>
      <sz val="11"/>
      <color theme="1"/>
      <name val="Calibri"/>
      <family val="2"/>
      <scheme val="minor"/>
    </font>
    <font>
      <sz val="20"/>
      <color theme="1"/>
      <name val="Calibri"/>
      <family val="2"/>
      <scheme val="minor"/>
    </font>
    <font>
      <sz val="22"/>
      <color theme="1"/>
      <name val="Calibri"/>
      <family val="2"/>
      <scheme val="minor"/>
    </font>
    <font>
      <sz val="1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s>
  <cellStyleXfs count="11">
    <xf numFmtId="0" fontId="0" fillId="0" borderId="0"/>
    <xf numFmtId="0" fontId="1" fillId="3" borderId="0">
      <alignment horizontal="center" vertical="center"/>
    </xf>
    <xf numFmtId="0" fontId="1" fillId="4" borderId="3">
      <alignment horizontal="center" vertical="center"/>
    </xf>
    <xf numFmtId="0" fontId="1" fillId="5" borderId="0"/>
    <xf numFmtId="0" fontId="1" fillId="6" borderId="3">
      <alignment horizontal="center" vertical="center"/>
    </xf>
    <xf numFmtId="0" fontId="1" fillId="7" borderId="3">
      <alignment horizontal="center" vertical="center"/>
    </xf>
    <xf numFmtId="0" fontId="1" fillId="3" borderId="0" applyNumberFormat="0" applyFont="0" applyBorder="0" applyAlignment="0" applyProtection="0">
      <alignment horizontal="center" vertical="center"/>
    </xf>
    <xf numFmtId="0" fontId="1" fillId="4" borderId="3" applyNumberFormat="0" applyFont="0" applyBorder="0" applyAlignment="0" applyProtection="0">
      <alignment horizontal="center" vertical="center"/>
    </xf>
    <xf numFmtId="0" fontId="1" fillId="5" borderId="0" applyNumberFormat="0" applyFont="0" applyBorder="0" applyAlignment="0" applyProtection="0"/>
    <xf numFmtId="0" fontId="1" fillId="6" borderId="3" applyNumberFormat="0" applyFont="0" applyBorder="0" applyAlignment="0" applyProtection="0">
      <alignment horizontal="center" vertical="center"/>
    </xf>
    <xf numFmtId="0" fontId="1" fillId="7" borderId="3" applyNumberFormat="0" applyFont="0" applyBorder="0" applyAlignment="0" applyProtection="0">
      <alignment horizontal="center" vertical="center"/>
    </xf>
  </cellStyleXfs>
  <cellXfs count="71">
    <xf numFmtId="0" fontId="0" fillId="0" borderId="0" xfId="0"/>
    <xf numFmtId="0" fontId="3"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3" xfId="0" applyBorder="1" applyAlignment="1">
      <alignment horizontal="center" vertical="center"/>
    </xf>
    <xf numFmtId="1" fontId="0" fillId="0" borderId="3" xfId="0" applyNumberFormat="1" applyBorder="1" applyAlignment="1">
      <alignment horizontal="center" vertical="center"/>
    </xf>
    <xf numFmtId="1" fontId="0" fillId="0" borderId="4" xfId="0" applyNumberFormat="1" applyBorder="1" applyAlignment="1">
      <alignment horizontal="center" vertical="center"/>
    </xf>
    <xf numFmtId="0" fontId="0" fillId="0" borderId="0" xfId="0" applyAlignment="1">
      <alignment horizontal="left"/>
    </xf>
    <xf numFmtId="1" fontId="0" fillId="0" borderId="0" xfId="0" applyNumberFormat="1" applyAlignment="1">
      <alignment horizontal="center" vertical="center"/>
    </xf>
    <xf numFmtId="0" fontId="0" fillId="0" borderId="6" xfId="0" applyBorder="1" applyAlignment="1">
      <alignment horizontal="center" vertical="center"/>
    </xf>
    <xf numFmtId="164" fontId="0" fillId="0" borderId="3" xfId="0" applyNumberFormat="1" applyBorder="1" applyAlignment="1">
      <alignment horizontal="center" vertical="center"/>
    </xf>
    <xf numFmtId="1" fontId="0" fillId="0" borderId="2" xfId="0" applyNumberFormat="1" applyBorder="1" applyAlignment="1">
      <alignment horizontal="center" vertical="center"/>
    </xf>
    <xf numFmtId="0" fontId="4" fillId="0" borderId="0" xfId="0" applyFont="1"/>
    <xf numFmtId="0" fontId="0" fillId="0" borderId="9" xfId="0" applyBorder="1" applyAlignment="1">
      <alignment horizontal="center" vertical="center"/>
    </xf>
    <xf numFmtId="0" fontId="0" fillId="0" borderId="2" xfId="0" applyBorder="1" applyAlignment="1">
      <alignment horizontal="center" vertical="center"/>
    </xf>
    <xf numFmtId="165" fontId="0" fillId="0" borderId="3" xfId="0" applyNumberFormat="1" applyBorder="1" applyAlignment="1">
      <alignment horizontal="center" vertical="center"/>
    </xf>
    <xf numFmtId="166" fontId="0" fillId="0" borderId="3" xfId="0" applyNumberFormat="1" applyBorder="1" applyAlignment="1">
      <alignment horizontal="center" vertical="center"/>
    </xf>
    <xf numFmtId="167" fontId="0" fillId="0" borderId="0" xfId="0" applyNumberFormat="1" applyAlignment="1">
      <alignment horizontal="center" vertical="center"/>
    </xf>
    <xf numFmtId="1" fontId="0" fillId="0" borderId="0" xfId="0" applyNumberFormat="1"/>
    <xf numFmtId="14" fontId="0" fillId="0" borderId="3" xfId="0" applyNumberForma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 fontId="0" fillId="0" borderId="11" xfId="0" applyNumberFormat="1" applyBorder="1" applyAlignment="1">
      <alignment horizontal="center" vertical="center"/>
    </xf>
    <xf numFmtId="1" fontId="0" fillId="0" borderId="15" xfId="0" applyNumberFormat="1" applyBorder="1" applyAlignment="1">
      <alignment horizontal="center" vertical="center"/>
    </xf>
    <xf numFmtId="0" fontId="0" fillId="0" borderId="7" xfId="0" applyBorder="1" applyAlignment="1">
      <alignment horizontal="center" vertical="center"/>
    </xf>
    <xf numFmtId="0" fontId="0" fillId="2" borderId="3"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0" borderId="3" xfId="0" applyBorder="1" applyAlignment="1">
      <alignment horizontal="center" vertical="center"/>
      <extLst>
        <ext xmlns:xfpb="http://schemas.microsoft.com/office/spreadsheetml/2022/featurepropertybag" uri="{C7286773-470A-42A8-94C5-96B5CB345126}">
          <xfpb:xfComplement i="0"/>
        </ext>
      </extLst>
    </xf>
    <xf numFmtId="0" fontId="0" fillId="3" borderId="4" xfId="6" applyFont="1" applyBorder="1" applyAlignment="1">
      <alignment horizontal="center" vertical="center"/>
    </xf>
    <xf numFmtId="0" fontId="0" fillId="4" borderId="4" xfId="7" applyFont="1" applyBorder="1" applyAlignment="1">
      <alignment horizontal="center" vertical="center"/>
    </xf>
    <xf numFmtId="0" fontId="0" fillId="5" borderId="4" xfId="8" applyFont="1" applyBorder="1" applyAlignment="1">
      <alignment horizontal="center" vertical="center"/>
    </xf>
    <xf numFmtId="0" fontId="0" fillId="6" borderId="4" xfId="9" applyFont="1" applyBorder="1" applyAlignment="1">
      <alignment horizontal="center" vertical="center"/>
    </xf>
    <xf numFmtId="0" fontId="1" fillId="7" borderId="5" xfId="10" applyBorder="1" applyAlignment="1">
      <alignment horizontal="center" vertical="center"/>
    </xf>
    <xf numFmtId="0" fontId="0" fillId="3" borderId="3" xfId="6" applyFont="1" applyBorder="1" applyAlignment="1">
      <alignment horizontal="center" vertical="center"/>
    </xf>
    <xf numFmtId="0" fontId="0" fillId="4" borderId="3" xfId="7" applyFont="1" applyBorder="1" applyAlignment="1">
      <alignment horizontal="center" vertical="center"/>
    </xf>
    <xf numFmtId="0" fontId="0" fillId="5" borderId="3" xfId="8" applyFont="1" applyBorder="1" applyAlignment="1">
      <alignment horizontal="center" vertical="center"/>
    </xf>
    <xf numFmtId="0" fontId="0" fillId="6" borderId="3" xfId="9" applyFont="1" applyBorder="1" applyAlignment="1">
      <alignment horizontal="center" vertical="center"/>
    </xf>
    <xf numFmtId="0" fontId="1" fillId="7" borderId="7" xfId="10" applyBorder="1" applyAlignment="1">
      <alignment horizontal="center" vertical="center"/>
    </xf>
    <xf numFmtId="0" fontId="0" fillId="3" borderId="2" xfId="6" applyFont="1" applyBorder="1" applyAlignment="1">
      <alignment horizontal="center" vertical="center"/>
    </xf>
    <xf numFmtId="0" fontId="0" fillId="4" borderId="2" xfId="7" applyFont="1" applyBorder="1" applyAlignment="1">
      <alignment horizontal="center" vertical="center"/>
    </xf>
    <xf numFmtId="0" fontId="0" fillId="5" borderId="2" xfId="8" applyFont="1" applyBorder="1" applyAlignment="1">
      <alignment horizontal="center" vertical="center"/>
    </xf>
    <xf numFmtId="0" fontId="0" fillId="6" borderId="2" xfId="9" applyFont="1" applyBorder="1" applyAlignment="1">
      <alignment horizontal="center" vertical="center"/>
    </xf>
    <xf numFmtId="0" fontId="1" fillId="7" borderId="1" xfId="10" applyBorder="1" applyAlignment="1">
      <alignment horizontal="center" vertical="center"/>
    </xf>
    <xf numFmtId="0" fontId="0" fillId="3" borderId="6" xfId="6" applyFont="1" applyBorder="1" applyAlignment="1">
      <alignment horizontal="center" vertical="center"/>
    </xf>
    <xf numFmtId="9" fontId="0" fillId="3" borderId="3" xfId="6" applyNumberFormat="1" applyFont="1" applyBorder="1" applyAlignment="1">
      <alignment horizontal="center" vertical="center"/>
    </xf>
    <xf numFmtId="9" fontId="5" fillId="3" borderId="7" xfId="6" applyNumberFormat="1" applyFont="1" applyBorder="1" applyAlignment="1">
      <alignment horizontal="center" vertical="center"/>
    </xf>
    <xf numFmtId="0" fontId="0" fillId="4" borderId="6" xfId="7" applyFont="1" applyBorder="1" applyAlignment="1">
      <alignment horizontal="center" vertical="center"/>
    </xf>
    <xf numFmtId="9" fontId="0" fillId="4" borderId="3" xfId="7" applyNumberFormat="1" applyFont="1" applyBorder="1" applyAlignment="1">
      <alignment horizontal="center" vertical="center"/>
    </xf>
    <xf numFmtId="9" fontId="5" fillId="4" borderId="7" xfId="7" applyNumberFormat="1" applyFont="1" applyBorder="1" applyAlignment="1">
      <alignment horizontal="center" vertical="center"/>
    </xf>
    <xf numFmtId="0" fontId="0" fillId="5" borderId="6" xfId="8" applyFont="1" applyBorder="1" applyAlignment="1">
      <alignment horizontal="center" vertical="center"/>
    </xf>
    <xf numFmtId="9" fontId="0" fillId="5" borderId="3" xfId="8" applyNumberFormat="1" applyFont="1" applyBorder="1" applyAlignment="1">
      <alignment horizontal="center" vertical="center"/>
    </xf>
    <xf numFmtId="9" fontId="5" fillId="5" borderId="7" xfId="8" applyNumberFormat="1" applyFont="1" applyBorder="1" applyAlignment="1">
      <alignment horizontal="center" vertical="center"/>
    </xf>
    <xf numFmtId="0" fontId="1" fillId="6" borderId="6" xfId="9" applyBorder="1" applyAlignment="1">
      <alignment horizontal="center" vertical="center"/>
    </xf>
    <xf numFmtId="0" fontId="1" fillId="6" borderId="3" xfId="9" applyBorder="1" applyAlignment="1">
      <alignment horizontal="center" vertical="center"/>
    </xf>
    <xf numFmtId="9" fontId="1" fillId="6" borderId="3" xfId="9" applyNumberFormat="1" applyBorder="1" applyAlignment="1">
      <alignment horizontal="center" vertical="center"/>
    </xf>
    <xf numFmtId="9" fontId="5" fillId="6" borderId="7" xfId="9" applyNumberFormat="1" applyFont="1" applyBorder="1" applyAlignment="1">
      <alignment horizontal="center" vertical="center"/>
    </xf>
    <xf numFmtId="0" fontId="1" fillId="7" borderId="9" xfId="10" applyBorder="1" applyAlignment="1">
      <alignment horizontal="center" vertical="center"/>
    </xf>
    <xf numFmtId="0" fontId="1" fillId="7" borderId="2" xfId="10" applyBorder="1" applyAlignment="1">
      <alignment horizontal="center" vertical="center"/>
    </xf>
    <xf numFmtId="9" fontId="1" fillId="7" borderId="2" xfId="10" applyNumberFormat="1" applyBorder="1" applyAlignment="1">
      <alignment horizontal="center" vertical="center"/>
    </xf>
    <xf numFmtId="9" fontId="5" fillId="7" borderId="1" xfId="10" applyNumberFormat="1" applyFont="1" applyBorder="1" applyAlignment="1">
      <alignment horizontal="center" vertical="center"/>
    </xf>
  </cellXfs>
  <cellStyles count="11">
    <cellStyle name="Blue" xfId="1" xr:uid="{00000000-0005-0000-0000-000001000000}"/>
    <cellStyle name="Blue 2" xfId="6" xr:uid="{149FB985-50D8-4735-81EC-7409D2488E34}"/>
    <cellStyle name="Bronze" xfId="2" xr:uid="{00000000-0005-0000-0000-000002000000}"/>
    <cellStyle name="Bronze 2" xfId="7" xr:uid="{4953F033-0061-416E-A5A9-26299492981D}"/>
    <cellStyle name="Diamond" xfId="5" xr:uid="{00000000-0005-0000-0000-000005000000}"/>
    <cellStyle name="Diamond 2" xfId="10" xr:uid="{974E3680-8528-4B06-9778-020099E81AF7}"/>
    <cellStyle name="Gold" xfId="4" xr:uid="{00000000-0005-0000-0000-000004000000}"/>
    <cellStyle name="Gold 2" xfId="9" xr:uid="{6CE3A646-6CFE-4351-A663-D524B5C566AD}"/>
    <cellStyle name="Normal" xfId="0" builtinId="0"/>
    <cellStyle name="Silver" xfId="3" xr:uid="{00000000-0005-0000-0000-000003000000}"/>
    <cellStyle name="Silver 2" xfId="8" xr:uid="{BAA09B26-EAE0-4515-BDD7-4D586AA9715A}"/>
  </cellStyles>
  <dxfs count="46">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medium">
          <color rgb="FF000000"/>
        </top>
      </border>
    </dxf>
    <dxf>
      <border outline="0">
        <bottom style="thin">
          <color rgb="FF000000"/>
        </bottom>
      </border>
    </dxf>
    <dxf>
      <border diagonalUp="0" diagonalDown="0">
        <left style="thin">
          <color rgb="FF000000"/>
        </left>
        <right style="thin">
          <color rgb="FF000000"/>
        </right>
        <top style="thin">
          <color rgb="FF000000"/>
        </top>
        <bottom style="thin">
          <color rgb="FF000000"/>
        </bottom>
      </border>
    </dxf>
    <dxf>
      <font>
        <b val="0"/>
      </font>
      <border diagonalUp="0" diagonalDown="0">
        <left style="thin">
          <color rgb="FF000000"/>
        </left>
        <right style="thin">
          <color rgb="FF000000"/>
        </right>
        <top/>
        <bottom/>
        <vertical style="thin">
          <color rgb="FF000000"/>
        </vertical>
        <horizontal/>
      </border>
    </dxf>
    <dxf>
      <fill>
        <patternFill patternType="none">
          <fgColor rgb="FF000000"/>
          <bgColor auto="1"/>
        </patternFill>
      </fill>
      <alignment horizontal="center" vertical="center" textRotation="0" wrapText="0" indent="0" justifyLastLine="0" shrinkToFit="0" readingOrder="0"/>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s>
  <tableStyles count="3" defaultTableStyle="TableStyleMedium9" defaultPivotStyle="PivotStyleLight16">
    <tableStyle name="Table Style 1" pivot="0" count="1" xr9:uid="{00000000-0011-0000-FFFF-FFFF00000000}">
      <tableStyleElement type="wholeTable" dxfId="45"/>
    </tableStyle>
    <tableStyle name="Table Style 1 2" pivot="0" count="1" xr9:uid="{CD3D05BC-ED21-4CE1-B81E-4CADD7BA3C4C}">
      <tableStyleElement type="wholeTable" dxfId="44"/>
    </tableStyle>
    <tableStyle name="Table Style 1 3" pivot="0" count="1" xr9:uid="{7603546D-049F-43A2-83E8-2FA65E902061}">
      <tableStyleElement type="wholeTable" dxfId="4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22/11/relationships/FeaturePropertyBag" Target="featurePropertyBag/featurePropertyBag.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2fd3bccd6dbaea2b/GitGud/ExcelDriveSummary/DriveTemplateDevelopment.xlsm" TargetMode="External"/><Relationship Id="rId1" Type="http://schemas.openxmlformats.org/officeDocument/2006/relationships/externalLinkPath" Target="DriveTemplateDevelopmen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EV"/>
    </sheetNames>
    <sheetDataSet>
      <sheetData sheetId="0"/>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ABFBF91-6C95-4A9E-B487-00FFE86BF558}" name="NightTimeDrive1114" displayName="NightTimeDrive1114" ref="E12:G14" totalsRowCount="1" headerRowDxfId="32" dataDxfId="31" totalsRowDxfId="30" headerRowBorderDxfId="28" tableBorderDxfId="29" totalsRowBorderDxfId="27">
  <autoFilter ref="E12:G13" xr:uid="{932FCD99-6FCF-4AE6-A66E-74A568E6D121}">
    <filterColumn colId="0" hiddenButton="1"/>
    <filterColumn colId="1" hiddenButton="1"/>
    <filterColumn colId="2" hiddenButton="1"/>
  </autoFilter>
  <tableColumns count="3">
    <tableColumn id="1" xr3:uid="{94A10896-5228-4F53-9FA3-A86231F00546}" name="Penalty Weight" totalsRowLabel="Total" dataDxfId="25" totalsRowDxfId="26"/>
    <tableColumn id="2" xr3:uid="{82166D7C-2B9C-476A-B094-FD95DB7B41A0}" name="Duration" totalsRowFunction="sum" dataDxfId="23" totalsRowDxfId="24"/>
    <tableColumn id="3" xr3:uid="{3F049C43-5818-4F91-8729-271F2A771DE6}" name="Points" totalsRowFunction="sum" dataDxfId="21" totalsRowDxfId="22">
      <calculatedColumnFormula>NightTimeDrive1114[[#This Row],[Penalty Weight]]*NightTimeDrive1114[[#This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D0DD770-436B-420D-A787-9F18645AAFBB}" name="DistancePointsStefan" displayName="DistancePointsStefan" ref="L6:R13" totalsRowShown="0" headerRowDxfId="20" dataDxfId="19" headerRowBorderDxfId="17" tableBorderDxfId="18" totalsRowBorderDxfId="1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DE6984C-C96A-4628-852B-94C079E6B7C6}" name="Lower" dataDxfId="15"/>
    <tableColumn id="2" xr3:uid="{D2D4F96D-AAB7-4194-9E56-3126438F95A5}" name="Upper" dataDxfId="14"/>
    <tableColumn id="3" xr3:uid="{4285708B-80E9-43D6-A175-B3A11FD5C4FA}" name="Blue" dataDxfId="13" dataCellStyle="Blue"/>
    <tableColumn id="4" xr3:uid="{8EDD47CD-42A3-4DBA-B382-C0DDE6EA4D03}" name="Bronze" dataDxfId="12" dataCellStyle="Bronze"/>
    <tableColumn id="5" xr3:uid="{8D0C8DC7-975E-42B7-A34A-27515DA39C54}" name="Silver" dataDxfId="11" dataCellStyle="Silver"/>
    <tableColumn id="6" xr3:uid="{FECA5D1D-4D97-4D89-9D74-27800F5E1737}" name="Gold" dataDxfId="10" dataCellStyle="Gold"/>
    <tableColumn id="7" xr3:uid="{69B2EDEF-F097-48FC-8692-7D774938CE6B}" name="Diamond" dataDxfId="9"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7D2DDF4-C616-47B9-AD75-87ABED109C08}" name="DrivingStatusStefan" displayName="DrivingStatusStefan" ref="M26:Q31" totalsRowShown="0" headerRowDxfId="8" headerRowBorderDxfId="6" tableBorderDxfId="7" totalsRowBorderDxfId="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1675DF6F-9383-4CF6-A1F4-A30A2FAC88D5}" name="Lower" dataDxfId="4" dataCellStyle="Silver"/>
    <tableColumn id="2" xr3:uid="{AC8E3D31-6AA2-45E3-B6D0-081315F7266C}" name="Upper" dataDxfId="3" dataCellStyle="Silver"/>
    <tableColumn id="3" xr3:uid="{D9DBDCBA-4024-4E21-A53A-6DCBC0B67BA8}" name="Category" dataDxfId="2" dataCellStyle="Silver"/>
    <tableColumn id="4" xr3:uid="{2FCC3353-2A81-454B-B5DD-65C86E6249CD}" name="Fuel %" dataDxfId="1" dataCellStyle="Silver"/>
    <tableColumn id="5" xr3:uid="{A10356BD-6158-4EC2-BC11-8D78B9DADB79}" name="Color" dataDxfId="0" dataCellStyle="Silver"/>
  </tableColumns>
  <tableStyleInfo name="Table Style 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9555D-BDB6-499C-856B-F2935140D7C7}">
  <sheetPr codeName="Sheet4">
    <pageSetUpPr fitToPage="1"/>
  </sheetPr>
  <dimension ref="B2:AC33"/>
  <sheetViews>
    <sheetView tabSelected="1" topLeftCell="A13" zoomScaleNormal="100" workbookViewId="0">
      <selection activeCell="L25" sqref="L25"/>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3"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33" t="str">
        <f>_xlfn.CONCAT("Drive Summary ",J18, " ",TEXT(J20, "mmmm yyyy"))</f>
        <v>Drive Summary Stefan May 2025</v>
      </c>
      <c r="C2" s="33"/>
      <c r="D2" s="33"/>
      <c r="E2" s="33"/>
      <c r="F2" s="33"/>
      <c r="G2" s="33"/>
      <c r="H2" s="1"/>
    </row>
    <row r="3" spans="2:29" ht="14.45" customHeight="1" x14ac:dyDescent="0.25">
      <c r="B3" s="33"/>
      <c r="C3" s="33"/>
      <c r="D3" s="33"/>
      <c r="E3" s="33"/>
      <c r="F3" s="33"/>
      <c r="G3" s="33"/>
      <c r="H3" s="1"/>
    </row>
    <row r="5" spans="2:29" x14ac:dyDescent="0.25">
      <c r="B5" s="4" t="s">
        <v>0</v>
      </c>
      <c r="C5" s="5" t="s">
        <v>1</v>
      </c>
      <c r="D5"/>
      <c r="E5" s="4" t="str">
        <f ca="1">TEXT(TODAY(), "mmmm yyyy")</f>
        <v>May 2025</v>
      </c>
      <c r="F5" s="4" t="s">
        <v>2</v>
      </c>
      <c r="G5" s="6" t="s">
        <v>3</v>
      </c>
      <c r="I5" s="32" t="s">
        <v>4</v>
      </c>
      <c r="J5" s="32"/>
      <c r="L5" s="32" t="s">
        <v>5</v>
      </c>
      <c r="M5" s="32"/>
      <c r="N5" s="32"/>
      <c r="O5" s="32"/>
      <c r="P5" s="32"/>
      <c r="Q5" s="32"/>
      <c r="R5" s="32"/>
      <c r="AB5" s="34"/>
      <c r="AC5" s="34"/>
    </row>
    <row r="6" spans="2:29" x14ac:dyDescent="0.25">
      <c r="B6" s="7" t="s">
        <v>6</v>
      </c>
      <c r="C6" s="8">
        <f>MIN(1500, IF($C$13,G7,G6+G9))</f>
        <v>1243</v>
      </c>
      <c r="E6" s="7" t="s">
        <v>7</v>
      </c>
      <c r="F6" s="8">
        <f>J11</f>
        <v>524</v>
      </c>
      <c r="G6" s="9">
        <f>J7</f>
        <v>1093</v>
      </c>
      <c r="I6" s="6" t="s">
        <v>0</v>
      </c>
      <c r="J6" s="6" t="s">
        <v>1</v>
      </c>
      <c r="L6" s="6" t="s">
        <v>8</v>
      </c>
      <c r="M6" s="6" t="s">
        <v>9</v>
      </c>
      <c r="N6" s="39" t="s">
        <v>10</v>
      </c>
      <c r="O6" s="40" t="s">
        <v>11</v>
      </c>
      <c r="P6" s="41" t="s">
        <v>12</v>
      </c>
      <c r="Q6" s="42" t="s">
        <v>13</v>
      </c>
      <c r="R6" s="43" t="s">
        <v>14</v>
      </c>
      <c r="AA6"/>
      <c r="AB6" s="10"/>
      <c r="AC6" s="10"/>
    </row>
    <row r="7" spans="2:29" x14ac:dyDescent="0.25">
      <c r="B7" s="7" t="s">
        <v>15</v>
      </c>
      <c r="C7" s="8">
        <f>J8</f>
        <v>300</v>
      </c>
      <c r="D7" s="11"/>
      <c r="E7" s="7" t="s">
        <v>16</v>
      </c>
      <c r="F7" s="8">
        <f>F6/J27*J26</f>
        <v>580.14285714285722</v>
      </c>
      <c r="G7" s="8">
        <f>G6/J27*J26</f>
        <v>1210.1071428571429</v>
      </c>
      <c r="I7" s="8" t="s">
        <v>6</v>
      </c>
      <c r="J7" s="8">
        <v>1093</v>
      </c>
      <c r="L7" s="12">
        <v>0</v>
      </c>
      <c r="M7" s="7">
        <v>299</v>
      </c>
      <c r="N7" s="44">
        <v>300</v>
      </c>
      <c r="O7" s="45">
        <v>300</v>
      </c>
      <c r="P7" s="46">
        <v>300</v>
      </c>
      <c r="Q7" s="47">
        <v>300</v>
      </c>
      <c r="R7" s="48">
        <v>300</v>
      </c>
      <c r="AB7" s="11"/>
    </row>
    <row r="8" spans="2:29" ht="15" customHeight="1" x14ac:dyDescent="0.25">
      <c r="B8" s="7" t="s">
        <v>17</v>
      </c>
      <c r="C8" s="8">
        <f>IF( AND( J9&lt;=J24+J19, J9&gt;=J24-J19 ), J9, J24)</f>
        <v>300</v>
      </c>
      <c r="E8" s="7" t="s">
        <v>18</v>
      </c>
      <c r="F8" s="13">
        <f>F6/J27</f>
        <v>18.714285714285715</v>
      </c>
      <c r="G8" s="13">
        <f>G6/J27</f>
        <v>39.035714285714285</v>
      </c>
      <c r="I8" s="14" t="s">
        <v>15</v>
      </c>
      <c r="J8" s="8">
        <v>300</v>
      </c>
      <c r="L8" s="12">
        <v>300</v>
      </c>
      <c r="M8" s="7">
        <v>599</v>
      </c>
      <c r="N8" s="44">
        <v>100</v>
      </c>
      <c r="O8" s="45">
        <v>150</v>
      </c>
      <c r="P8" s="46">
        <v>200</v>
      </c>
      <c r="Q8" s="47">
        <v>250</v>
      </c>
      <c r="R8" s="48">
        <v>300</v>
      </c>
    </row>
    <row r="9" spans="2:29" x14ac:dyDescent="0.25">
      <c r="B9" s="7" t="s">
        <v>5</v>
      </c>
      <c r="C9" s="8">
        <f>VLOOKUP(IF(C13,F7,F6),N17:P23,3)</f>
        <v>250</v>
      </c>
      <c r="E9" s="7" t="s">
        <v>19</v>
      </c>
      <c r="F9" s="8" t="str">
        <f>IF(J31&gt;=M13, "Unlimited", J31-F6)</f>
        <v>Unlimited</v>
      </c>
      <c r="G9" s="8">
        <f>50*J28 + IF(J26&lt;30,(30-J26)*G8,0)</f>
        <v>150</v>
      </c>
      <c r="I9" s="14" t="s">
        <v>20</v>
      </c>
      <c r="J9" s="8">
        <v>300</v>
      </c>
      <c r="L9" s="12">
        <v>600</v>
      </c>
      <c r="M9" s="7">
        <v>899</v>
      </c>
      <c r="N9" s="44">
        <v>75</v>
      </c>
      <c r="O9" s="45">
        <v>100</v>
      </c>
      <c r="P9" s="46">
        <v>150</v>
      </c>
      <c r="Q9" s="47">
        <v>200</v>
      </c>
      <c r="R9" s="48">
        <v>300</v>
      </c>
    </row>
    <row r="10" spans="2:29" x14ac:dyDescent="0.25">
      <c r="B10" s="7" t="s">
        <v>21</v>
      </c>
      <c r="C10" s="8">
        <f>J12</f>
        <v>300</v>
      </c>
      <c r="E10" s="15"/>
      <c r="I10" s="14" t="s">
        <v>5</v>
      </c>
      <c r="J10" s="14">
        <v>250</v>
      </c>
      <c r="L10" s="12">
        <v>900</v>
      </c>
      <c r="M10" s="7">
        <v>1199</v>
      </c>
      <c r="N10" s="44">
        <v>50</v>
      </c>
      <c r="O10" s="45">
        <v>75</v>
      </c>
      <c r="P10" s="46">
        <v>100</v>
      </c>
      <c r="Q10" s="47">
        <v>175</v>
      </c>
      <c r="R10" s="48">
        <v>300</v>
      </c>
    </row>
    <row r="11" spans="2:29" x14ac:dyDescent="0.25">
      <c r="B11" s="7" t="s">
        <v>22</v>
      </c>
      <c r="C11" s="8">
        <f>SUM(C6:C10)</f>
        <v>2393</v>
      </c>
      <c r="E11" s="35" t="s">
        <v>20</v>
      </c>
      <c r="F11" s="36"/>
      <c r="G11" s="37"/>
      <c r="I11" s="14" t="s">
        <v>23</v>
      </c>
      <c r="J11" s="8">
        <v>524</v>
      </c>
      <c r="L11" s="12">
        <v>1200</v>
      </c>
      <c r="M11" s="7">
        <v>1499</v>
      </c>
      <c r="N11" s="44">
        <v>25</v>
      </c>
      <c r="O11" s="45">
        <v>50</v>
      </c>
      <c r="P11" s="46">
        <v>75</v>
      </c>
      <c r="Q11" s="47">
        <v>125</v>
      </c>
      <c r="R11" s="48">
        <v>300</v>
      </c>
      <c r="Z11"/>
    </row>
    <row r="12" spans="2:29" x14ac:dyDescent="0.25">
      <c r="B12" s="7" t="s">
        <v>24</v>
      </c>
      <c r="C12" s="7" t="str">
        <f>VLOOKUP(C11,M27:O31,3,TRUE)</f>
        <v>Gold</v>
      </c>
      <c r="D12" s="11"/>
      <c r="E12" s="4" t="s">
        <v>25</v>
      </c>
      <c r="F12" s="5" t="s">
        <v>26</v>
      </c>
      <c r="G12" s="4" t="s">
        <v>3</v>
      </c>
      <c r="I12" s="14" t="s">
        <v>21</v>
      </c>
      <c r="J12" s="14">
        <v>300</v>
      </c>
      <c r="L12" s="12">
        <v>1500</v>
      </c>
      <c r="M12" s="7">
        <v>1799</v>
      </c>
      <c r="N12" s="44">
        <v>10</v>
      </c>
      <c r="O12" s="45">
        <v>25</v>
      </c>
      <c r="P12" s="46">
        <v>50</v>
      </c>
      <c r="Q12" s="47">
        <v>100</v>
      </c>
      <c r="R12" s="48">
        <v>250</v>
      </c>
      <c r="T12" s="2"/>
      <c r="Z12" s="10"/>
    </row>
    <row r="13" spans="2:29" x14ac:dyDescent="0.25">
      <c r="B13" s="7" t="s">
        <v>27</v>
      </c>
      <c r="C13" s="38" t="b">
        <v>0</v>
      </c>
      <c r="E13" s="7">
        <v>2</v>
      </c>
      <c r="F13" s="7">
        <v>0</v>
      </c>
      <c r="G13" s="7">
        <f>NightTimeDrive1114[[#This Row],[Penalty Weight]]*NightTimeDrive1114[[#This Row],[Duration]]</f>
        <v>0</v>
      </c>
      <c r="I13" s="14" t="s">
        <v>28</v>
      </c>
      <c r="J13" s="14">
        <v>0</v>
      </c>
      <c r="L13" s="16">
        <v>1800</v>
      </c>
      <c r="M13" s="17">
        <v>1800</v>
      </c>
      <c r="N13" s="49">
        <v>5</v>
      </c>
      <c r="O13" s="50">
        <v>10</v>
      </c>
      <c r="P13" s="51">
        <v>25</v>
      </c>
      <c r="Q13" s="52">
        <v>60</v>
      </c>
      <c r="R13" s="53">
        <v>100</v>
      </c>
      <c r="W13"/>
      <c r="Z13" s="10"/>
      <c r="AA13" s="11"/>
    </row>
    <row r="14" spans="2:29" x14ac:dyDescent="0.25">
      <c r="B14" s="7" t="s">
        <v>28</v>
      </c>
      <c r="C14" s="18">
        <f>J13</f>
        <v>0</v>
      </c>
      <c r="E14" s="7" t="s">
        <v>29</v>
      </c>
      <c r="F14" s="7">
        <f>SUBTOTAL(109,NightTimeDrive1114[Duration])</f>
        <v>0</v>
      </c>
      <c r="G14" s="7">
        <f>SUBTOTAL(109,NightTimeDrive1114[Points])</f>
        <v>0</v>
      </c>
      <c r="I14" s="8" t="s">
        <v>30</v>
      </c>
      <c r="J14" s="8" t="s">
        <v>13</v>
      </c>
      <c r="T14"/>
      <c r="U14"/>
      <c r="V14"/>
      <c r="W14"/>
      <c r="X14"/>
    </row>
    <row r="15" spans="2:29" x14ac:dyDescent="0.25">
      <c r="B15" s="7" t="s">
        <v>31</v>
      </c>
      <c r="C15" s="19" t="str">
        <f>_xlfn.CONCAT("Đ",J32*VLOOKUP(C12,O26:P31,2,FALSE)*10)</f>
        <v>Đ0</v>
      </c>
      <c r="D15" s="20"/>
      <c r="N15" s="35" t="str">
        <f>_xlfn.CONCAT("Distance Points for ",J14)</f>
        <v>Distance Points for Gold</v>
      </c>
      <c r="O15" s="36"/>
      <c r="P15" s="37"/>
      <c r="T15"/>
      <c r="U15"/>
      <c r="V15" s="21"/>
      <c r="W15"/>
      <c r="X15"/>
      <c r="AA15" s="11"/>
      <c r="AB15" s="11"/>
    </row>
    <row r="16" spans="2:29" x14ac:dyDescent="0.25">
      <c r="B16" s="7" t="s">
        <v>32</v>
      </c>
      <c r="C16" s="18">
        <f>MAX(0,C11-C14)</f>
        <v>2393</v>
      </c>
      <c r="I16" s="32" t="s">
        <v>33</v>
      </c>
      <c r="J16" s="32"/>
      <c r="N16" s="6" t="s">
        <v>8</v>
      </c>
      <c r="O16" s="6" t="s">
        <v>9</v>
      </c>
      <c r="P16" s="6" t="s">
        <v>3</v>
      </c>
      <c r="T16"/>
      <c r="U16"/>
      <c r="W16"/>
    </row>
    <row r="17" spans="9:17" ht="14.45" customHeight="1" x14ac:dyDescent="0.25">
      <c r="I17" s="6" t="s">
        <v>0</v>
      </c>
      <c r="J17" s="6" t="s">
        <v>1</v>
      </c>
      <c r="N17" s="7" cm="1">
        <f t="array" ref="N17:N23">DistancePointsStefan[Lower]</f>
        <v>0</v>
      </c>
      <c r="O17" s="7" cm="1">
        <f t="array" ref="O17:O23">DistancePointsStefan[Upper]</f>
        <v>299</v>
      </c>
      <c r="P17" s="7" cm="1">
        <f t="array" ref="P17:P23">_xlfn.XLOOKUP(J14,DistancePointsStefan[#Headers],DistancePointsStefan[])</f>
        <v>300</v>
      </c>
    </row>
    <row r="18" spans="9:17" x14ac:dyDescent="0.25">
      <c r="I18" s="7" t="s">
        <v>34</v>
      </c>
      <c r="J18" s="7" t="s">
        <v>35</v>
      </c>
      <c r="N18" s="7">
        <v>300</v>
      </c>
      <c r="O18" s="7">
        <v>599</v>
      </c>
      <c r="P18" s="7">
        <v>250</v>
      </c>
    </row>
    <row r="19" spans="9:17" x14ac:dyDescent="0.25">
      <c r="I19" s="7" t="s">
        <v>36</v>
      </c>
      <c r="J19" s="7">
        <v>10</v>
      </c>
      <c r="N19" s="7">
        <v>600</v>
      </c>
      <c r="O19" s="7">
        <v>899</v>
      </c>
      <c r="P19" s="7">
        <v>200</v>
      </c>
    </row>
    <row r="20" spans="9:17" x14ac:dyDescent="0.25">
      <c r="I20" s="7" t="s">
        <v>37</v>
      </c>
      <c r="J20" s="22">
        <v>45806</v>
      </c>
      <c r="N20" s="7">
        <v>900</v>
      </c>
      <c r="O20" s="7">
        <v>1199</v>
      </c>
      <c r="P20" s="7">
        <v>175</v>
      </c>
    </row>
    <row r="21" spans="9:17" x14ac:dyDescent="0.25">
      <c r="N21" s="7">
        <v>1200</v>
      </c>
      <c r="O21" s="7">
        <v>1499</v>
      </c>
      <c r="P21" s="7">
        <v>125</v>
      </c>
    </row>
    <row r="22" spans="9:17" x14ac:dyDescent="0.25">
      <c r="I22" s="35" t="s">
        <v>38</v>
      </c>
      <c r="J22" s="37"/>
      <c r="N22" s="7">
        <v>1500</v>
      </c>
      <c r="O22" s="7">
        <v>1799</v>
      </c>
      <c r="P22" s="7">
        <v>100</v>
      </c>
    </row>
    <row r="23" spans="9:17" x14ac:dyDescent="0.25">
      <c r="I23" s="6" t="s">
        <v>0</v>
      </c>
      <c r="J23" s="6" t="s">
        <v>1</v>
      </c>
      <c r="N23" s="7">
        <v>1800</v>
      </c>
      <c r="O23" s="7">
        <v>1800</v>
      </c>
      <c r="P23" s="7">
        <v>60</v>
      </c>
    </row>
    <row r="24" spans="9:17" x14ac:dyDescent="0.25">
      <c r="I24" s="23" t="s">
        <v>20</v>
      </c>
      <c r="J24" s="24">
        <f>MAX(0,300-NightTimeDrive1114[[#Totals],[Points]])</f>
        <v>300</v>
      </c>
    </row>
    <row r="25" spans="9:17" x14ac:dyDescent="0.25">
      <c r="I25" s="25" t="s">
        <v>39</v>
      </c>
      <c r="J25" s="26" t="str">
        <f>IF( AND( J9&lt;=J24+J19, J9&gt;=J24-J19 ), "Extract", "Calculate")</f>
        <v>Extract</v>
      </c>
      <c r="M25" s="32" t="s">
        <v>40</v>
      </c>
      <c r="N25" s="32"/>
      <c r="O25" s="32"/>
      <c r="P25" s="32"/>
      <c r="Q25" s="32"/>
    </row>
    <row r="26" spans="9:17" x14ac:dyDescent="0.25">
      <c r="I26" s="27" t="str">
        <f ca="1">_xlfn.CONCAT("Days ",TEXT(TODAY(), "mmm yyyy"))</f>
        <v>Days May 2025</v>
      </c>
      <c r="J26" s="28">
        <f>DAY(EOMONTH(J20, 0))</f>
        <v>31</v>
      </c>
      <c r="M26" s="6" t="s">
        <v>8</v>
      </c>
      <c r="N26" s="6" t="s">
        <v>9</v>
      </c>
      <c r="O26" s="6" t="s">
        <v>41</v>
      </c>
      <c r="P26" s="6" t="s">
        <v>42</v>
      </c>
      <c r="Q26" s="6" t="s">
        <v>43</v>
      </c>
    </row>
    <row r="27" spans="9:17" x14ac:dyDescent="0.25">
      <c r="I27" s="27" t="s">
        <v>44</v>
      </c>
      <c r="J27" s="28">
        <f>DAY(J20)-1</f>
        <v>28</v>
      </c>
      <c r="M27" s="54">
        <v>0</v>
      </c>
      <c r="N27" s="44">
        <v>799</v>
      </c>
      <c r="O27" s="44" t="s">
        <v>10</v>
      </c>
      <c r="P27" s="55">
        <v>0.05</v>
      </c>
      <c r="Q27" s="56" t="s">
        <v>45</v>
      </c>
    </row>
    <row r="28" spans="9:17" x14ac:dyDescent="0.25">
      <c r="I28" s="25" t="s">
        <v>46</v>
      </c>
      <c r="J28" s="26">
        <f>J26-J27</f>
        <v>3</v>
      </c>
      <c r="M28" s="57">
        <v>800</v>
      </c>
      <c r="N28" s="45">
        <v>1599</v>
      </c>
      <c r="O28" s="45" t="s">
        <v>11</v>
      </c>
      <c r="P28" s="58">
        <v>0.1</v>
      </c>
      <c r="Q28" s="59" t="s">
        <v>47</v>
      </c>
    </row>
    <row r="29" spans="9:17" x14ac:dyDescent="0.25">
      <c r="I29" s="23" t="s">
        <v>48</v>
      </c>
      <c r="J29" s="29">
        <f>C11-VLOOKUP(C11,M27:O31,1,TRUE)</f>
        <v>193</v>
      </c>
      <c r="M29" s="60">
        <v>1600</v>
      </c>
      <c r="N29" s="46">
        <v>2199</v>
      </c>
      <c r="O29" s="46" t="s">
        <v>12</v>
      </c>
      <c r="P29" s="61">
        <v>0.2</v>
      </c>
      <c r="Q29" s="62" t="s">
        <v>49</v>
      </c>
    </row>
    <row r="30" spans="9:17" x14ac:dyDescent="0.25">
      <c r="I30" s="27" t="s">
        <v>50</v>
      </c>
      <c r="J30" s="30">
        <f>MAX(0,C9-J29)</f>
        <v>57</v>
      </c>
      <c r="M30" s="63">
        <v>2200</v>
      </c>
      <c r="N30" s="64">
        <v>2499</v>
      </c>
      <c r="O30" s="64" t="s">
        <v>13</v>
      </c>
      <c r="P30" s="65">
        <v>0.35</v>
      </c>
      <c r="Q30" s="66" t="s">
        <v>51</v>
      </c>
    </row>
    <row r="31" spans="9:17" x14ac:dyDescent="0.25">
      <c r="I31" s="25" t="s">
        <v>52</v>
      </c>
      <c r="J31" s="26" cm="1">
        <f t="array" ref="J31">MAX(_xlfn._xlws.FILTER(_xlfn.ANCHORARRAY(O17),_xlfn.ANCHORARRAY( P17)&gt;=J30))</f>
        <v>1800</v>
      </c>
      <c r="M31" s="67">
        <v>2500</v>
      </c>
      <c r="N31" s="68">
        <v>3000</v>
      </c>
      <c r="O31" s="68" t="s">
        <v>14</v>
      </c>
      <c r="P31" s="69">
        <v>0.5</v>
      </c>
      <c r="Q31" s="70" t="s">
        <v>53</v>
      </c>
    </row>
    <row r="32" spans="9:17" x14ac:dyDescent="0.25">
      <c r="I32" s="31" t="s">
        <v>54</v>
      </c>
      <c r="J32" s="8">
        <f>MIN(C14,C11)</f>
        <v>0</v>
      </c>
    </row>
    <row r="33" spans="9:10" x14ac:dyDescent="0.25">
      <c r="I33" s="31" t="s">
        <v>55</v>
      </c>
      <c r="J33" s="8">
        <f>SUM(J7:J10,J12)</f>
        <v>2243</v>
      </c>
    </row>
  </sheetData>
  <protectedRanges>
    <protectedRange sqref="C7:C8 C10 C16 C14" name="RequiresInput_1"/>
    <protectedRange sqref="F6:G6" name="RequiresInput_1_1"/>
  </protectedRanges>
  <dataConsolidate/>
  <mergeCells count="9">
    <mergeCell ref="I16:J16"/>
    <mergeCell ref="I22:J22"/>
    <mergeCell ref="M25:Q25"/>
    <mergeCell ref="B2:G3"/>
    <mergeCell ref="I5:J5"/>
    <mergeCell ref="L5:R5"/>
    <mergeCell ref="AB5:AC5"/>
    <mergeCell ref="E11:G11"/>
    <mergeCell ref="N15:P15"/>
  </mergeCells>
  <conditionalFormatting sqref="B11:C12">
    <cfRule type="expression" dxfId="42" priority="1">
      <formula>$C$12="Blue"</formula>
    </cfRule>
    <cfRule type="expression" dxfId="41" priority="2">
      <formula>$C$12="Bronze"</formula>
    </cfRule>
    <cfRule type="expression" dxfId="40" priority="3">
      <formula>$C$12="Silver"</formula>
    </cfRule>
    <cfRule type="expression" dxfId="39" priority="4">
      <formula>$C$12="Gold"</formula>
    </cfRule>
    <cfRule type="expression" dxfId="38" priority="5">
      <formula>$C$12="Diamond"</formula>
    </cfRule>
  </conditionalFormatting>
  <conditionalFormatting sqref="P17:P23">
    <cfRule type="expression" dxfId="37" priority="6">
      <formula>$J$14="Blue"</formula>
    </cfRule>
    <cfRule type="expression" dxfId="36" priority="7">
      <formula>$J$14="Bronze"</formula>
    </cfRule>
    <cfRule type="expression" dxfId="35" priority="8">
      <formula>$J$14="Silver"</formula>
    </cfRule>
    <cfRule type="expression" dxfId="34" priority="9">
      <formula>$J$14="Gold"</formula>
    </cfRule>
    <cfRule type="expression" dxfId="33"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BE3202F8-9082-4B9C-A2C0-CAB46078694B}"/>
  </dataValidations>
  <pageMargins left="0.7" right="0.7" top="0.75" bottom="0.75" header="0.3" footer="0.3"/>
  <pageSetup scale="32"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DEV</vt:lpstr>
      <vt:lpstr>DEV!Username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Stefan Oberholzer</cp:lastModifiedBy>
  <dcterms:created xsi:type="dcterms:W3CDTF">2025-05-29T11:22:15Z</dcterms:created>
  <dcterms:modified xsi:type="dcterms:W3CDTF">2025-05-29T12:03:27Z</dcterms:modified>
</cp:coreProperties>
</file>