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https://d.docs.live.net/2fd3bccd6dbaea2b/GitGud/DriveDashboardUiPath/"/>
    </mc:Choice>
  </mc:AlternateContent>
  <xr:revisionPtr revIDLastSave="282" documentId="13_ncr:1_{16BB77BC-72C4-43FD-98A0-25CDEB97D854}" xr6:coauthVersionLast="47" xr6:coauthVersionMax="47" xr10:uidLastSave="{69E6FD1E-E06B-4441-A61F-D6710F852FC6}"/>
  <bookViews>
    <workbookView xWindow="-120" yWindow="-120" windowWidth="20730" windowHeight="11040" xr2:uid="{B12B6E18-E294-4985-A977-422328ADD677}"/>
  </bookViews>
  <sheets>
    <sheet name="Stefan" sheetId="30" r:id="rId1"/>
    <sheet name="Christiaan" sheetId="29" r:id="rId2"/>
    <sheet name="Derrick" sheetId="28" r:id="rId3"/>
  </sheets>
  <definedNames>
    <definedName name="Username" localSheetId="1">Christiaan!$J$23</definedName>
    <definedName name="Username" localSheetId="2">Derrick!$J$23</definedName>
    <definedName name="Username" localSheetId="0">Stefan!$J$23</definedName>
    <definedName name="Userna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6" i="28" l="1"/>
  <c r="I26" i="29"/>
  <c r="I26" i="30"/>
  <c r="B2" i="30"/>
  <c r="E5" i="30"/>
  <c r="F6" i="30"/>
  <c r="G6" i="30"/>
  <c r="C7" i="30"/>
  <c r="C10" i="30"/>
  <c r="G13" i="30"/>
  <c r="G14" i="30" s="1"/>
  <c r="J24" i="30" s="1"/>
  <c r="C14" i="30"/>
  <c r="F14" i="30"/>
  <c r="N15" i="30"/>
  <c r="N17" i="30" a="1"/>
  <c r="N17" i="30"/>
  <c r="O17" i="30" a="1"/>
  <c r="O17" i="30"/>
  <c r="P17" i="30" a="1"/>
  <c r="P17" i="30" s="1"/>
  <c r="J26" i="30"/>
  <c r="J28" i="30" s="1"/>
  <c r="G9" i="30" s="1"/>
  <c r="J27" i="30"/>
  <c r="G8" i="30" s="1"/>
  <c r="J33" i="30"/>
  <c r="B2" i="29"/>
  <c r="E5" i="29"/>
  <c r="F6" i="29"/>
  <c r="G6" i="29"/>
  <c r="C7" i="29"/>
  <c r="C10" i="29"/>
  <c r="G13" i="29"/>
  <c r="C14" i="29"/>
  <c r="F14" i="29"/>
  <c r="G14" i="29"/>
  <c r="J24" i="29" s="1"/>
  <c r="N15" i="29"/>
  <c r="N17" i="29" a="1"/>
  <c r="N17" i="29"/>
  <c r="O17" i="29" a="1"/>
  <c r="O17" i="29"/>
  <c r="P17" i="29" a="1"/>
  <c r="P17" i="29" s="1"/>
  <c r="J26" i="29"/>
  <c r="J28" i="29" s="1"/>
  <c r="G9" i="29" s="1"/>
  <c r="C6" i="29" s="1"/>
  <c r="J27" i="29"/>
  <c r="G8" i="29" s="1"/>
  <c r="J33" i="29"/>
  <c r="B2" i="28"/>
  <c r="E5" i="28"/>
  <c r="F6" i="28"/>
  <c r="G6" i="28"/>
  <c r="C7" i="28"/>
  <c r="C9" i="28"/>
  <c r="C10" i="28"/>
  <c r="G13" i="28"/>
  <c r="C14" i="28"/>
  <c r="F14" i="28"/>
  <c r="G14" i="28"/>
  <c r="J24" i="28" s="1"/>
  <c r="N15" i="28"/>
  <c r="N17" i="28" a="1"/>
  <c r="N17" i="28" s="1"/>
  <c r="O17" i="28" a="1"/>
  <c r="O17" i="28"/>
  <c r="P17" i="28" a="1"/>
  <c r="P17" i="28" s="1"/>
  <c r="J26" i="28"/>
  <c r="J27" i="28"/>
  <c r="F8" i="28" s="1"/>
  <c r="J33" i="28"/>
  <c r="J28" i="28" l="1"/>
  <c r="G9" i="28" s="1"/>
  <c r="C6" i="28" s="1"/>
  <c r="C11" i="28" s="1"/>
  <c r="F7" i="28"/>
  <c r="C9" i="29"/>
  <c r="C9" i="30"/>
  <c r="F7" i="30"/>
  <c r="C6" i="30"/>
  <c r="J25" i="30"/>
  <c r="C8" i="30"/>
  <c r="F8" i="30"/>
  <c r="G7" i="30"/>
  <c r="J25" i="29"/>
  <c r="C8" i="29"/>
  <c r="F8" i="29"/>
  <c r="G7" i="29"/>
  <c r="F7" i="29"/>
  <c r="C8" i="28"/>
  <c r="J25" i="28"/>
  <c r="G8" i="28"/>
  <c r="G7" i="28"/>
  <c r="C11" i="29" l="1"/>
  <c r="C11" i="30"/>
  <c r="J29" i="30" s="1"/>
  <c r="J30" i="30" s="1"/>
  <c r="J31" i="30" s="1" a="1"/>
  <c r="J31" i="30" s="1"/>
  <c r="F9" i="30" s="1"/>
  <c r="C12" i="29"/>
  <c r="J32" i="29"/>
  <c r="C15" i="29" s="1"/>
  <c r="J29" i="29"/>
  <c r="J30" i="29" s="1"/>
  <c r="J31" i="29" s="1" a="1"/>
  <c r="J31" i="29" s="1"/>
  <c r="F9" i="29" s="1"/>
  <c r="C16" i="29"/>
  <c r="J29" i="28"/>
  <c r="J30" i="28" s="1"/>
  <c r="J31" i="28" s="1" a="1"/>
  <c r="J31" i="28" s="1"/>
  <c r="F9" i="28" s="1"/>
  <c r="J32" i="28"/>
  <c r="C12" i="28"/>
  <c r="C16" i="28"/>
  <c r="J32" i="30" l="1"/>
  <c r="C12" i="30"/>
  <c r="C16" i="30"/>
  <c r="C15" i="28"/>
  <c r="C15" i="3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<sst xmlns="http://schemas.openxmlformats.org/spreadsheetml/2006/main" count="246" uniqueCount="58">
  <si>
    <t>Driving Profile</t>
  </si>
  <si>
    <t>Distance</t>
  </si>
  <si>
    <t>Points</t>
  </si>
  <si>
    <t>Driving Status</t>
  </si>
  <si>
    <t>Claim Free Years</t>
  </si>
  <si>
    <t>Lower</t>
  </si>
  <si>
    <t>Upper</t>
  </si>
  <si>
    <t>Category</t>
  </si>
  <si>
    <t>Fuel %</t>
  </si>
  <si>
    <t>Night Time Driving</t>
  </si>
  <si>
    <t>Blue</t>
  </si>
  <si>
    <t>Distance Points</t>
  </si>
  <si>
    <t>Bronze</t>
  </si>
  <si>
    <t>MultiPoint Check</t>
  </si>
  <si>
    <t>Daily Average</t>
  </si>
  <si>
    <t>Silver</t>
  </si>
  <si>
    <t>Accumulated Points</t>
  </si>
  <si>
    <t>Gold</t>
  </si>
  <si>
    <t>Diamond</t>
  </si>
  <si>
    <t>Vitality Drive Status</t>
  </si>
  <si>
    <t>Qualifying Fuel Spend</t>
  </si>
  <si>
    <t>Remaining</t>
  </si>
  <si>
    <t>Stefan</t>
  </si>
  <si>
    <t>Fuel Cash Back in Miles</t>
  </si>
  <si>
    <t>Predict Status</t>
  </si>
  <si>
    <t>Christiaan</t>
  </si>
  <si>
    <t>Derrick</t>
  </si>
  <si>
    <t>Night Time Drive</t>
  </si>
  <si>
    <t>Extracted Data</t>
  </si>
  <si>
    <t>Calculated Data</t>
  </si>
  <si>
    <t>Description</t>
  </si>
  <si>
    <t>Value</t>
  </si>
  <si>
    <t>Username</t>
  </si>
  <si>
    <t>Night Pts Tolerance</t>
  </si>
  <si>
    <t>Night Extr or Calc</t>
  </si>
  <si>
    <t>Days Past</t>
  </si>
  <si>
    <t>Days Left</t>
  </si>
  <si>
    <t>Last Month's Status</t>
  </si>
  <si>
    <t>Config Data</t>
  </si>
  <si>
    <t>Rem Dist Points</t>
  </si>
  <si>
    <t>Rem - Dist</t>
  </si>
  <si>
    <t>Distance Upper Limit</t>
  </si>
  <si>
    <t>End of Month</t>
  </si>
  <si>
    <t>Distance Kilometers</t>
  </si>
  <si>
    <t>Penalty Weight</t>
  </si>
  <si>
    <t>Duration</t>
  </si>
  <si>
    <t>Total</t>
  </si>
  <si>
    <t>Remaining Fuel Spend</t>
  </si>
  <si>
    <t>Color</t>
  </si>
  <si>
    <t>#8EA9DB</t>
  </si>
  <si>
    <t>#F4B084</t>
  </si>
  <si>
    <t>#DBDBDB</t>
  </si>
  <si>
    <t>#FFD966</t>
  </si>
  <si>
    <t>Min Fuel or Points</t>
  </si>
  <si>
    <t>#D9B3FF</t>
  </si>
  <si>
    <t>Current Drive Points</t>
  </si>
  <si>
    <t>Report Date</t>
  </si>
  <si>
    <t>Month-to-Date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</si>
</sst>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R-1C09]#,##0.00"/>
    <numFmt numFmtId="166" formatCode="&quot;R&quot;#,##0"/>
    <numFmt numFmtId="167" formatCode="[$£-809]#,##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dotted">
        <color indexed="64"/>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thin">
        <color indexed="64"/>
      </bottom>
      <diagonal/>
    </border>
  </borders>
  <cellStyleXfs count="6">
    <xf numFmtId="0" fontId="0" fillId="0" borderId="0"/>
    <xf numFmtId="0" fontId="1" fillId="3" borderId="0" applyNumberFormat="0" applyFont="0" applyBorder="0" applyAlignment="0" applyProtection="0">
      <alignment horizontal="center" vertical="center"/>
    </xf>
    <xf numFmtId="0" fontId="1" fillId="4" borderId="1" applyNumberFormat="0" applyFont="0" applyBorder="0" applyAlignment="0" applyProtection="0">
      <alignment horizontal="center" vertical="center"/>
    </xf>
    <xf numFmtId="0" fontId="1" fillId="5" borderId="0" applyNumberFormat="0" applyFont="0" applyBorder="0" applyAlignment="0" applyProtection="0"/>
    <xf numFmtId="0" fontId="1" fillId="6" borderId="1" applyNumberFormat="0" applyFont="0" applyBorder="0" applyAlignment="0" applyProtection="0">
      <alignment horizontal="center" vertical="center"/>
    </xf>
    <xf numFmtId="0" fontId="1" fillId="7" borderId="1" applyNumberFormat="0" applyFont="0" applyBorder="0" applyAlignment="0" applyProtection="0">
      <alignment horizontal="center" vertical="center"/>
    </xf>
  </cellStyleXfs>
  <cellXfs count="75">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pplyAlignment="1">
      <alignment horizontal="center" vertical="center"/>
    </xf>
    <xf numFmtId="0" fontId="0" fillId="4" borderId="7" xfId="2" applyFont="1" applyBorder="1" applyAlignment="1">
      <alignment horizontal="center" vertical="center"/>
    </xf>
    <xf numFmtId="0" fontId="0" fillId="5" borderId="7" xfId="3" applyFont="1" applyBorder="1" applyAlignment="1">
      <alignment horizontal="center" vertical="center"/>
    </xf>
    <xf numFmtId="0" fontId="0" fillId="6" borderId="7" xfId="4" applyFont="1" applyBorder="1" applyAlignment="1">
      <alignment horizontal="center" vertical="center"/>
    </xf>
    <xf numFmtId="0" fontId="1" fillId="7" borderId="8" xfId="5" applyBorder="1" applyAlignment="1">
      <alignment horizontal="center" vertical="center"/>
    </xf>
    <xf numFmtId="0" fontId="0" fillId="3" borderId="1" xfId="1" applyFont="1" applyBorder="1" applyAlignment="1">
      <alignment horizontal="center" vertical="center"/>
    </xf>
    <xf numFmtId="0" fontId="0" fillId="4" borderId="1" xfId="2" applyFont="1" applyBorder="1" applyAlignment="1">
      <alignment horizontal="center" vertical="center"/>
    </xf>
    <xf numFmtId="0" fontId="0" fillId="5" borderId="1" xfId="3" applyFont="1" applyBorder="1" applyAlignment="1">
      <alignment horizontal="center" vertical="center"/>
    </xf>
    <xf numFmtId="0" fontId="0" fillId="6" borderId="1" xfId="4" applyFont="1" applyBorder="1" applyAlignment="1">
      <alignment horizontal="center" vertical="center"/>
    </xf>
    <xf numFmtId="0" fontId="1" fillId="7" borderId="2" xfId="5"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0" fontId="0" fillId="3" borderId="6" xfId="1" applyFont="1" applyBorder="1" applyAlignment="1">
      <alignment horizontal="center" vertical="center"/>
    </xf>
    <xf numFmtId="0" fontId="0" fillId="4" borderId="6" xfId="2" applyFont="1" applyBorder="1" applyAlignment="1">
      <alignment horizontal="center" vertical="center"/>
    </xf>
    <xf numFmtId="0" fontId="0" fillId="5" borderId="6" xfId="3" applyFont="1" applyBorder="1" applyAlignment="1">
      <alignment horizontal="center" vertical="center"/>
    </xf>
    <xf numFmtId="0" fontId="0" fillId="6" borderId="6" xfId="4" applyFont="1" applyBorder="1" applyAlignment="1">
      <alignment horizontal="center" vertical="center"/>
    </xf>
    <xf numFmtId="0" fontId="1" fillId="7" borderId="5" xfId="5" applyBorder="1" applyAlignment="1">
      <alignment horizontal="center" vertical="center"/>
    </xf>
    <xf numFmtId="166" fontId="0" fillId="0" borderId="1" xfId="0" applyNumberFormat="1" applyBorder="1" applyAlignment="1">
      <alignment horizontal="center" vertical="center"/>
    </xf>
    <xf numFmtId="167" fontId="0" fillId="0" borderId="1" xfId="0" applyNumberFormat="1" applyBorder="1" applyAlignment="1">
      <alignment horizontal="center" vertical="center"/>
    </xf>
    <xf numFmtId="0" fontId="0" fillId="3" borderId="3" xfId="1" applyFont="1" applyBorder="1" applyAlignment="1">
      <alignment horizontal="center" vertical="center"/>
    </xf>
    <xf numFmtId="9" fontId="0" fillId="3" borderId="1" xfId="1" applyNumberFormat="1" applyFont="1" applyBorder="1" applyAlignment="1">
      <alignment horizontal="center" vertical="center"/>
    </xf>
    <xf numFmtId="9" fontId="5" fillId="3" borderId="2" xfId="1" applyNumberFormat="1" applyFont="1" applyBorder="1" applyAlignment="1">
      <alignment horizontal="center" vertical="center"/>
    </xf>
    <xf numFmtId="0" fontId="0" fillId="4" borderId="3" xfId="2" applyFont="1" applyBorder="1" applyAlignment="1">
      <alignment horizontal="center" vertical="center"/>
    </xf>
    <xf numFmtId="9" fontId="0" fillId="4" borderId="1" xfId="2" applyNumberFormat="1" applyFont="1" applyBorder="1" applyAlignment="1">
      <alignment horizontal="center" vertical="center"/>
    </xf>
    <xf numFmtId="9" fontId="5" fillId="4" borderId="2" xfId="2" applyNumberFormat="1" applyFont="1" applyBorder="1" applyAlignment="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pplyAlignment="1">
      <alignment horizontal="center" vertical="center"/>
    </xf>
    <xf numFmtId="0" fontId="1" fillId="6" borderId="1" xfId="4" applyBorder="1" applyAlignment="1">
      <alignment horizontal="center" vertical="center"/>
    </xf>
    <xf numFmtId="9" fontId="1" fillId="6" borderId="1" xfId="4" applyNumberFormat="1" applyBorder="1" applyAlignment="1">
      <alignment horizontal="center" vertical="center"/>
    </xf>
    <xf numFmtId="9" fontId="5" fillId="6" borderId="2" xfId="4" applyNumberFormat="1" applyFont="1" applyBorder="1" applyAlignment="1">
      <alignment horizontal="center" vertical="center"/>
    </xf>
    <xf numFmtId="0" fontId="1" fillId="7" borderId="9" xfId="5" applyBorder="1" applyAlignment="1">
      <alignment horizontal="center" vertical="center"/>
    </xf>
    <xf numFmtId="0" fontId="1" fillId="7" borderId="6" xfId="5" applyBorder="1" applyAlignment="1">
      <alignment horizontal="center" vertical="center"/>
    </xf>
    <xf numFmtId="9" fontId="1" fillId="7" borderId="6" xfId="5" applyNumberFormat="1" applyBorder="1" applyAlignment="1">
      <alignment horizontal="center" vertical="center"/>
    </xf>
    <xf numFmtId="9" fontId="5" fillId="7" borderId="5" xfId="5" applyNumberFormat="1"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 fontId="0" fillId="0" borderId="13" xfId="0" applyNumberFormat="1" applyBorder="1" applyAlignment="1">
      <alignment horizontal="center" vertical="center"/>
    </xf>
    <xf numFmtId="1" fontId="0" fillId="0" borderId="15" xfId="0" applyNumberFormat="1" applyBorder="1" applyAlignment="1">
      <alignment horizontal="center" vertical="center"/>
    </xf>
    <xf numFmtId="14" fontId="0" fillId="0" borderId="1" xfId="0" applyNumberFormat="1" applyBorder="1" applyAlignment="1">
      <alignment horizontal="center" vertical="center"/>
    </xf>
    <xf numFmtId="1" fontId="0" fillId="0" borderId="16" xfId="0" applyNumberFormat="1" applyBorder="1" applyAlignment="1">
      <alignment horizontal="center" vertical="center"/>
    </xf>
    <xf numFmtId="0" fontId="0" fillId="0" borderId="16" xfId="0" applyBorder="1" applyAlignment="1">
      <alignment horizontal="center" vertical="center"/>
    </xf>
    <xf numFmtId="1" fontId="0" fillId="0" borderId="17" xfId="0" applyNumberFormat="1" applyBorder="1" applyAlignment="1">
      <alignment horizontal="center" vertical="center"/>
    </xf>
    <xf numFmtId="0" fontId="0" fillId="0" borderId="17" xfId="0" applyBorder="1" applyAlignment="1">
      <alignment horizontal="center" vertical="center"/>
    </xf>
    <xf numFmtId="0" fontId="0" fillId="2" borderId="1" xfId="0" applyFill="1"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cellXfs>
  <cellStyles count="6">
    <cellStyle name="Blue" xfId="1" xr:uid="{D6777AFA-3AF0-4CE0-B336-1ADF34512EE6}"/>
    <cellStyle name="Bronze" xfId="2" xr:uid="{0E6B15DE-01A2-4A33-9774-2FB4D4C3D1E7}"/>
    <cellStyle name="Diamond" xfId="5" xr:uid="{3A820ED5-9107-4EE9-BDFB-915049A426ED}"/>
    <cellStyle name="Gold" xfId="4" xr:uid="{AE4AF4E8-6A9E-4D12-AF8F-05694512C987}"/>
    <cellStyle name="Normal" xfId="0" builtinId="0"/>
    <cellStyle name="Silver" xfId="3" xr:uid="{14E707C8-7A31-4C64-82D2-79D4451F1D93}"/>
  </cellStyles>
  <dxfs count="151">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bottom/>
        <vertical style="thin">
          <color indexed="64"/>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bottom/>
        <vertical style="thin">
          <color indexed="64"/>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double">
          <color rgb="FF000000"/>
        </top>
      </border>
    </dxf>
    <dxf>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bottom/>
        <vertical style="thin">
          <color indexed="64"/>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bottom/>
        <vertical style="thin">
          <color indexed="64"/>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double">
          <color rgb="FF000000"/>
        </top>
      </border>
    </dxf>
    <dxf>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bottom/>
        <vertical style="thin">
          <color indexed="64"/>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bottom/>
        <vertical style="thin">
          <color indexed="64"/>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double">
          <color rgb="FF000000"/>
        </top>
      </border>
    </dxf>
    <dxf>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22" defaultTableStyle="TableStyleMedium2" defaultPivotStyle="PivotStyleLight16">
    <tableStyle name="Table Style 1" pivot="0" count="1" xr9:uid="{A9F08CE5-ED7D-4BF0-BED4-1E9AB08F748B}">
      <tableStyleElement type="wholeTable" dxfId="150"/>
    </tableStyle>
    <tableStyle name="Table Style 1 10" pivot="0" count="1" xr9:uid="{2D1C1F65-64AA-44E5-AA5A-2B6F13002934}">
      <tableStyleElement type="wholeTable" dxfId="149"/>
    </tableStyle>
    <tableStyle name="Table Style 1 11" pivot="0" count="1" xr9:uid="{05AF31C5-0C6B-4FC9-BB2A-CC666AEEA938}">
      <tableStyleElement type="wholeTable" dxfId="148"/>
    </tableStyle>
    <tableStyle name="Table Style 1 12" pivot="0" count="1" xr9:uid="{F7ADC423-0988-4DA8-B9D0-A07AA727111C}">
      <tableStyleElement type="wholeTable" dxfId="147"/>
    </tableStyle>
    <tableStyle name="Table Style 1 13" pivot="0" count="1" xr9:uid="{DC96A2DC-53A1-4C21-A60E-F20A7120FF3C}">
      <tableStyleElement type="wholeTable" dxfId="146"/>
    </tableStyle>
    <tableStyle name="Table Style 1 14" pivot="0" count="1" xr9:uid="{4681CA8B-13A2-463B-A4A2-F203979C6A14}">
      <tableStyleElement type="wholeTable" dxfId="145"/>
    </tableStyle>
    <tableStyle name="Table Style 1 15" pivot="0" count="1" xr9:uid="{7B50F24D-1991-4972-9A49-6490DA20EE16}">
      <tableStyleElement type="wholeTable" dxfId="144"/>
    </tableStyle>
    <tableStyle name="Table Style 1 16" pivot="0" count="1" xr9:uid="{CF2D3427-1AB2-4D49-B68E-B9C0B3EDBE75}">
      <tableStyleElement type="wholeTable" dxfId="143"/>
    </tableStyle>
    <tableStyle name="Table Style 1 17" pivot="0" count="1" xr9:uid="{4F50F918-FB53-4BF5-990B-2557B3B9A7BF}">
      <tableStyleElement type="wholeTable" dxfId="142"/>
    </tableStyle>
    <tableStyle name="Table Style 1 18" pivot="0" count="1" xr9:uid="{5F612B3A-A293-4CC9-B40F-44B5AEDFA082}">
      <tableStyleElement type="wholeTable" dxfId="141"/>
    </tableStyle>
    <tableStyle name="Table Style 1 19" pivot="0" count="1" xr9:uid="{F01D45AD-6592-422A-A40E-447519F2640A}">
      <tableStyleElement type="wholeTable" dxfId="140"/>
    </tableStyle>
    <tableStyle name="Table Style 1 2" pivot="0" count="1" xr9:uid="{9328C6BF-6A18-40D6-BCF5-ACC71AF16E8E}">
      <tableStyleElement type="wholeTable" dxfId="139"/>
    </tableStyle>
    <tableStyle name="Table Style 1 20" pivot="0" count="1" xr9:uid="{97A82AA4-F0F2-49EC-B88E-A1092B35C904}">
      <tableStyleElement type="wholeTable" dxfId="138"/>
    </tableStyle>
    <tableStyle name="Table Style 1 21" pivot="0" count="1" xr9:uid="{FDD5503D-D9A3-40FB-A813-327134DFB60D}">
      <tableStyleElement type="wholeTable" dxfId="137"/>
    </tableStyle>
    <tableStyle name="Table Style 1 22" pivot="0" count="1" xr9:uid="{7F405286-969F-4CD1-8441-4858F75BCAC3}">
      <tableStyleElement type="wholeTable" dxfId="136"/>
    </tableStyle>
    <tableStyle name="Table Style 1 3" pivot="0" count="1" xr9:uid="{37EF096D-2DFE-477A-8568-8A16C87D899A}">
      <tableStyleElement type="wholeTable" dxfId="135"/>
    </tableStyle>
    <tableStyle name="Table Style 1 4" pivot="0" count="1" xr9:uid="{8A7764C2-5FA0-4ED3-8FD1-B93D5D03E99F}">
      <tableStyleElement type="wholeTable" dxfId="134"/>
    </tableStyle>
    <tableStyle name="Table Style 1 5" pivot="0" count="1" xr9:uid="{F304E450-A967-49C6-88DB-FE75A7950572}">
      <tableStyleElement type="wholeTable" dxfId="133"/>
    </tableStyle>
    <tableStyle name="Table Style 1 6" pivot="0" count="1" xr9:uid="{0F2E8DB9-5B38-455C-8A1C-56B0099F7828}">
      <tableStyleElement type="wholeTable" dxfId="132"/>
    </tableStyle>
    <tableStyle name="Table Style 1 7" pivot="0" count="1" xr9:uid="{3512C574-7CC4-49B4-A867-7F44CFB3F84B}">
      <tableStyleElement type="wholeTable" dxfId="131"/>
    </tableStyle>
    <tableStyle name="Table Style 1 8" pivot="0" count="1" xr9:uid="{A7D82AA8-1F0A-4767-816C-D08C9223EDC9}">
      <tableStyleElement type="wholeTable" dxfId="130"/>
    </tableStyle>
    <tableStyle name="Table Style 1 9" pivot="0" count="1" xr9:uid="{ED2ED81A-DDBA-4F91-A0D7-17E66D871F9A}">
      <tableStyleElement type="wholeTable" dxfId="1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2011F1D-BBB5-4814-8D1D-60C70CEB7BEE}" name="NightTimeDrive11141117" displayName="NightTimeDrive11141117" ref="E12:G14" totalsRowCount="1" headerRowDxfId="128" dataDxfId="126" totalsRowDxfId="124" headerRowBorderDxfId="127" tableBorderDxfId="125" totalsRowBorderDxfId="123">
  <autoFilter ref="E12:G13" xr:uid="{932FCD99-6FCF-4AE6-A66E-74A568E6D121}">
    <filterColumn colId="0" hiddenButton="1"/>
    <filterColumn colId="1" hiddenButton="1"/>
    <filterColumn colId="2" hiddenButton="1"/>
  </autoFilter>
  <tableColumns count="3">
    <tableColumn id="1" xr3:uid="{F8B4A80C-E865-48A6-9CF2-44C397039AE9}" name="Penalty Weight" totalsRowLabel="Total" dataDxfId="122" totalsRowDxfId="121"/>
    <tableColumn id="2" xr3:uid="{35F93C20-07EE-495E-BD86-877F00E62570}" name="Duration" totalsRowFunction="sum" dataDxfId="120" totalsRowDxfId="119"/>
    <tableColumn id="3" xr3:uid="{A3FCE13B-7FE8-4841-9A00-2E225790A30C}" name="Points" totalsRowFunction="sum" dataDxfId="118" totalsRowDxfId="117">
      <calculatedColumnFormula>NightTimeDrive11141117[[#This Row],[Penalty Weight]]*NightTimeDrive11141117[[#This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023875A-90B7-4B76-BF16-7374C5BB2E0D}" name="DistancePointsStefan1218" displayName="DistancePointsStefan1218" ref="L6:R13" totalsRowShown="0" headerRowDxfId="116" dataDxfId="114" headerRowBorderDxfId="115" tableBorderDxfId="113" totalsRowBorderDxfId="112">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528F4EE-5105-452F-A9D2-C02F38DC6B98}" name="Lower" dataDxfId="111"/>
    <tableColumn id="2" xr3:uid="{B8176547-6EE6-4070-9AE7-A69A0F54379D}" name="Upper" dataDxfId="110"/>
    <tableColumn id="3" xr3:uid="{102D0427-A42E-42FF-910B-C5609A74AA7E}" name="Blue" dataDxfId="109" dataCellStyle="Blue"/>
    <tableColumn id="4" xr3:uid="{53269FF7-6358-4B33-B81D-92652E343A72}" name="Bronze" dataDxfId="108" dataCellStyle="Bronze"/>
    <tableColumn id="5" xr3:uid="{2411B36A-A793-496D-9ED4-03CB1563879A}" name="Silver" dataDxfId="107" dataCellStyle="Silver"/>
    <tableColumn id="6" xr3:uid="{AA132D2A-EC99-4195-A11F-DDA787E4D14D}" name="Gold" dataDxfId="106" dataCellStyle="Gold"/>
    <tableColumn id="7" xr3:uid="{4079B6BB-CC6B-4FC3-A278-5C2075D3ED2D}" name="Diamond" dataDxfId="105"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D287987-9126-4694-A9BA-5BFB318EC34C}" name="DrivingStatusStefan1319" displayName="DrivingStatusStefan1319" ref="M26:Q31" totalsRowShown="0" headerRowDxfId="104" headerRowBorderDxfId="103" tableBorderDxfId="102" totalsRowBorderDxfId="101">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68D5A322-1A60-440B-B824-1A91DB0F19FA}" name="Lower" dataDxfId="100" dataCellStyle="Silver"/>
    <tableColumn id="2" xr3:uid="{EEA7A2EA-7F7C-4E3D-8CA2-C8D193BD4FB7}" name="Upper" dataDxfId="99" dataCellStyle="Silver"/>
    <tableColumn id="3" xr3:uid="{49FC3F1F-10E9-47D7-87F5-73CFCD2C8D40}" name="Category" dataDxfId="98" dataCellStyle="Silver"/>
    <tableColumn id="4" xr3:uid="{A0536EF3-C361-492E-B4F7-1AA61CA09F70}" name="Fuel %" dataDxfId="97" dataCellStyle="Silver"/>
    <tableColumn id="5" xr3:uid="{D0C4CA77-3D11-4C3C-884B-41D2693533B5}" name="Color" dataDxfId="96" dataCellStyle="Silver"/>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AFF429B-36F8-4306-8679-1A626AE3B3EC}" name="NightTimeDrive1114514" displayName="NightTimeDrive1114514" ref="E12:G14" totalsRowCount="1" headerRowDxfId="95" dataDxfId="93" totalsRowDxfId="91" headerRowBorderDxfId="94" tableBorderDxfId="92" totalsRowBorderDxfId="90">
  <autoFilter ref="E12:G13" xr:uid="{932FCD99-6FCF-4AE6-A66E-74A568E6D121}">
    <filterColumn colId="0" hiddenButton="1"/>
    <filterColumn colId="1" hiddenButton="1"/>
    <filterColumn colId="2" hiddenButton="1"/>
  </autoFilter>
  <tableColumns count="3">
    <tableColumn id="1" xr3:uid="{68AEE90E-F147-428E-8D34-BD2E3FC2D281}" name="Penalty Weight" totalsRowLabel="Total" dataDxfId="89" totalsRowDxfId="88"/>
    <tableColumn id="2" xr3:uid="{C908AE85-BC35-4BBE-9BA3-ED673948BDF7}" name="Duration" totalsRowFunction="sum" dataDxfId="87" totalsRowDxfId="86"/>
    <tableColumn id="3" xr3:uid="{A863B8CD-7986-43D9-A47B-2DB31675B39B}" name="Points" totalsRowFunction="sum" dataDxfId="85" totalsRowDxfId="84">
      <calculatedColumnFormula>NightTimeDrive1114514[[#This Row],[Penalty Weight]]*NightTimeDrive1114514[[#This Row],[Duration]]</calculatedColumnFormula>
    </tableColumn>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1A9D85B-A41D-44C4-8646-E9905953918F}" name="DistancePointsStefan615" displayName="DistancePointsStefan615" ref="L6:R13" totalsRowShown="0" headerRowDxfId="83" dataDxfId="81" headerRowBorderDxfId="82" tableBorderDxfId="80" totalsRowBorderDxfId="79">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BBA6018-C3E6-44FF-8013-A5764E2B3B51}" name="Lower" dataDxfId="78"/>
    <tableColumn id="2" xr3:uid="{521E18E3-4CD8-4644-82C9-DA7305C15BB8}" name="Upper" dataDxfId="77"/>
    <tableColumn id="3" xr3:uid="{CDEFA804-1C1E-4C8D-95DD-1B9383E761E2}" name="Blue" dataDxfId="76" dataCellStyle="Blue"/>
    <tableColumn id="4" xr3:uid="{CE6F5137-5E79-4225-8EE1-1ABCC4AEC548}" name="Bronze" dataDxfId="75" dataCellStyle="Bronze"/>
    <tableColumn id="5" xr3:uid="{ADF2A55A-F740-4ECF-B0EB-6EBD4F4C8120}" name="Silver" dataDxfId="74" dataCellStyle="Silver"/>
    <tableColumn id="6" xr3:uid="{5C937A40-50E9-4331-8DC3-A39E0EA41F1E}" name="Gold" dataDxfId="73" dataCellStyle="Gold"/>
    <tableColumn id="7" xr3:uid="{D45404CF-13B7-4A59-B843-2ED2A010F62F}" name="Diamond" dataDxfId="72"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C403960-8709-4B17-819C-2BA6054AB5C2}" name="DrivingStatusStefan716" displayName="DrivingStatusStefan716" ref="M26:Q31" totalsRowShown="0" headerRowDxfId="71" headerRowBorderDxfId="70" tableBorderDxfId="69" totalsRowBorderDxfId="68">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C25CA4E9-1BC2-43E1-9315-209299C0C5B1}" name="Lower" dataDxfId="67" dataCellStyle="Silver"/>
    <tableColumn id="2" xr3:uid="{ED84192C-0BFF-4ADF-B9A6-583B469FB38B}" name="Upper" dataDxfId="66" dataCellStyle="Silver"/>
    <tableColumn id="3" xr3:uid="{7A0AFAE8-BF6B-4DD2-8B59-9FDE373AF35B}" name="Category" dataDxfId="65" dataCellStyle="Silver"/>
    <tableColumn id="4" xr3:uid="{B2A7CE6D-5F9B-407D-B647-FCA3A51DBF0B}" name="Fuel %" dataDxfId="64" dataCellStyle="Silver"/>
    <tableColumn id="5" xr3:uid="{C4E36F24-148E-4E54-99B6-C932DCF95DCE}" name="Color" dataDxfId="63" dataCellStyle="Silver"/>
  </tableColumns>
  <tableStyleInfo name="Table Style 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A9477C5-6D0F-4E3E-BA46-11717BF4EBBF}" name="NightTimeDrive111428" displayName="NightTimeDrive111428" ref="E12:G14" totalsRowCount="1" headerRowDxfId="62" dataDxfId="60" totalsRowDxfId="58" headerRowBorderDxfId="61" tableBorderDxfId="59" totalsRowBorderDxfId="57">
  <autoFilter ref="E12:G13" xr:uid="{932FCD99-6FCF-4AE6-A66E-74A568E6D121}">
    <filterColumn colId="0" hiddenButton="1"/>
    <filterColumn colId="1" hiddenButton="1"/>
    <filterColumn colId="2" hiddenButton="1"/>
  </autoFilter>
  <tableColumns count="3">
    <tableColumn id="1" xr3:uid="{1EDAA1FE-A554-4BD1-8DFE-C570EFF138F8}" name="Penalty Weight" totalsRowLabel="Total" dataDxfId="56" totalsRowDxfId="55"/>
    <tableColumn id="2" xr3:uid="{C6042420-F69C-4099-8B41-104B67A13AEB}" name="Duration" totalsRowFunction="sum" dataDxfId="54" totalsRowDxfId="53"/>
    <tableColumn id="3" xr3:uid="{3A0AC814-C868-4D72-8B9E-C92ED56D86FE}" name="Points" totalsRowFunction="sum" dataDxfId="52" totalsRowDxfId="51">
      <calculatedColumnFormula>NightTimeDrive111428[[#This Row],[Penalty Weight]]*NightTimeDrive111428[[#This Row],[Duration]]</calculatedColumnFormula>
    </tableColumn>
  </tableColumns>
  <tableStyleInfo name="Table Style 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B57E024-F601-412F-82B0-4E1CA76FBDE7}" name="DistancePointsStefan39" displayName="DistancePointsStefan39" ref="L6:R13" totalsRowShown="0" headerRowDxfId="50" dataDxfId="48" headerRowBorderDxfId="49" tableBorderDxfId="47" totalsRowBorderDxfId="4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7DEBE43-3614-4D08-9111-9F8E3A6DB25D}" name="Lower" dataDxfId="45"/>
    <tableColumn id="2" xr3:uid="{69610A2F-6D01-4D5E-97DF-5EFA5FB23041}" name="Upper" dataDxfId="44"/>
    <tableColumn id="3" xr3:uid="{D4DABDED-3D70-4944-9423-E2E71683AF34}" name="Blue" dataDxfId="43" dataCellStyle="Blue"/>
    <tableColumn id="4" xr3:uid="{0ED54035-4A33-4EC7-B026-30A1FDC5E285}" name="Bronze" dataDxfId="42" dataCellStyle="Bronze"/>
    <tableColumn id="5" xr3:uid="{F2A2187F-90FF-4579-9C74-880C2304A845}" name="Silver" dataDxfId="41" dataCellStyle="Silver"/>
    <tableColumn id="6" xr3:uid="{183617DF-A724-4644-BD85-E033798085E7}" name="Gold" dataDxfId="40" dataCellStyle="Gold"/>
    <tableColumn id="7" xr3:uid="{11BAD701-4B44-45F9-A79C-975AEF640713}" name="Diamond" dataDxfId="39" dataCellStyle="Diamond"/>
  </tableColumns>
  <tableStyleInfo name="Table Style 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F80279F-A4F4-4131-A65B-4E8B06A4E48D}" name="DrivingStatusStefan410" displayName="DrivingStatusStefan410" ref="M26:Q31" totalsRowShown="0" headerRowDxfId="38" headerRowBorderDxfId="37" tableBorderDxfId="36" totalsRowBorderDxfId="3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B049895C-1B50-4B69-BFC5-93A445D4588C}" name="Lower" dataDxfId="34" dataCellStyle="Silver"/>
    <tableColumn id="2" xr3:uid="{7C7BE888-F1C7-4811-9CE9-E9216C185D43}" name="Upper" dataDxfId="33" dataCellStyle="Silver"/>
    <tableColumn id="3" xr3:uid="{225F8CE0-6B09-487E-AE72-EECF6099A4B5}" name="Category" dataDxfId="32" dataCellStyle="Silver"/>
    <tableColumn id="4" xr3:uid="{D03C1887-FB74-46CA-9D0B-3AD11C766D39}" name="Fuel %" dataDxfId="31" dataCellStyle="Silver"/>
    <tableColumn id="5" xr3:uid="{91F94620-7A87-4B6A-974C-DE53067C25FE}"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A3DBA-9667-4083-8DEB-24AD0181C5FD}">
  <sheetPr codeName="Sheet10">
    <pageSetUpPr fitToPage="1"/>
  </sheetPr>
  <dimension ref="B2:AC33"/>
  <sheetViews>
    <sheetView tabSelected="1" zoomScaleNormal="100" workbookViewId="0">
      <selection activeCell="J25" sqref="J25"/>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70" t="str">
        <f>_xlfn.CONCAT("Drive Summary ",J18, " ",TEXT(J20, "mmmm yyyy"))</f>
        <v>Drive Summary Stefan May 2025</v>
      </c>
      <c r="C2" s="70"/>
      <c r="D2" s="70"/>
      <c r="E2" s="70"/>
      <c r="F2" s="70"/>
      <c r="G2" s="70"/>
      <c r="H2" s="15"/>
    </row>
    <row r="3" spans="2:29" ht="14.45" customHeight="1" x14ac:dyDescent="0.25">
      <c r="B3" s="70"/>
      <c r="C3" s="70"/>
      <c r="D3" s="70"/>
      <c r="E3" s="70"/>
      <c r="F3" s="70"/>
      <c r="G3" s="70"/>
      <c r="H3" s="15"/>
    </row>
    <row r="5" spans="2:29" x14ac:dyDescent="0.25">
      <c r="B5" s="16" t="s">
        <v>30</v>
      </c>
      <c r="C5" s="17" t="s">
        <v>31</v>
      </c>
      <c r="D5"/>
      <c r="E5" s="16" t="str">
        <f ca="1">TEXT(TODAY(), "mmmm yyyy")</f>
        <v>May 2025</v>
      </c>
      <c r="F5" s="16" t="s">
        <v>1</v>
      </c>
      <c r="G5" s="18" t="s">
        <v>2</v>
      </c>
      <c r="I5" s="69" t="s">
        <v>28</v>
      </c>
      <c r="J5" s="69"/>
      <c r="L5" s="69" t="s">
        <v>11</v>
      </c>
      <c r="M5" s="69"/>
      <c r="N5" s="69"/>
      <c r="O5" s="69"/>
      <c r="P5" s="69"/>
      <c r="Q5" s="69"/>
      <c r="R5" s="69"/>
      <c r="AB5" s="71"/>
      <c r="AC5" s="71"/>
    </row>
    <row r="6" spans="2:29" x14ac:dyDescent="0.25">
      <c r="B6" s="1" t="s">
        <v>0</v>
      </c>
      <c r="C6" s="7">
        <f>MIN(1500, IF($C$13,G7,G6+G9))</f>
        <v>1488</v>
      </c>
      <c r="E6" s="1" t="s">
        <v>57</v>
      </c>
      <c r="F6" s="7">
        <f>J11</f>
        <v>1550</v>
      </c>
      <c r="G6" s="19">
        <f>J7</f>
        <v>1388</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300</v>
      </c>
      <c r="D7" s="3"/>
      <c r="E7" s="1" t="s">
        <v>42</v>
      </c>
      <c r="F7" s="7">
        <f>F6/J27*J26</f>
        <v>1656.8965517241379</v>
      </c>
      <c r="G7" s="7">
        <f>G6/J27*J26</f>
        <v>1483.7241379310344</v>
      </c>
      <c r="I7" s="7" t="s">
        <v>0</v>
      </c>
      <c r="J7" s="7">
        <v>1388</v>
      </c>
      <c r="L7" s="13">
        <v>0</v>
      </c>
      <c r="M7" s="1">
        <v>299</v>
      </c>
      <c r="N7" s="25">
        <v>300</v>
      </c>
      <c r="O7" s="26">
        <v>300</v>
      </c>
      <c r="P7" s="27">
        <v>300</v>
      </c>
      <c r="Q7" s="28">
        <v>300</v>
      </c>
      <c r="R7" s="29">
        <v>300</v>
      </c>
      <c r="AB7" s="3"/>
    </row>
    <row r="8" spans="2:29" ht="15" customHeight="1" thickBot="1" x14ac:dyDescent="0.3">
      <c r="B8" s="1" t="s">
        <v>9</v>
      </c>
      <c r="C8" s="7">
        <f>IF( AND( J9&lt;=J24+J19, J9&gt;=J24-J19 ), J9, J24)</f>
        <v>300</v>
      </c>
      <c r="E8" s="1" t="s">
        <v>14</v>
      </c>
      <c r="F8" s="6">
        <f>F6/J27</f>
        <v>53.448275862068968</v>
      </c>
      <c r="G8" s="6">
        <f>G6/J27</f>
        <v>47.862068965517238</v>
      </c>
      <c r="I8" s="30" t="s">
        <v>4</v>
      </c>
      <c r="J8" s="7">
        <v>300</v>
      </c>
      <c r="L8" s="13">
        <v>300</v>
      </c>
      <c r="M8" s="1">
        <v>599</v>
      </c>
      <c r="N8" s="25">
        <v>100</v>
      </c>
      <c r="O8" s="26">
        <v>150</v>
      </c>
      <c r="P8" s="27">
        <v>200</v>
      </c>
      <c r="Q8" s="28">
        <v>250</v>
      </c>
      <c r="R8" s="29">
        <v>300</v>
      </c>
    </row>
    <row r="9" spans="2:29" ht="15.75" thickTop="1" x14ac:dyDescent="0.25">
      <c r="B9" s="1" t="s">
        <v>11</v>
      </c>
      <c r="C9" s="7">
        <f>VLOOKUP(IF(C13,F7,F6),N17:P23,3)</f>
        <v>250</v>
      </c>
      <c r="E9" s="68" t="s">
        <v>21</v>
      </c>
      <c r="F9" s="67">
        <f>IF(J31&gt;=M13, "Unlimited", J31-F6)</f>
        <v>249</v>
      </c>
      <c r="G9" s="67">
        <f>50*J28 + IF(J26&lt;30,(30-J26)*G8,0)</f>
        <v>100</v>
      </c>
      <c r="I9" s="30" t="s">
        <v>27</v>
      </c>
      <c r="J9" s="7">
        <v>300</v>
      </c>
      <c r="L9" s="13">
        <v>600</v>
      </c>
      <c r="M9" s="1">
        <v>899</v>
      </c>
      <c r="N9" s="25">
        <v>75</v>
      </c>
      <c r="O9" s="26">
        <v>100</v>
      </c>
      <c r="P9" s="27">
        <v>150</v>
      </c>
      <c r="Q9" s="28">
        <v>200</v>
      </c>
      <c r="R9" s="29">
        <v>300</v>
      </c>
    </row>
    <row r="10" spans="2:29" x14ac:dyDescent="0.25">
      <c r="B10" s="1" t="s">
        <v>13</v>
      </c>
      <c r="C10" s="7">
        <f>J12</f>
        <v>300</v>
      </c>
      <c r="E10" s="8"/>
      <c r="I10" s="30" t="s">
        <v>11</v>
      </c>
      <c r="J10" s="30">
        <v>300</v>
      </c>
      <c r="L10" s="13">
        <v>900</v>
      </c>
      <c r="M10" s="1">
        <v>1199</v>
      </c>
      <c r="N10" s="25">
        <v>50</v>
      </c>
      <c r="O10" s="26">
        <v>75</v>
      </c>
      <c r="P10" s="27">
        <v>100</v>
      </c>
      <c r="Q10" s="28">
        <v>175</v>
      </c>
      <c r="R10" s="29">
        <v>300</v>
      </c>
    </row>
    <row r="11" spans="2:29" x14ac:dyDescent="0.25">
      <c r="B11" s="1" t="s">
        <v>16</v>
      </c>
      <c r="C11" s="7">
        <f>SUM(C6:C10)</f>
        <v>2638</v>
      </c>
      <c r="E11" s="72" t="s">
        <v>27</v>
      </c>
      <c r="F11" s="73"/>
      <c r="G11" s="74"/>
      <c r="I11" s="30" t="s">
        <v>43</v>
      </c>
      <c r="J11" s="7">
        <v>1550</v>
      </c>
      <c r="L11" s="13">
        <v>1200</v>
      </c>
      <c r="M11" s="1">
        <v>1499</v>
      </c>
      <c r="N11" s="25">
        <v>25</v>
      </c>
      <c r="O11" s="26">
        <v>50</v>
      </c>
      <c r="P11" s="27">
        <v>75</v>
      </c>
      <c r="Q11" s="28">
        <v>125</v>
      </c>
      <c r="R11" s="29">
        <v>300</v>
      </c>
      <c r="Z11"/>
    </row>
    <row r="12" spans="2:29" x14ac:dyDescent="0.25">
      <c r="B12" s="1" t="s">
        <v>19</v>
      </c>
      <c r="C12" s="1" t="str">
        <f>VLOOKUP(C11,M27:O31,3,TRUE)</f>
        <v>Diamond</v>
      </c>
      <c r="D12" s="3"/>
      <c r="E12" s="16" t="s">
        <v>44</v>
      </c>
      <c r="F12" s="17" t="s">
        <v>45</v>
      </c>
      <c r="G12" s="16" t="s">
        <v>2</v>
      </c>
      <c r="I12" s="30" t="s">
        <v>13</v>
      </c>
      <c r="J12" s="30">
        <v>300</v>
      </c>
      <c r="L12" s="13">
        <v>1500</v>
      </c>
      <c r="M12" s="1">
        <v>1799</v>
      </c>
      <c r="N12" s="25">
        <v>10</v>
      </c>
      <c r="O12" s="26">
        <v>25</v>
      </c>
      <c r="P12" s="27">
        <v>50</v>
      </c>
      <c r="Q12" s="28">
        <v>100</v>
      </c>
      <c r="R12" s="29">
        <v>250</v>
      </c>
      <c r="T12" s="2"/>
      <c r="Z12" s="9"/>
    </row>
    <row r="13" spans="2:29" ht="15.75" thickBot="1" x14ac:dyDescent="0.3">
      <c r="B13" s="1" t="s">
        <v>24</v>
      </c>
      <c r="C13" s="31" t="b">
        <v>0</v>
      </c>
      <c r="E13" s="1">
        <v>2</v>
      </c>
      <c r="F13" s="1">
        <v>0</v>
      </c>
      <c r="G13" s="1">
        <f>NightTimeDrive11141117[[#This Row],[Penalty Weight]]*NightTimeDrive11141117[[#This Row],[Duration]]</f>
        <v>0</v>
      </c>
      <c r="I13" s="30" t="s">
        <v>20</v>
      </c>
      <c r="J13" s="30">
        <v>2205.9</v>
      </c>
      <c r="L13" s="14">
        <v>1800</v>
      </c>
      <c r="M13" s="12">
        <v>1800</v>
      </c>
      <c r="N13" s="32">
        <v>5</v>
      </c>
      <c r="O13" s="33">
        <v>10</v>
      </c>
      <c r="P13" s="34">
        <v>25</v>
      </c>
      <c r="Q13" s="35">
        <v>60</v>
      </c>
      <c r="R13" s="36">
        <v>100</v>
      </c>
      <c r="W13"/>
      <c r="Z13" s="9"/>
      <c r="AA13" s="3"/>
    </row>
    <row r="14" spans="2:29" ht="16.5" thickTop="1" thickBot="1" x14ac:dyDescent="0.3">
      <c r="B14" s="1" t="s">
        <v>20</v>
      </c>
      <c r="C14" s="37">
        <f>J13</f>
        <v>2205.9</v>
      </c>
      <c r="E14" s="66" t="s">
        <v>46</v>
      </c>
      <c r="F14" s="65">
        <f>SUBTOTAL(109,NightTimeDrive11141117[Duration])</f>
        <v>0</v>
      </c>
      <c r="G14" s="65">
        <f>SUBTOTAL(109,NightTimeDrive11141117[Points])</f>
        <v>0</v>
      </c>
      <c r="I14" s="7" t="s">
        <v>37</v>
      </c>
      <c r="J14" s="7" t="s">
        <v>18</v>
      </c>
      <c r="T14"/>
      <c r="U14"/>
      <c r="V14"/>
      <c r="W14"/>
      <c r="X14"/>
    </row>
    <row r="15" spans="2:29" ht="15.75" thickTop="1" x14ac:dyDescent="0.25">
      <c r="B15" s="1" t="s">
        <v>23</v>
      </c>
      <c r="C15" s="38" t="str">
        <f>_xlfn.CONCAT("Đ",J32*VLOOKUP(C12,O26:P31,2,FALSE)*10)</f>
        <v>Đ11029.5</v>
      </c>
      <c r="D15" s="4"/>
      <c r="N15" s="72" t="str">
        <f>_xlfn.CONCAT("Distance Points for ",J14)</f>
        <v>Distance Points for Diamond</v>
      </c>
      <c r="O15" s="73"/>
      <c r="P15" s="74"/>
      <c r="T15"/>
      <c r="U15"/>
      <c r="V15" s="10"/>
      <c r="W15"/>
      <c r="X15"/>
      <c r="AA15" s="3"/>
      <c r="AB15" s="3"/>
    </row>
    <row r="16" spans="2:29" x14ac:dyDescent="0.25">
      <c r="B16" s="1" t="s">
        <v>47</v>
      </c>
      <c r="C16" s="37">
        <f>MAX(0,C11-C14)</f>
        <v>432.09999999999991</v>
      </c>
      <c r="I16" s="69" t="s">
        <v>38</v>
      </c>
      <c r="J16" s="69"/>
      <c r="N16" s="18" t="s">
        <v>5</v>
      </c>
      <c r="O16" s="18" t="s">
        <v>6</v>
      </c>
      <c r="P16" s="18" t="s">
        <v>2</v>
      </c>
      <c r="T16"/>
      <c r="U16"/>
      <c r="W16"/>
    </row>
    <row r="17" spans="9:17" ht="14.45" customHeight="1" x14ac:dyDescent="0.25">
      <c r="I17" s="18" t="s">
        <v>30</v>
      </c>
      <c r="J17" s="18" t="s">
        <v>31</v>
      </c>
      <c r="N17" s="1" cm="1">
        <f t="array" ref="N17:N23">DistancePointsStefan1218[Lower]</f>
        <v>0</v>
      </c>
      <c r="O17" s="1" cm="1">
        <f t="array" ref="O17:O23">DistancePointsStefan1218[Upper]</f>
        <v>299</v>
      </c>
      <c r="P17" s="1" cm="1">
        <f t="array" ref="P17:P23">_xlfn.XLOOKUP(J14,DistancePointsStefan1218[#Headers],DistancePointsStefan1218[])</f>
        <v>300</v>
      </c>
    </row>
    <row r="18" spans="9:17" x14ac:dyDescent="0.25">
      <c r="I18" s="1" t="s">
        <v>32</v>
      </c>
      <c r="J18" s="1" t="s">
        <v>22</v>
      </c>
      <c r="N18" s="1">
        <v>300</v>
      </c>
      <c r="O18" s="1">
        <v>599</v>
      </c>
      <c r="P18" s="1">
        <v>300</v>
      </c>
    </row>
    <row r="19" spans="9:17" x14ac:dyDescent="0.25">
      <c r="I19" s="1" t="s">
        <v>33</v>
      </c>
      <c r="J19" s="1">
        <v>10</v>
      </c>
      <c r="N19" s="1">
        <v>600</v>
      </c>
      <c r="O19" s="1">
        <v>899</v>
      </c>
      <c r="P19" s="1">
        <v>300</v>
      </c>
    </row>
    <row r="20" spans="9:17" x14ac:dyDescent="0.25">
      <c r="I20" s="1" t="s">
        <v>56</v>
      </c>
      <c r="J20" s="64">
        <v>45807</v>
      </c>
      <c r="N20" s="1">
        <v>900</v>
      </c>
      <c r="O20" s="1">
        <v>1199</v>
      </c>
      <c r="P20" s="1">
        <v>300</v>
      </c>
    </row>
    <row r="21" spans="9:17" x14ac:dyDescent="0.25">
      <c r="N21" s="1">
        <v>1200</v>
      </c>
      <c r="O21" s="1">
        <v>1499</v>
      </c>
      <c r="P21" s="1">
        <v>300</v>
      </c>
    </row>
    <row r="22" spans="9:17" x14ac:dyDescent="0.25">
      <c r="I22" s="72" t="s">
        <v>29</v>
      </c>
      <c r="J22" s="74"/>
      <c r="N22" s="1">
        <v>1500</v>
      </c>
      <c r="O22" s="1">
        <v>1799</v>
      </c>
      <c r="P22" s="1">
        <v>250</v>
      </c>
    </row>
    <row r="23" spans="9:17" x14ac:dyDescent="0.25">
      <c r="I23" s="18" t="s">
        <v>30</v>
      </c>
      <c r="J23" s="18" t="s">
        <v>31</v>
      </c>
      <c r="N23" s="1">
        <v>1800</v>
      </c>
      <c r="O23" s="1">
        <v>1800</v>
      </c>
      <c r="P23" s="1">
        <v>100</v>
      </c>
    </row>
    <row r="24" spans="9:17" x14ac:dyDescent="0.25">
      <c r="I24" s="56" t="s">
        <v>27</v>
      </c>
      <c r="J24" s="59">
        <f>MAX(0,300-NightTimeDrive11141117[[#Totals],[Points]])</f>
        <v>300</v>
      </c>
    </row>
    <row r="25" spans="9:17" x14ac:dyDescent="0.25">
      <c r="I25" s="57" t="s">
        <v>34</v>
      </c>
      <c r="J25" s="60" t="str">
        <f>IF( AND( J9&lt;=J24+J19, J9&gt;=J24-J19 ), "Extract", "Calculate")</f>
        <v>Extract</v>
      </c>
      <c r="M25" s="69" t="s">
        <v>3</v>
      </c>
      <c r="N25" s="69"/>
      <c r="O25" s="69"/>
      <c r="P25" s="69"/>
      <c r="Q25" s="69"/>
    </row>
    <row r="26" spans="9:17" x14ac:dyDescent="0.25">
      <c r="I26" s="58" t="str">
        <f>_xlfn.CONCAT("Days ",TEXT(J20, "mmm yyyy"))</f>
        <v>Days May 2025</v>
      </c>
      <c r="J26" s="61">
        <f>DAY(EOMONTH(J20, 0))</f>
        <v>31</v>
      </c>
      <c r="M26" s="18" t="s">
        <v>5</v>
      </c>
      <c r="N26" s="18" t="s">
        <v>6</v>
      </c>
      <c r="O26" s="18" t="s">
        <v>7</v>
      </c>
      <c r="P26" s="18" t="s">
        <v>8</v>
      </c>
      <c r="Q26" s="18" t="s">
        <v>48</v>
      </c>
    </row>
    <row r="27" spans="9:17" x14ac:dyDescent="0.25">
      <c r="I27" s="58" t="s">
        <v>35</v>
      </c>
      <c r="J27" s="61">
        <f>DAY(J20)-1</f>
        <v>29</v>
      </c>
      <c r="M27" s="39">
        <v>0</v>
      </c>
      <c r="N27" s="25">
        <v>799</v>
      </c>
      <c r="O27" s="25" t="s">
        <v>10</v>
      </c>
      <c r="P27" s="40">
        <v>0.05</v>
      </c>
      <c r="Q27" s="41" t="s">
        <v>49</v>
      </c>
    </row>
    <row r="28" spans="9:17" x14ac:dyDescent="0.25">
      <c r="I28" s="57" t="s">
        <v>36</v>
      </c>
      <c r="J28" s="60">
        <f>J26-J27</f>
        <v>2</v>
      </c>
      <c r="M28" s="42">
        <v>800</v>
      </c>
      <c r="N28" s="26">
        <v>1599</v>
      </c>
      <c r="O28" s="26" t="s">
        <v>12</v>
      </c>
      <c r="P28" s="43">
        <v>0.1</v>
      </c>
      <c r="Q28" s="44" t="s">
        <v>50</v>
      </c>
    </row>
    <row r="29" spans="9:17" x14ac:dyDescent="0.25">
      <c r="I29" s="56" t="s">
        <v>39</v>
      </c>
      <c r="J29" s="62">
        <f>C11-VLOOKUP(C11,M27:O31,1,TRUE)</f>
        <v>138</v>
      </c>
      <c r="M29" s="45">
        <v>1600</v>
      </c>
      <c r="N29" s="27">
        <v>2199</v>
      </c>
      <c r="O29" s="27" t="s">
        <v>15</v>
      </c>
      <c r="P29" s="46">
        <v>0.2</v>
      </c>
      <c r="Q29" s="47" t="s">
        <v>51</v>
      </c>
    </row>
    <row r="30" spans="9:17" x14ac:dyDescent="0.25">
      <c r="I30" s="58" t="s">
        <v>40</v>
      </c>
      <c r="J30" s="63">
        <f>MAX(0,C9-J29)</f>
        <v>112</v>
      </c>
      <c r="M30" s="48">
        <v>2200</v>
      </c>
      <c r="N30" s="49">
        <v>2499</v>
      </c>
      <c r="O30" s="49" t="s">
        <v>17</v>
      </c>
      <c r="P30" s="50">
        <v>0.35</v>
      </c>
      <c r="Q30" s="51" t="s">
        <v>52</v>
      </c>
    </row>
    <row r="31" spans="9:17" x14ac:dyDescent="0.25">
      <c r="I31" s="57" t="s">
        <v>41</v>
      </c>
      <c r="J31" s="60" cm="1">
        <f t="array" ref="J31">MAX(_xlfn._xlws.FILTER(_xlfn.ANCHORARRAY(O17),_xlfn.ANCHORARRAY( P17)&gt;=J30))</f>
        <v>1799</v>
      </c>
      <c r="M31" s="52">
        <v>2500</v>
      </c>
      <c r="N31" s="53">
        <v>3000</v>
      </c>
      <c r="O31" s="53" t="s">
        <v>18</v>
      </c>
      <c r="P31" s="54">
        <v>0.5</v>
      </c>
      <c r="Q31" s="55" t="s">
        <v>54</v>
      </c>
    </row>
    <row r="32" spans="9:17" x14ac:dyDescent="0.25">
      <c r="I32" s="11" t="s">
        <v>53</v>
      </c>
      <c r="J32" s="7">
        <f>MIN(C14,C11)</f>
        <v>2205.9</v>
      </c>
    </row>
    <row r="33" spans="9:10" x14ac:dyDescent="0.25">
      <c r="I33" s="11" t="s">
        <v>55</v>
      </c>
      <c r="J33" s="7">
        <f>SUM(J7:J10,J12)</f>
        <v>2588</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$J$14="Blue"</formula>
    </cfRule>
    <cfRule type="expression" dxfId="23" priority="7">
      <formula>$J$14="Bronze"</formula>
    </cfRule>
    <cfRule type="expression" dxfId="22" priority="8">
      <formula>$J$14="Silver"</formula>
    </cfRule>
    <cfRule type="expression" dxfId="21" priority="9">
      <formula>$J$14="Gold"</formula>
    </cfRule>
    <cfRule type="expression" dxfId="2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56CAD413-6D81-4699-94EA-8FEA35DE58D6}"/>
  </dataValidations>
  <pageMargins left="0.7" right="0.7" top="0.75" bottom="0.75" header="0.3" footer="0.3"/>
  <pageSetup scale="32"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873C3-D403-4A3D-B61C-1D5F4ABDC15F}">
  <sheetPr codeName="Sheet9">
    <pageSetUpPr fitToPage="1"/>
  </sheetPr>
  <dimension ref="B2:AC33"/>
  <sheetViews>
    <sheetView zoomScaleNormal="100" workbookViewId="0">
      <selection activeCell="I26" sqref="I26"/>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hidden="1" customWidth="1"/>
    <col min="10" max="10" width="10.7109375" style="2" hidden="1" customWidth="1"/>
    <col min="11" max="11" width="2.7109375" style="2" hidden="1" customWidth="1"/>
    <col min="12" max="14" width="9.7109375" style="2" hidden="1" customWidth="1"/>
    <col min="15" max="15" width="10.5703125" style="2" hidden="1" customWidth="1"/>
    <col min="16" max="17" width="9.7109375" style="2" hidden="1" customWidth="1"/>
    <col min="18" max="18" width="11.42578125" style="2" hidden="1" customWidth="1"/>
    <col min="19" max="19" width="2.7109375" style="2" hidden="1"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70" t="str">
        <f>_xlfn.CONCAT("Drive Summary ",J18, " ",TEXT(J20, "mmmm yyyy"))</f>
        <v>Drive Summary Christiaan May 2025</v>
      </c>
      <c r="C2" s="70"/>
      <c r="D2" s="70"/>
      <c r="E2" s="70"/>
      <c r="F2" s="70"/>
      <c r="G2" s="70"/>
      <c r="H2" s="15"/>
    </row>
    <row r="3" spans="2:29" ht="14.45" customHeight="1" x14ac:dyDescent="0.25">
      <c r="B3" s="70"/>
      <c r="C3" s="70"/>
      <c r="D3" s="70"/>
      <c r="E3" s="70"/>
      <c r="F3" s="70"/>
      <c r="G3" s="70"/>
      <c r="H3" s="15"/>
    </row>
    <row r="5" spans="2:29" x14ac:dyDescent="0.25">
      <c r="B5" s="16" t="s">
        <v>30</v>
      </c>
      <c r="C5" s="17" t="s">
        <v>31</v>
      </c>
      <c r="D5"/>
      <c r="E5" s="16" t="str">
        <f ca="1">TEXT(TODAY(), "mmmm yyyy")</f>
        <v>May 2025</v>
      </c>
      <c r="F5" s="16" t="s">
        <v>1</v>
      </c>
      <c r="G5" s="18" t="s">
        <v>2</v>
      </c>
      <c r="I5" s="69" t="s">
        <v>28</v>
      </c>
      <c r="J5" s="69"/>
      <c r="L5" s="69" t="s">
        <v>11</v>
      </c>
      <c r="M5" s="69"/>
      <c r="N5" s="69"/>
      <c r="O5" s="69"/>
      <c r="P5" s="69"/>
      <c r="Q5" s="69"/>
      <c r="R5" s="69"/>
      <c r="AB5" s="71"/>
      <c r="AC5" s="71"/>
    </row>
    <row r="6" spans="2:29" x14ac:dyDescent="0.25">
      <c r="B6" s="1" t="s">
        <v>0</v>
      </c>
      <c r="C6" s="7">
        <f>MIN(1500, IF($C$13,G7,G6+G9))</f>
        <v>1453</v>
      </c>
      <c r="E6" s="1" t="s">
        <v>57</v>
      </c>
      <c r="F6" s="7">
        <f>J11</f>
        <v>1460</v>
      </c>
      <c r="G6" s="19">
        <f>J7</f>
        <v>1253</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150</v>
      </c>
      <c r="D7" s="3"/>
      <c r="E7" s="1" t="s">
        <v>42</v>
      </c>
      <c r="F7" s="7">
        <f>F6/J27*J26</f>
        <v>1676.2962962962963</v>
      </c>
      <c r="G7" s="7">
        <f>G6/J27*J26</f>
        <v>1438.6296296296296</v>
      </c>
      <c r="I7" s="7" t="s">
        <v>0</v>
      </c>
      <c r="J7" s="7">
        <v>1253</v>
      </c>
      <c r="L7" s="13">
        <v>0</v>
      </c>
      <c r="M7" s="1">
        <v>299</v>
      </c>
      <c r="N7" s="25">
        <v>300</v>
      </c>
      <c r="O7" s="26">
        <v>300</v>
      </c>
      <c r="P7" s="27">
        <v>300</v>
      </c>
      <c r="Q7" s="28">
        <v>300</v>
      </c>
      <c r="R7" s="29">
        <v>300</v>
      </c>
      <c r="AB7" s="3"/>
    </row>
    <row r="8" spans="2:29" ht="15" customHeight="1" thickBot="1" x14ac:dyDescent="0.3">
      <c r="B8" s="1" t="s">
        <v>9</v>
      </c>
      <c r="C8" s="7">
        <f>IF( AND( J9&lt;=J24+J19, J9&gt;=J24-J19 ), J9, J24)</f>
        <v>300</v>
      </c>
      <c r="E8" s="1" t="s">
        <v>14</v>
      </c>
      <c r="F8" s="6">
        <f>F6/J27</f>
        <v>54.074074074074076</v>
      </c>
      <c r="G8" s="6">
        <f>G6/J27</f>
        <v>46.407407407407405</v>
      </c>
      <c r="I8" s="30" t="s">
        <v>4</v>
      </c>
      <c r="J8" s="7">
        <v>150</v>
      </c>
      <c r="L8" s="13">
        <v>300</v>
      </c>
      <c r="M8" s="1">
        <v>599</v>
      </c>
      <c r="N8" s="25">
        <v>100</v>
      </c>
      <c r="O8" s="26">
        <v>150</v>
      </c>
      <c r="P8" s="27">
        <v>200</v>
      </c>
      <c r="Q8" s="28">
        <v>250</v>
      </c>
      <c r="R8" s="29">
        <v>300</v>
      </c>
    </row>
    <row r="9" spans="2:29" ht="15.75" thickTop="1" x14ac:dyDescent="0.25">
      <c r="B9" s="1" t="s">
        <v>11</v>
      </c>
      <c r="C9" s="7">
        <f>VLOOKUP(IF(C13,F7,F6),N17:P23,3)</f>
        <v>300</v>
      </c>
      <c r="E9" s="68" t="s">
        <v>21</v>
      </c>
      <c r="F9" s="67">
        <f>IF(J31&gt;=M13, "Unlimited", J31-F6)</f>
        <v>39</v>
      </c>
      <c r="G9" s="67">
        <f>50*J28 + IF(J26&lt;30,(30-J26)*G8,0)</f>
        <v>200</v>
      </c>
      <c r="I9" s="30" t="s">
        <v>27</v>
      </c>
      <c r="J9" s="7">
        <v>282</v>
      </c>
      <c r="L9" s="13">
        <v>600</v>
      </c>
      <c r="M9" s="1">
        <v>899</v>
      </c>
      <c r="N9" s="25">
        <v>75</v>
      </c>
      <c r="O9" s="26">
        <v>100</v>
      </c>
      <c r="P9" s="27">
        <v>150</v>
      </c>
      <c r="Q9" s="28">
        <v>200</v>
      </c>
      <c r="R9" s="29">
        <v>300</v>
      </c>
    </row>
    <row r="10" spans="2:29" x14ac:dyDescent="0.25">
      <c r="B10" s="1" t="s">
        <v>13</v>
      </c>
      <c r="C10" s="7">
        <f>J12</f>
        <v>300</v>
      </c>
      <c r="E10" s="8"/>
      <c r="I10" s="30" t="s">
        <v>11</v>
      </c>
      <c r="J10" s="30">
        <v>300</v>
      </c>
      <c r="L10" s="13">
        <v>900</v>
      </c>
      <c r="M10" s="1">
        <v>1199</v>
      </c>
      <c r="N10" s="25">
        <v>50</v>
      </c>
      <c r="O10" s="26">
        <v>75</v>
      </c>
      <c r="P10" s="27">
        <v>100</v>
      </c>
      <c r="Q10" s="28">
        <v>175</v>
      </c>
      <c r="R10" s="29">
        <v>300</v>
      </c>
    </row>
    <row r="11" spans="2:29" x14ac:dyDescent="0.25">
      <c r="B11" s="1" t="s">
        <v>16</v>
      </c>
      <c r="C11" s="7">
        <f>SUM(C6:C10)</f>
        <v>2503</v>
      </c>
      <c r="E11" s="72" t="s">
        <v>27</v>
      </c>
      <c r="F11" s="73"/>
      <c r="G11" s="74"/>
      <c r="I11" s="30" t="s">
        <v>43</v>
      </c>
      <c r="J11" s="7">
        <v>1460</v>
      </c>
      <c r="L11" s="13">
        <v>1200</v>
      </c>
      <c r="M11" s="1">
        <v>1499</v>
      </c>
      <c r="N11" s="25">
        <v>25</v>
      </c>
      <c r="O11" s="26">
        <v>50</v>
      </c>
      <c r="P11" s="27">
        <v>75</v>
      </c>
      <c r="Q11" s="28">
        <v>125</v>
      </c>
      <c r="R11" s="29">
        <v>300</v>
      </c>
      <c r="Z11"/>
    </row>
    <row r="12" spans="2:29" x14ac:dyDescent="0.25">
      <c r="B12" s="1" t="s">
        <v>19</v>
      </c>
      <c r="C12" s="1" t="str">
        <f>VLOOKUP(C11,M27:O31,3,TRUE)</f>
        <v>Diamond</v>
      </c>
      <c r="D12" s="3"/>
      <c r="E12" s="16" t="s">
        <v>44</v>
      </c>
      <c r="F12" s="17" t="s">
        <v>45</v>
      </c>
      <c r="G12" s="16" t="s">
        <v>2</v>
      </c>
      <c r="I12" s="30" t="s">
        <v>13</v>
      </c>
      <c r="J12" s="30">
        <v>300</v>
      </c>
      <c r="L12" s="13">
        <v>1500</v>
      </c>
      <c r="M12" s="1">
        <v>1799</v>
      </c>
      <c r="N12" s="25">
        <v>10</v>
      </c>
      <c r="O12" s="26">
        <v>25</v>
      </c>
      <c r="P12" s="27">
        <v>50</v>
      </c>
      <c r="Q12" s="28">
        <v>100</v>
      </c>
      <c r="R12" s="29">
        <v>250</v>
      </c>
      <c r="T12" s="2"/>
      <c r="Z12" s="9"/>
    </row>
    <row r="13" spans="2:29" ht="15.75" thickBot="1" x14ac:dyDescent="0.3">
      <c r="B13" s="1" t="s">
        <v>24</v>
      </c>
      <c r="C13" s="31" t="b">
        <v>0</v>
      </c>
      <c r="E13" s="1">
        <v>2</v>
      </c>
      <c r="F13" s="1">
        <v>0</v>
      </c>
      <c r="G13" s="1">
        <f>NightTimeDrive1114514[[#This Row],[Penalty Weight]]*NightTimeDrive1114514[[#This Row],[Duration]]</f>
        <v>0</v>
      </c>
      <c r="I13" s="30" t="s">
        <v>20</v>
      </c>
      <c r="J13" s="30">
        <v>1529</v>
      </c>
      <c r="L13" s="14">
        <v>1800</v>
      </c>
      <c r="M13" s="12">
        <v>1800</v>
      </c>
      <c r="N13" s="32">
        <v>5</v>
      </c>
      <c r="O13" s="33">
        <v>10</v>
      </c>
      <c r="P13" s="34">
        <v>25</v>
      </c>
      <c r="Q13" s="35">
        <v>60</v>
      </c>
      <c r="R13" s="36">
        <v>100</v>
      </c>
      <c r="W13"/>
      <c r="Z13" s="9"/>
      <c r="AA13" s="3"/>
    </row>
    <row r="14" spans="2:29" ht="16.5" thickTop="1" thickBot="1" x14ac:dyDescent="0.3">
      <c r="B14" s="1" t="s">
        <v>20</v>
      </c>
      <c r="C14" s="37">
        <f>J13</f>
        <v>1529</v>
      </c>
      <c r="E14" s="66" t="s">
        <v>46</v>
      </c>
      <c r="F14" s="65">
        <f>SUBTOTAL(109,NightTimeDrive1114514[Duration])</f>
        <v>0</v>
      </c>
      <c r="G14" s="65">
        <f>SUBTOTAL(109,NightTimeDrive1114514[Points])</f>
        <v>0</v>
      </c>
      <c r="I14" s="7" t="s">
        <v>37</v>
      </c>
      <c r="J14" s="7" t="s">
        <v>18</v>
      </c>
      <c r="T14"/>
      <c r="U14"/>
      <c r="V14"/>
      <c r="W14"/>
      <c r="X14"/>
    </row>
    <row r="15" spans="2:29" ht="15.75" thickTop="1" x14ac:dyDescent="0.25">
      <c r="B15" s="1" t="s">
        <v>23</v>
      </c>
      <c r="C15" s="38" t="str">
        <f>_xlfn.CONCAT("Đ",J32*VLOOKUP(C12,O26:P31,2,FALSE)*10)</f>
        <v>Đ7645</v>
      </c>
      <c r="D15" s="4"/>
      <c r="N15" s="72" t="str">
        <f>_xlfn.CONCAT("Distance Points for ",J14)</f>
        <v>Distance Points for Diamond</v>
      </c>
      <c r="O15" s="73"/>
      <c r="P15" s="74"/>
      <c r="T15"/>
      <c r="U15"/>
      <c r="V15" s="10"/>
      <c r="W15"/>
      <c r="X15"/>
      <c r="AA15" s="3"/>
      <c r="AB15" s="3"/>
    </row>
    <row r="16" spans="2:29" x14ac:dyDescent="0.25">
      <c r="B16" s="1" t="s">
        <v>47</v>
      </c>
      <c r="C16" s="37">
        <f>MAX(0,C11-C14)</f>
        <v>974</v>
      </c>
      <c r="I16" s="69" t="s">
        <v>38</v>
      </c>
      <c r="J16" s="69"/>
      <c r="N16" s="18" t="s">
        <v>5</v>
      </c>
      <c r="O16" s="18" t="s">
        <v>6</v>
      </c>
      <c r="P16" s="18" t="s">
        <v>2</v>
      </c>
      <c r="T16"/>
      <c r="U16"/>
      <c r="W16"/>
    </row>
    <row r="17" spans="9:17" ht="14.45" customHeight="1" x14ac:dyDescent="0.25">
      <c r="I17" s="18" t="s">
        <v>30</v>
      </c>
      <c r="J17" s="18" t="s">
        <v>31</v>
      </c>
      <c r="N17" s="1" cm="1">
        <f t="array" ref="N17:N23">DistancePointsStefan615[Lower]</f>
        <v>0</v>
      </c>
      <c r="O17" s="1" cm="1">
        <f t="array" ref="O17:O23">DistancePointsStefan615[Upper]</f>
        <v>299</v>
      </c>
      <c r="P17" s="1" cm="1">
        <f t="array" ref="P17:P23">_xlfn.XLOOKUP(J14,DistancePointsStefan615[#Headers],DistancePointsStefan615[])</f>
        <v>300</v>
      </c>
    </row>
    <row r="18" spans="9:17" x14ac:dyDescent="0.25">
      <c r="I18" s="1" t="s">
        <v>32</v>
      </c>
      <c r="J18" s="1" t="s">
        <v>25</v>
      </c>
      <c r="N18" s="1">
        <v>300</v>
      </c>
      <c r="O18" s="1">
        <v>599</v>
      </c>
      <c r="P18" s="1">
        <v>300</v>
      </c>
    </row>
    <row r="19" spans="9:17" x14ac:dyDescent="0.25">
      <c r="I19" s="1" t="s">
        <v>33</v>
      </c>
      <c r="J19" s="1">
        <v>10</v>
      </c>
      <c r="N19" s="1">
        <v>600</v>
      </c>
      <c r="O19" s="1">
        <v>899</v>
      </c>
      <c r="P19" s="1">
        <v>300</v>
      </c>
    </row>
    <row r="20" spans="9:17" x14ac:dyDescent="0.25">
      <c r="I20" s="1" t="s">
        <v>56</v>
      </c>
      <c r="J20" s="64">
        <v>45805</v>
      </c>
      <c r="N20" s="1">
        <v>900</v>
      </c>
      <c r="O20" s="1">
        <v>1199</v>
      </c>
      <c r="P20" s="1">
        <v>300</v>
      </c>
    </row>
    <row r="21" spans="9:17" x14ac:dyDescent="0.25">
      <c r="N21" s="1">
        <v>1200</v>
      </c>
      <c r="O21" s="1">
        <v>1499</v>
      </c>
      <c r="P21" s="1">
        <v>300</v>
      </c>
    </row>
    <row r="22" spans="9:17" x14ac:dyDescent="0.25">
      <c r="I22" s="72" t="s">
        <v>29</v>
      </c>
      <c r="J22" s="74"/>
      <c r="N22" s="1">
        <v>1500</v>
      </c>
      <c r="O22" s="1">
        <v>1799</v>
      </c>
      <c r="P22" s="1">
        <v>250</v>
      </c>
    </row>
    <row r="23" spans="9:17" x14ac:dyDescent="0.25">
      <c r="I23" s="18" t="s">
        <v>30</v>
      </c>
      <c r="J23" s="18" t="s">
        <v>31</v>
      </c>
      <c r="N23" s="1">
        <v>1800</v>
      </c>
      <c r="O23" s="1">
        <v>1800</v>
      </c>
      <c r="P23" s="1">
        <v>100</v>
      </c>
    </row>
    <row r="24" spans="9:17" x14ac:dyDescent="0.25">
      <c r="I24" s="56" t="s">
        <v>27</v>
      </c>
      <c r="J24" s="59">
        <f>MAX(0,300-NightTimeDrive1114514[[#Totals],[Points]])</f>
        <v>300</v>
      </c>
    </row>
    <row r="25" spans="9:17" x14ac:dyDescent="0.25">
      <c r="I25" s="57" t="s">
        <v>34</v>
      </c>
      <c r="J25" s="60" t="str">
        <f>IF( AND( J9&lt;=J24+J19, J9&gt;=J24-J19 ), "Extract", "Calculate")</f>
        <v>Calculate</v>
      </c>
      <c r="M25" s="69" t="s">
        <v>3</v>
      </c>
      <c r="N25" s="69"/>
      <c r="O25" s="69"/>
      <c r="P25" s="69"/>
      <c r="Q25" s="69"/>
    </row>
    <row r="26" spans="9:17" x14ac:dyDescent="0.25">
      <c r="I26" s="58" t="str">
        <f>_xlfn.CONCAT("Days ",TEXT(J20, "mmm yyyy"))</f>
        <v>Days May 2025</v>
      </c>
      <c r="J26" s="61">
        <f>DAY(EOMONTH(J20, 0))</f>
        <v>31</v>
      </c>
      <c r="M26" s="18" t="s">
        <v>5</v>
      </c>
      <c r="N26" s="18" t="s">
        <v>6</v>
      </c>
      <c r="O26" s="18" t="s">
        <v>7</v>
      </c>
      <c r="P26" s="18" t="s">
        <v>8</v>
      </c>
      <c r="Q26" s="18" t="s">
        <v>48</v>
      </c>
    </row>
    <row r="27" spans="9:17" x14ac:dyDescent="0.25">
      <c r="I27" s="58" t="s">
        <v>35</v>
      </c>
      <c r="J27" s="61">
        <f>DAY(J20)-1</f>
        <v>27</v>
      </c>
      <c r="M27" s="39">
        <v>0</v>
      </c>
      <c r="N27" s="25">
        <v>799</v>
      </c>
      <c r="O27" s="25" t="s">
        <v>10</v>
      </c>
      <c r="P27" s="40">
        <v>0.05</v>
      </c>
      <c r="Q27" s="41" t="s">
        <v>49</v>
      </c>
    </row>
    <row r="28" spans="9:17" x14ac:dyDescent="0.25">
      <c r="I28" s="57" t="s">
        <v>36</v>
      </c>
      <c r="J28" s="60">
        <f>J26-J27</f>
        <v>4</v>
      </c>
      <c r="M28" s="42">
        <v>800</v>
      </c>
      <c r="N28" s="26">
        <v>1599</v>
      </c>
      <c r="O28" s="26" t="s">
        <v>12</v>
      </c>
      <c r="P28" s="43">
        <v>0.1</v>
      </c>
      <c r="Q28" s="44" t="s">
        <v>50</v>
      </c>
    </row>
    <row r="29" spans="9:17" x14ac:dyDescent="0.25">
      <c r="I29" s="56" t="s">
        <v>39</v>
      </c>
      <c r="J29" s="62">
        <f>C11-VLOOKUP(C11,M27:O31,1,TRUE)</f>
        <v>3</v>
      </c>
      <c r="M29" s="45">
        <v>1600</v>
      </c>
      <c r="N29" s="27">
        <v>2199</v>
      </c>
      <c r="O29" s="27" t="s">
        <v>15</v>
      </c>
      <c r="P29" s="46">
        <v>0.2</v>
      </c>
      <c r="Q29" s="47" t="s">
        <v>51</v>
      </c>
    </row>
    <row r="30" spans="9:17" x14ac:dyDescent="0.25">
      <c r="I30" s="58" t="s">
        <v>40</v>
      </c>
      <c r="J30" s="63">
        <f>MAX(0,C9-J29)</f>
        <v>297</v>
      </c>
      <c r="M30" s="48">
        <v>2200</v>
      </c>
      <c r="N30" s="49">
        <v>2499</v>
      </c>
      <c r="O30" s="49" t="s">
        <v>17</v>
      </c>
      <c r="P30" s="50">
        <v>0.35</v>
      </c>
      <c r="Q30" s="51" t="s">
        <v>52</v>
      </c>
    </row>
    <row r="31" spans="9:17" x14ac:dyDescent="0.25">
      <c r="I31" s="57" t="s">
        <v>41</v>
      </c>
      <c r="J31" s="60" cm="1">
        <f t="array" ref="J31">MAX(_xlfn._xlws.FILTER(_xlfn.ANCHORARRAY(O17),_xlfn.ANCHORARRAY( P17)&gt;=J30))</f>
        <v>1499</v>
      </c>
      <c r="M31" s="52">
        <v>2500</v>
      </c>
      <c r="N31" s="53">
        <v>3000</v>
      </c>
      <c r="O31" s="53" t="s">
        <v>18</v>
      </c>
      <c r="P31" s="54">
        <v>0.5</v>
      </c>
      <c r="Q31" s="55" t="s">
        <v>54</v>
      </c>
    </row>
    <row r="32" spans="9:17" x14ac:dyDescent="0.25">
      <c r="I32" s="11" t="s">
        <v>53</v>
      </c>
      <c r="J32" s="7">
        <f>MIN(C14,C11)</f>
        <v>1529</v>
      </c>
    </row>
    <row r="33" spans="9:10" x14ac:dyDescent="0.25">
      <c r="I33" s="11" t="s">
        <v>55</v>
      </c>
      <c r="J33" s="7">
        <f>SUM(J7:J10,J12)</f>
        <v>2285</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$J$14="Blue"</formula>
    </cfRule>
    <cfRule type="expression" dxfId="13" priority="7">
      <formula>$J$14="Bronze"</formula>
    </cfRule>
    <cfRule type="expression" dxfId="12" priority="8">
      <formula>$J$14="Silver"</formula>
    </cfRule>
    <cfRule type="expression" dxfId="11" priority="9">
      <formula>$J$14="Gold"</formula>
    </cfRule>
    <cfRule type="expression" dxfId="1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AB1647A5-D114-4E28-9EB1-2F7F1BA25B63}"/>
  </dataValidations>
  <pageMargins left="0.7" right="0.7" top="0.75" bottom="0.75" header="0.3" footer="0.3"/>
  <pageSetup scale="32"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3901-51A7-4350-B00B-1DB29EEA02DE}">
  <sheetPr codeName="Sheet5">
    <pageSetUpPr fitToPage="1"/>
  </sheetPr>
  <dimension ref="B2:AC33"/>
  <sheetViews>
    <sheetView zoomScaleNormal="100" workbookViewId="0">
      <selection activeCell="W9" sqref="W9"/>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hidden="1" customWidth="1"/>
    <col min="10" max="10" width="10.7109375" style="2" hidden="1" customWidth="1"/>
    <col min="11" max="11" width="2.7109375" style="2" hidden="1" customWidth="1"/>
    <col min="12" max="14" width="9.7109375" style="2" hidden="1" customWidth="1"/>
    <col min="15" max="15" width="10.5703125" style="2" hidden="1" customWidth="1"/>
    <col min="16" max="17" width="9.7109375" style="2" hidden="1" customWidth="1"/>
    <col min="18" max="18" width="11.42578125" style="2" hidden="1" customWidth="1"/>
    <col min="19" max="19" width="2.7109375" style="2" hidden="1"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70" t="str">
        <f>_xlfn.CONCAT("Drive Summary ",J18, " ",TEXT(J20, "mmmm yyyy"))</f>
        <v>Drive Summary Derrick May 2025</v>
      </c>
      <c r="C2" s="70"/>
      <c r="D2" s="70"/>
      <c r="E2" s="70"/>
      <c r="F2" s="70"/>
      <c r="G2" s="70"/>
      <c r="H2" s="15"/>
    </row>
    <row r="3" spans="2:29" ht="14.45" customHeight="1" x14ac:dyDescent="0.25">
      <c r="B3" s="70"/>
      <c r="C3" s="70"/>
      <c r="D3" s="70"/>
      <c r="E3" s="70"/>
      <c r="F3" s="70"/>
      <c r="G3" s="70"/>
      <c r="H3" s="15"/>
    </row>
    <row r="5" spans="2:29" x14ac:dyDescent="0.25">
      <c r="B5" s="16" t="s">
        <v>30</v>
      </c>
      <c r="C5" s="17" t="s">
        <v>31</v>
      </c>
      <c r="D5"/>
      <c r="E5" s="16" t="str">
        <f ca="1">TEXT(TODAY(), "mmmm yyyy")</f>
        <v>May 2025</v>
      </c>
      <c r="F5" s="16" t="s">
        <v>1</v>
      </c>
      <c r="G5" s="18" t="s">
        <v>2</v>
      </c>
      <c r="I5" s="69" t="s">
        <v>28</v>
      </c>
      <c r="J5" s="69"/>
      <c r="L5" s="69" t="s">
        <v>11</v>
      </c>
      <c r="M5" s="69"/>
      <c r="N5" s="69"/>
      <c r="O5" s="69"/>
      <c r="P5" s="69"/>
      <c r="Q5" s="69"/>
      <c r="R5" s="69"/>
      <c r="AB5" s="71"/>
      <c r="AC5" s="71"/>
    </row>
    <row r="6" spans="2:29" x14ac:dyDescent="0.25">
      <c r="B6" s="1" t="s">
        <v>0</v>
      </c>
      <c r="C6" s="7">
        <f>MIN(1500, IF($C$13,G7,G6+G9))</f>
        <v>1500</v>
      </c>
      <c r="E6" s="1" t="s">
        <v>57</v>
      </c>
      <c r="F6" s="7">
        <f>J11</f>
        <v>1629</v>
      </c>
      <c r="G6" s="19">
        <f>J7</f>
        <v>1333</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300</v>
      </c>
      <c r="D7" s="3"/>
      <c r="E7" s="1" t="s">
        <v>42</v>
      </c>
      <c r="F7" s="7">
        <f>F6/J27*J26</f>
        <v>1870.3333333333335</v>
      </c>
      <c r="G7" s="7">
        <f>G6/J27*J26</f>
        <v>1530.4814814814815</v>
      </c>
      <c r="I7" s="7" t="s">
        <v>0</v>
      </c>
      <c r="J7" s="7">
        <v>1333</v>
      </c>
      <c r="L7" s="13">
        <v>0</v>
      </c>
      <c r="M7" s="1">
        <v>299</v>
      </c>
      <c r="N7" s="25">
        <v>300</v>
      </c>
      <c r="O7" s="26">
        <v>300</v>
      </c>
      <c r="P7" s="27">
        <v>300</v>
      </c>
      <c r="Q7" s="28">
        <v>300</v>
      </c>
      <c r="R7" s="29">
        <v>300</v>
      </c>
      <c r="AB7" s="3"/>
    </row>
    <row r="8" spans="2:29" ht="15" customHeight="1" thickBot="1" x14ac:dyDescent="0.3">
      <c r="B8" s="1" t="s">
        <v>9</v>
      </c>
      <c r="C8" s="7">
        <f>IF( AND( J9&lt;=J24+J19, J9&gt;=J24-J19 ), J9, J24)</f>
        <v>300</v>
      </c>
      <c r="E8" s="1" t="s">
        <v>14</v>
      </c>
      <c r="F8" s="6">
        <f>F6/J27</f>
        <v>60.333333333333336</v>
      </c>
      <c r="G8" s="6">
        <f>G6/J27</f>
        <v>49.370370370370374</v>
      </c>
      <c r="I8" s="30" t="s">
        <v>4</v>
      </c>
      <c r="J8" s="7">
        <v>300</v>
      </c>
      <c r="L8" s="13">
        <v>300</v>
      </c>
      <c r="M8" s="1">
        <v>599</v>
      </c>
      <c r="N8" s="25">
        <v>100</v>
      </c>
      <c r="O8" s="26">
        <v>150</v>
      </c>
      <c r="P8" s="27">
        <v>200</v>
      </c>
      <c r="Q8" s="28">
        <v>250</v>
      </c>
      <c r="R8" s="29">
        <v>300</v>
      </c>
    </row>
    <row r="9" spans="2:29" ht="15.75" thickTop="1" x14ac:dyDescent="0.25">
      <c r="B9" s="1" t="s">
        <v>11</v>
      </c>
      <c r="C9" s="7">
        <f>VLOOKUP(IF(C13,F7,F6),N17:P23,3)</f>
        <v>100</v>
      </c>
      <c r="E9" s="68" t="s">
        <v>21</v>
      </c>
      <c r="F9" s="67">
        <f>IF(J31&gt;=M13, "Unlimited", J31-F6)</f>
        <v>170</v>
      </c>
      <c r="G9" s="67">
        <f>50*J28 + IF(J26&lt;30,(30-J26)*G8,0)</f>
        <v>200</v>
      </c>
      <c r="I9" s="30" t="s">
        <v>27</v>
      </c>
      <c r="J9" s="7">
        <v>288</v>
      </c>
      <c r="L9" s="13">
        <v>600</v>
      </c>
      <c r="M9" s="1">
        <v>899</v>
      </c>
      <c r="N9" s="25">
        <v>75</v>
      </c>
      <c r="O9" s="26">
        <v>100</v>
      </c>
      <c r="P9" s="27">
        <v>150</v>
      </c>
      <c r="Q9" s="28">
        <v>200</v>
      </c>
      <c r="R9" s="29">
        <v>300</v>
      </c>
    </row>
    <row r="10" spans="2:29" x14ac:dyDescent="0.25">
      <c r="B10" s="1" t="s">
        <v>13</v>
      </c>
      <c r="C10" s="7">
        <f>J12</f>
        <v>300</v>
      </c>
      <c r="E10" s="8"/>
      <c r="I10" s="30" t="s">
        <v>11</v>
      </c>
      <c r="J10" s="30">
        <v>60</v>
      </c>
      <c r="L10" s="13">
        <v>900</v>
      </c>
      <c r="M10" s="1">
        <v>1199</v>
      </c>
      <c r="N10" s="25">
        <v>50</v>
      </c>
      <c r="O10" s="26">
        <v>75</v>
      </c>
      <c r="P10" s="27">
        <v>100</v>
      </c>
      <c r="Q10" s="28">
        <v>175</v>
      </c>
      <c r="R10" s="29">
        <v>300</v>
      </c>
    </row>
    <row r="11" spans="2:29" x14ac:dyDescent="0.25">
      <c r="B11" s="1" t="s">
        <v>16</v>
      </c>
      <c r="C11" s="7">
        <f>SUM(C6:C10)</f>
        <v>2500</v>
      </c>
      <c r="E11" s="72" t="s">
        <v>27</v>
      </c>
      <c r="F11" s="73"/>
      <c r="G11" s="74"/>
      <c r="I11" s="30" t="s">
        <v>43</v>
      </c>
      <c r="J11" s="7">
        <v>1629</v>
      </c>
      <c r="L11" s="13">
        <v>1200</v>
      </c>
      <c r="M11" s="1">
        <v>1499</v>
      </c>
      <c r="N11" s="25">
        <v>25</v>
      </c>
      <c r="O11" s="26">
        <v>50</v>
      </c>
      <c r="P11" s="27">
        <v>75</v>
      </c>
      <c r="Q11" s="28">
        <v>125</v>
      </c>
      <c r="R11" s="29">
        <v>300</v>
      </c>
      <c r="Z11"/>
    </row>
    <row r="12" spans="2:29" x14ac:dyDescent="0.25">
      <c r="B12" s="1" t="s">
        <v>19</v>
      </c>
      <c r="C12" s="1" t="str">
        <f>VLOOKUP(C11,M27:O31,3,TRUE)</f>
        <v>Diamond</v>
      </c>
      <c r="D12" s="3"/>
      <c r="E12" s="16" t="s">
        <v>44</v>
      </c>
      <c r="F12" s="17" t="s">
        <v>45</v>
      </c>
      <c r="G12" s="16" t="s">
        <v>2</v>
      </c>
      <c r="I12" s="30" t="s">
        <v>13</v>
      </c>
      <c r="J12" s="30">
        <v>300</v>
      </c>
      <c r="L12" s="13">
        <v>1500</v>
      </c>
      <c r="M12" s="1">
        <v>1799</v>
      </c>
      <c r="N12" s="25">
        <v>10</v>
      </c>
      <c r="O12" s="26">
        <v>25</v>
      </c>
      <c r="P12" s="27">
        <v>50</v>
      </c>
      <c r="Q12" s="28">
        <v>100</v>
      </c>
      <c r="R12" s="29">
        <v>250</v>
      </c>
      <c r="T12" s="2"/>
      <c r="Z12" s="9"/>
    </row>
    <row r="13" spans="2:29" ht="15.75" thickBot="1" x14ac:dyDescent="0.3">
      <c r="B13" s="1" t="s">
        <v>24</v>
      </c>
      <c r="C13" s="31" t="b">
        <v>0</v>
      </c>
      <c r="E13" s="1">
        <v>2</v>
      </c>
      <c r="F13" s="1">
        <v>0</v>
      </c>
      <c r="G13" s="1">
        <f>NightTimeDrive111428[[#This Row],[Penalty Weight]]*NightTimeDrive111428[[#This Row],[Duration]]</f>
        <v>0</v>
      </c>
      <c r="I13" s="30" t="s">
        <v>20</v>
      </c>
      <c r="J13" s="30">
        <v>2213.4699999999998</v>
      </c>
      <c r="L13" s="14">
        <v>1800</v>
      </c>
      <c r="M13" s="12">
        <v>1800</v>
      </c>
      <c r="N13" s="32">
        <v>5</v>
      </c>
      <c r="O13" s="33">
        <v>10</v>
      </c>
      <c r="P13" s="34">
        <v>25</v>
      </c>
      <c r="Q13" s="35">
        <v>60</v>
      </c>
      <c r="R13" s="36">
        <v>100</v>
      </c>
      <c r="W13"/>
      <c r="Z13" s="9"/>
      <c r="AA13" s="3"/>
    </row>
    <row r="14" spans="2:29" ht="16.5" thickTop="1" thickBot="1" x14ac:dyDescent="0.3">
      <c r="B14" s="1" t="s">
        <v>20</v>
      </c>
      <c r="C14" s="37">
        <f>J13</f>
        <v>2213.4699999999998</v>
      </c>
      <c r="E14" s="66" t="s">
        <v>46</v>
      </c>
      <c r="F14" s="65">
        <f>SUBTOTAL(109,NightTimeDrive111428[Duration])</f>
        <v>0</v>
      </c>
      <c r="G14" s="65">
        <f>SUBTOTAL(109,NightTimeDrive111428[Points])</f>
        <v>0</v>
      </c>
      <c r="I14" s="7" t="s">
        <v>37</v>
      </c>
      <c r="J14" s="7" t="s">
        <v>17</v>
      </c>
      <c r="T14"/>
      <c r="U14"/>
      <c r="V14"/>
      <c r="W14"/>
      <c r="X14"/>
    </row>
    <row r="15" spans="2:29" ht="15.75" thickTop="1" x14ac:dyDescent="0.25">
      <c r="B15" s="1" t="s">
        <v>23</v>
      </c>
      <c r="C15" s="38" t="str">
        <f>_xlfn.CONCAT("Đ",J32*VLOOKUP(C12,O26:P31,2,FALSE)*10)</f>
        <v>Đ11067.35</v>
      </c>
      <c r="D15" s="4"/>
      <c r="N15" s="72" t="str">
        <f>_xlfn.CONCAT("Distance Points for ",J14)</f>
        <v>Distance Points for Gold</v>
      </c>
      <c r="O15" s="73"/>
      <c r="P15" s="74"/>
      <c r="T15"/>
      <c r="U15"/>
      <c r="V15" s="10"/>
      <c r="W15"/>
      <c r="X15"/>
      <c r="AA15" s="3"/>
      <c r="AB15" s="3"/>
    </row>
    <row r="16" spans="2:29" x14ac:dyDescent="0.25">
      <c r="B16" s="1" t="s">
        <v>47</v>
      </c>
      <c r="C16" s="37">
        <f>MAX(0,C11-C14)</f>
        <v>286.5300000000002</v>
      </c>
      <c r="I16" s="69" t="s">
        <v>38</v>
      </c>
      <c r="J16" s="69"/>
      <c r="N16" s="18" t="s">
        <v>5</v>
      </c>
      <c r="O16" s="18" t="s">
        <v>6</v>
      </c>
      <c r="P16" s="18" t="s">
        <v>2</v>
      </c>
      <c r="T16"/>
      <c r="U16"/>
      <c r="W16"/>
    </row>
    <row r="17" spans="9:17" ht="14.45" customHeight="1" x14ac:dyDescent="0.25">
      <c r="I17" s="18" t="s">
        <v>30</v>
      </c>
      <c r="J17" s="18" t="s">
        <v>31</v>
      </c>
      <c r="N17" s="1" cm="1">
        <f t="array" ref="N17:N23">DistancePointsStefan39[Lower]</f>
        <v>0</v>
      </c>
      <c r="O17" s="1" cm="1">
        <f t="array" ref="O17:O23">DistancePointsStefan39[Upper]</f>
        <v>299</v>
      </c>
      <c r="P17" s="1" cm="1">
        <f t="array" ref="P17:P23">_xlfn.XLOOKUP(J14,DistancePointsStefan39[#Headers],DistancePointsStefan39[])</f>
        <v>300</v>
      </c>
    </row>
    <row r="18" spans="9:17" x14ac:dyDescent="0.25">
      <c r="I18" s="1" t="s">
        <v>32</v>
      </c>
      <c r="J18" s="1" t="s">
        <v>26</v>
      </c>
      <c r="N18" s="1">
        <v>300</v>
      </c>
      <c r="O18" s="1">
        <v>599</v>
      </c>
      <c r="P18" s="1">
        <v>250</v>
      </c>
    </row>
    <row r="19" spans="9:17" x14ac:dyDescent="0.25">
      <c r="I19" s="1" t="s">
        <v>33</v>
      </c>
      <c r="J19" s="1">
        <v>10</v>
      </c>
      <c r="N19" s="1">
        <v>600</v>
      </c>
      <c r="O19" s="1">
        <v>899</v>
      </c>
      <c r="P19" s="1">
        <v>200</v>
      </c>
    </row>
    <row r="20" spans="9:17" x14ac:dyDescent="0.25">
      <c r="I20" s="1" t="s">
        <v>56</v>
      </c>
      <c r="J20" s="64">
        <v>45805</v>
      </c>
      <c r="N20" s="1">
        <v>900</v>
      </c>
      <c r="O20" s="1">
        <v>1199</v>
      </c>
      <c r="P20" s="1">
        <v>175</v>
      </c>
    </row>
    <row r="21" spans="9:17" x14ac:dyDescent="0.25">
      <c r="N21" s="1">
        <v>1200</v>
      </c>
      <c r="O21" s="1">
        <v>1499</v>
      </c>
      <c r="P21" s="1">
        <v>125</v>
      </c>
    </row>
    <row r="22" spans="9:17" x14ac:dyDescent="0.25">
      <c r="I22" s="72" t="s">
        <v>29</v>
      </c>
      <c r="J22" s="74"/>
      <c r="N22" s="1">
        <v>1500</v>
      </c>
      <c r="O22" s="1">
        <v>1799</v>
      </c>
      <c r="P22" s="1">
        <v>100</v>
      </c>
    </row>
    <row r="23" spans="9:17" x14ac:dyDescent="0.25">
      <c r="I23" s="18" t="s">
        <v>30</v>
      </c>
      <c r="J23" s="18" t="s">
        <v>31</v>
      </c>
      <c r="N23" s="1">
        <v>1800</v>
      </c>
      <c r="O23" s="1">
        <v>1800</v>
      </c>
      <c r="P23" s="1">
        <v>60</v>
      </c>
    </row>
    <row r="24" spans="9:17" x14ac:dyDescent="0.25">
      <c r="I24" s="56" t="s">
        <v>27</v>
      </c>
      <c r="J24" s="59">
        <f>MAX(0,300-NightTimeDrive111428[[#Totals],[Points]])</f>
        <v>300</v>
      </c>
    </row>
    <row r="25" spans="9:17" x14ac:dyDescent="0.25">
      <c r="I25" s="57" t="s">
        <v>34</v>
      </c>
      <c r="J25" s="60" t="str">
        <f>IF( AND( J9&lt;=J24+J19, J9&gt;=J24-J19 ), "Extract", "Calculate")</f>
        <v>Calculate</v>
      </c>
      <c r="M25" s="69" t="s">
        <v>3</v>
      </c>
      <c r="N25" s="69"/>
      <c r="O25" s="69"/>
      <c r="P25" s="69"/>
      <c r="Q25" s="69"/>
    </row>
    <row r="26" spans="9:17" x14ac:dyDescent="0.25">
      <c r="I26" s="58" t="str">
        <f>_xlfn.CONCAT("Days ",TEXT(J20, "mmm yyyy"))</f>
        <v>Days May 2025</v>
      </c>
      <c r="J26" s="61">
        <f>DAY(EOMONTH(J20, 0))</f>
        <v>31</v>
      </c>
      <c r="M26" s="18" t="s">
        <v>5</v>
      </c>
      <c r="N26" s="18" t="s">
        <v>6</v>
      </c>
      <c r="O26" s="18" t="s">
        <v>7</v>
      </c>
      <c r="P26" s="18" t="s">
        <v>8</v>
      </c>
      <c r="Q26" s="18" t="s">
        <v>48</v>
      </c>
    </row>
    <row r="27" spans="9:17" x14ac:dyDescent="0.25">
      <c r="I27" s="58" t="s">
        <v>35</v>
      </c>
      <c r="J27" s="61">
        <f>DAY(J20)-1</f>
        <v>27</v>
      </c>
      <c r="M27" s="39">
        <v>0</v>
      </c>
      <c r="N27" s="25">
        <v>799</v>
      </c>
      <c r="O27" s="25" t="s">
        <v>10</v>
      </c>
      <c r="P27" s="40">
        <v>0.05</v>
      </c>
      <c r="Q27" s="41" t="s">
        <v>49</v>
      </c>
    </row>
    <row r="28" spans="9:17" x14ac:dyDescent="0.25">
      <c r="I28" s="57" t="s">
        <v>36</v>
      </c>
      <c r="J28" s="60">
        <f>J26-J27</f>
        <v>4</v>
      </c>
      <c r="M28" s="42">
        <v>800</v>
      </c>
      <c r="N28" s="26">
        <v>1599</v>
      </c>
      <c r="O28" s="26" t="s">
        <v>12</v>
      </c>
      <c r="P28" s="43">
        <v>0.1</v>
      </c>
      <c r="Q28" s="44" t="s">
        <v>50</v>
      </c>
    </row>
    <row r="29" spans="9:17" x14ac:dyDescent="0.25">
      <c r="I29" s="56" t="s">
        <v>39</v>
      </c>
      <c r="J29" s="62">
        <f>C11-VLOOKUP(C11,M27:O31,1,TRUE)</f>
        <v>0</v>
      </c>
      <c r="M29" s="45">
        <v>1600</v>
      </c>
      <c r="N29" s="27">
        <v>2199</v>
      </c>
      <c r="O29" s="27" t="s">
        <v>15</v>
      </c>
      <c r="P29" s="46">
        <v>0.2</v>
      </c>
      <c r="Q29" s="47" t="s">
        <v>51</v>
      </c>
    </row>
    <row r="30" spans="9:17" x14ac:dyDescent="0.25">
      <c r="I30" s="58" t="s">
        <v>40</v>
      </c>
      <c r="J30" s="63">
        <f>MAX(0,C9-J29)</f>
        <v>100</v>
      </c>
      <c r="M30" s="48">
        <v>2200</v>
      </c>
      <c r="N30" s="49">
        <v>2499</v>
      </c>
      <c r="O30" s="49" t="s">
        <v>17</v>
      </c>
      <c r="P30" s="50">
        <v>0.35</v>
      </c>
      <c r="Q30" s="51" t="s">
        <v>52</v>
      </c>
    </row>
    <row r="31" spans="9:17" x14ac:dyDescent="0.25">
      <c r="I31" s="57" t="s">
        <v>41</v>
      </c>
      <c r="J31" s="60" cm="1">
        <f t="array" ref="J31">MAX(_xlfn._xlws.FILTER(_xlfn.ANCHORARRAY(O17),_xlfn.ANCHORARRAY( P17)&gt;=J30))</f>
        <v>1799</v>
      </c>
      <c r="M31" s="52">
        <v>2500</v>
      </c>
      <c r="N31" s="53">
        <v>3000</v>
      </c>
      <c r="O31" s="53" t="s">
        <v>18</v>
      </c>
      <c r="P31" s="54">
        <v>0.5</v>
      </c>
      <c r="Q31" s="55" t="s">
        <v>54</v>
      </c>
    </row>
    <row r="32" spans="9:17" x14ac:dyDescent="0.25">
      <c r="I32" s="11" t="s">
        <v>53</v>
      </c>
      <c r="J32" s="7">
        <f>MIN(C14,C11)</f>
        <v>2213.4699999999998</v>
      </c>
    </row>
    <row r="33" spans="9:10" x14ac:dyDescent="0.25">
      <c r="I33" s="11" t="s">
        <v>55</v>
      </c>
      <c r="J33" s="7">
        <f>SUM(J7:J10,J12)</f>
        <v>2281</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$J$14="Blue"</formula>
    </cfRule>
    <cfRule type="expression" dxfId="3" priority="7">
      <formula>$J$14="Bronze"</formula>
    </cfRule>
    <cfRule type="expression" dxfId="2" priority="8">
      <formula>$J$14="Silver"</formula>
    </cfRule>
    <cfRule type="expression" dxfId="1" priority="9">
      <formula>$J$14="Gold"</formula>
    </cfRule>
    <cfRule type="expression" dxfId="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815615A1-C8C6-4A56-A8F9-8A1A10A9990B}"/>
  </dataValidations>
  <pageMargins left="0.7" right="0.7" top="0.75" bottom="0.75" header="0.3" footer="0.3"/>
  <pageSetup scale="32"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Christiaan Oberholzer</dc:creator>
  <cp:keywords/>
  <dc:description/>
  <cp:lastModifiedBy>Stefan Oberholzer</cp:lastModifiedBy>
  <cp:revision/>
  <cp:lastPrinted>2024-09-30T18:20:25Z</cp:lastPrinted>
  <dcterms:created xsi:type="dcterms:W3CDTF">2023-09-18T15:21:34Z</dcterms:created>
  <dcterms:modified xsi:type="dcterms:W3CDTF">2025-05-30T11:12:02Z</dcterms:modified>
  <cp:category/>
  <cp:contentStatus/>
</cp:coreProperties>
</file>