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3bccd6dbaea2b/GitGud/ExcelDriveSummary/"/>
    </mc:Choice>
  </mc:AlternateContent>
  <xr:revisionPtr revIDLastSave="416" documentId="13_ncr:1_{3A17151E-37E9-4B2A-B0B5-F67B46E403E1}" xr6:coauthVersionLast="47" xr6:coauthVersionMax="47" xr10:uidLastSave="{1C7B2E57-F8BE-4FF7-9BBC-7D5A03D5FEE7}"/>
  <bookViews>
    <workbookView xWindow="-120" yWindow="-120" windowWidth="20730" windowHeight="11040" xr2:uid="{B12B6E18-E294-4985-A977-422328ADD677}"/>
  </bookViews>
  <sheets>
    <sheet name="Stefan" sheetId="15" r:id="rId1"/>
    <sheet name="Christiaan" sheetId="16" r:id="rId2"/>
    <sheet name="Derrick" sheetId="17" r:id="rId3"/>
  </sheets>
  <definedNames>
    <definedName name="Username" localSheetId="1">Christiaan!$M$12</definedName>
    <definedName name="Username" localSheetId="2">Derrick!$M$12</definedName>
    <definedName name="Username" localSheetId="0">Stefan!$M$12</definedName>
    <definedName name="Usernam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7" l="1"/>
  <c r="F10" i="17" s="1"/>
  <c r="M18" i="17"/>
  <c r="L18" i="17"/>
  <c r="S17" i="17" a="1"/>
  <c r="R17" i="17" a="1"/>
  <c r="R17" i="17" s="1"/>
  <c r="Q17" i="17" a="1"/>
  <c r="Q17" i="17" s="1"/>
  <c r="Q15" i="17"/>
  <c r="J13" i="17"/>
  <c r="J12" i="17"/>
  <c r="M15" i="17" s="1"/>
  <c r="E5" i="17"/>
  <c r="B2" i="17"/>
  <c r="M19" i="16"/>
  <c r="F10" i="16" s="1"/>
  <c r="M18" i="16"/>
  <c r="L18" i="16"/>
  <c r="S17" i="16" a="1"/>
  <c r="C8" i="16" s="1"/>
  <c r="R17" i="16" a="1"/>
  <c r="R17" i="16" s="1"/>
  <c r="Q17" i="16" a="1"/>
  <c r="Q17" i="16" s="1"/>
  <c r="Q15" i="16"/>
  <c r="J13" i="16"/>
  <c r="J12" i="16"/>
  <c r="M15" i="16" s="1"/>
  <c r="E5" i="16"/>
  <c r="B2" i="16"/>
  <c r="M19" i="15"/>
  <c r="F10" i="15" s="1"/>
  <c r="M18" i="15"/>
  <c r="L18" i="15"/>
  <c r="S17" i="15" a="1"/>
  <c r="R17" i="15" a="1"/>
  <c r="R17" i="15" s="1"/>
  <c r="Q17" i="15" a="1"/>
  <c r="Q17" i="15" s="1"/>
  <c r="Q15" i="15"/>
  <c r="J13" i="15"/>
  <c r="J12" i="15"/>
  <c r="M15" i="15" s="1"/>
  <c r="E5" i="15"/>
  <c r="B2" i="15"/>
  <c r="C8" i="17" l="1"/>
  <c r="M20" i="17"/>
  <c r="G13" i="17" s="1"/>
  <c r="C5" i="17" s="1"/>
  <c r="C10" i="17" s="1"/>
  <c r="G10" i="17"/>
  <c r="M16" i="17"/>
  <c r="C7" i="17"/>
  <c r="S17" i="17"/>
  <c r="G10" i="16"/>
  <c r="F7" i="17"/>
  <c r="G7" i="17"/>
  <c r="M20" i="15"/>
  <c r="G13" i="15" s="1"/>
  <c r="C5" i="15" s="1"/>
  <c r="M20" i="16"/>
  <c r="G13" i="16" s="1"/>
  <c r="C5" i="16" s="1"/>
  <c r="C7" i="16"/>
  <c r="M16" i="16"/>
  <c r="S17" i="16"/>
  <c r="G7" i="16"/>
  <c r="F7" i="16"/>
  <c r="G10" i="15"/>
  <c r="M16" i="15"/>
  <c r="C7" i="15"/>
  <c r="S17" i="15"/>
  <c r="G7" i="15"/>
  <c r="F7" i="15"/>
  <c r="C8" i="15" l="1"/>
  <c r="C10" i="15" s="1"/>
  <c r="M22" i="15" s="1"/>
  <c r="M23" i="15" s="1"/>
  <c r="M24" i="15" s="1" a="1"/>
  <c r="M24" i="15" s="1"/>
  <c r="F13" i="15" s="1"/>
  <c r="C10" i="16"/>
  <c r="M22" i="16" s="1"/>
  <c r="M23" i="16" s="1"/>
  <c r="M24" i="16" s="1" a="1"/>
  <c r="M24" i="16" s="1"/>
  <c r="F13" i="16" s="1"/>
  <c r="M22" i="17"/>
  <c r="M23" i="17" s="1"/>
  <c r="M24" i="17" s="1" a="1"/>
  <c r="M24" i="17" s="1"/>
  <c r="F13" i="17" s="1"/>
  <c r="C12" i="17"/>
  <c r="C14" i="17" s="1"/>
  <c r="C12" i="16" l="1"/>
  <c r="C14" i="16" s="1"/>
  <c r="C12" i="15"/>
  <c r="C14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<sst xmlns="http://schemas.openxmlformats.org/spreadsheetml/2006/main" count="210" uniqueCount="48">
  <si>
    <t>Driving Profile</t>
  </si>
  <si>
    <t>Distance</t>
  </si>
  <si>
    <t>Points</t>
  </si>
  <si>
    <t>Driving Status</t>
  </si>
  <si>
    <t>Claim Free Years</t>
  </si>
  <si>
    <t>Actual</t>
  </si>
  <si>
    <t>Lower</t>
  </si>
  <si>
    <t>Upper</t>
  </si>
  <si>
    <t>Category</t>
  </si>
  <si>
    <t>Fuel %</t>
  </si>
  <si>
    <t>Night Time Driving</t>
  </si>
  <si>
    <t>Prediction</t>
  </si>
  <si>
    <t>Blue</t>
  </si>
  <si>
    <t>Distance Points</t>
  </si>
  <si>
    <t>Bronze</t>
  </si>
  <si>
    <t>MultiPoint Check</t>
  </si>
  <si>
    <t>Daily Average</t>
  </si>
  <si>
    <t>Silver</t>
  </si>
  <si>
    <t>Accumulated Points</t>
  </si>
  <si>
    <t>Gold</t>
  </si>
  <si>
    <t>Diamond</t>
  </si>
  <si>
    <t>Vitality Drive Status</t>
  </si>
  <si>
    <t>Qualifying Fuel Spend</t>
  </si>
  <si>
    <t>Remaining</t>
  </si>
  <si>
    <t>Stefan</t>
  </si>
  <si>
    <t>Fuel Cash Back in Miles</t>
  </si>
  <si>
    <t>Predict Status</t>
  </si>
  <si>
    <t>Christiaan</t>
  </si>
  <si>
    <t>Derrick</t>
  </si>
  <si>
    <t>Night Time Drive</t>
  </si>
  <si>
    <t>Extracted Data</t>
  </si>
  <si>
    <t>Time</t>
  </si>
  <si>
    <t>Calculated Data</t>
  </si>
  <si>
    <t>Description</t>
  </si>
  <si>
    <t>Value</t>
  </si>
  <si>
    <t>Username</t>
  </si>
  <si>
    <t>Night Pts Tolerance</t>
  </si>
  <si>
    <t>Night Extr or Calc</t>
  </si>
  <si>
    <t>Days Past</t>
  </si>
  <si>
    <t>Days Left</t>
  </si>
  <si>
    <t>Last Month's Status</t>
  </si>
  <si>
    <t>Legend</t>
  </si>
  <si>
    <t>Manual Data</t>
  </si>
  <si>
    <t>Config Data</t>
  </si>
  <si>
    <t>The predicted status gives a realistic prediction of the driving status. 
If the prediction is disable, best case scenario is assumed, which is 
50 point drive days and the distance remains in the same bracket.</t>
  </si>
  <si>
    <t>Rem Dist Points</t>
  </si>
  <si>
    <t>Rem - Dist</t>
  </si>
  <si>
    <t>Distance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</si>
</sst>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R-1C09]#,##0.00"/>
    <numFmt numFmtId="166" formatCode="[$R-1C09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/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5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BDD7EE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BDD7EE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A9F08CE5-ED7D-4BF0-BED4-1E9AB08F748B}">
      <tableStyleElement type="wholeTable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1.xml"/><Relationship Id="rId5" Type="http://schemas.openxmlformats.org/officeDocument/2006/relationships/styles" Target="style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B721A-04BF-4843-BA1D-1E6CBBE5E35A}" name="NightTimeDrive552" displayName="NightTimeDrive552" ref="I11:J13" headerRowDxfId="56" dataDxfId="54" headerRowBorderDxfId="55">
  <autoFilter ref="I11:J13" xr:uid="{932FCD99-6FCF-4AE6-A66E-74A568E6D121}">
    <filterColumn colId="0" hiddenButton="1"/>
    <filterColumn colId="1" hiddenButton="1"/>
  </autoFilter>
  <tableColumns count="2">
    <tableColumn id="1" xr3:uid="{AD6F6402-9F14-480B-83DC-5B909A8FD3B3}" name="Time" totalsRowLabel="Total" dataDxfId="53" totalsRowDxfId="52"/>
    <tableColumn id="2" xr3:uid="{5E91A838-C8F6-48BC-B71A-7C1E559CA4A3}" name="Points" totalsRowFunction="sum" dataDxfId="51" totalsRowDxfId="50">
      <calculatedColumnFormula>2*NightTimeDrive552[[#This Row],[Time]]</calculatedColumnFormula>
    </tableColumn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760408-3D78-4EBE-9404-94C2F90CA300}" name="Table2" displayName="Table2" ref="O6:U13" totalsRowShown="0" headerRowDxfId="49" dataDxfId="47" headerRowBorderDxfId="48" tableBorderDxfId="46" totalsRowBorderDxfId="45">
  <autoFilter ref="O6:U13" xr:uid="{E011F3DC-4D15-4380-B07D-61D2F4291E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2746F65-AF7E-4ADC-B8F4-AE517414691A}" name="Lower" dataDxfId="44"/>
    <tableColumn id="2" xr3:uid="{99BBB441-6D9A-4A7C-A2E0-EEA71A456868}" name="Upper" dataDxfId="43"/>
    <tableColumn id="3" xr3:uid="{9AD84A39-D3BB-4D97-A0F6-6F03C30EF404}" name="Blue" dataDxfId="42"/>
    <tableColumn id="4" xr3:uid="{4DC8A42E-B601-4062-AA38-23D3BB31A650}" name="Bronze" dataDxfId="41"/>
    <tableColumn id="5" xr3:uid="{0FE76A5C-B9A6-4007-8691-EA4F69F6E21A}" name="Silver" dataDxfId="40"/>
    <tableColumn id="6" xr3:uid="{9778CEAB-806A-4AE1-A032-8DB1FEC5ABA3}" name="Gold" dataDxfId="39"/>
    <tableColumn id="7" xr3:uid="{3684AB91-8111-4DDC-9A38-001D89F5F9BB}" name="Diamond" dataDxfId="38"/>
  </tableColumns>
  <tableStyleInfo name="Table Style 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258076-A406-4A67-A1DF-E9CA89A0C06F}" name="NightTimeDrive5524" displayName="NightTimeDrive5524" ref="I11:J13" headerRowDxfId="37" dataDxfId="35" headerRowBorderDxfId="36">
  <autoFilter ref="I11:J13" xr:uid="{932FCD99-6FCF-4AE6-A66E-74A568E6D121}">
    <filterColumn colId="0" hiddenButton="1"/>
    <filterColumn colId="1" hiddenButton="1"/>
  </autoFilter>
  <tableColumns count="2">
    <tableColumn id="1" xr3:uid="{9A0E8EBB-6861-4421-B1BE-4FC2AE796868}" name="Time" totalsRowLabel="Total" dataDxfId="34" totalsRowDxfId="33"/>
    <tableColumn id="2" xr3:uid="{B00B57FC-F983-4316-8328-66CBEC038992}" name="Points" totalsRowFunction="sum" dataDxfId="32" totalsRowDxfId="31">
      <calculatedColumnFormula>2*NightTimeDrive5524[[#This Row],[Time]]</calculatedColumnFormula>
    </tableColumn>
  </tableColumns>
  <tableStyleInfo name="Table Style 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EAD5C7-7727-4DB8-A33D-8545D304C017}" name="Table25" displayName="Table25" ref="O6:U13" totalsRowShown="0" headerRowDxfId="30" dataDxfId="28" headerRowBorderDxfId="29" tableBorderDxfId="27" totalsRowBorderDxfId="26">
  <autoFilter ref="O6:U13" xr:uid="{E011F3DC-4D15-4380-B07D-61D2F4291E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3CC02B1-D58D-4202-86E1-00F6D7847126}" name="Lower" dataDxfId="25"/>
    <tableColumn id="2" xr3:uid="{A43EA589-7DCD-41F2-A93A-7334AE84640A}" name="Upper" dataDxfId="24"/>
    <tableColumn id="3" xr3:uid="{A3A92B91-A131-403C-840C-F049DD194747}" name="Blue" dataDxfId="23"/>
    <tableColumn id="4" xr3:uid="{33458A48-89F9-48EE-8D34-FCDE8B367EA3}" name="Bronze" dataDxfId="22"/>
    <tableColumn id="5" xr3:uid="{20F9F64E-F542-422D-8174-7104A5BEE864}" name="Silver" dataDxfId="21"/>
    <tableColumn id="6" xr3:uid="{3B88B933-BAEA-4E7D-9B68-10284B5344E8}" name="Gold" dataDxfId="20"/>
    <tableColumn id="7" xr3:uid="{C12A703C-6B73-4463-9BA6-D33F17A16B79}" name="Diamond" dataDxfId="19"/>
  </tableColumns>
  <tableStyleInfo name="Table Style 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182F12-C66C-4129-8329-4BCA0BB67164}" name="NightTimeDrive55246" displayName="NightTimeDrive55246" ref="I11:J13" headerRowDxfId="18" dataDxfId="16" headerRowBorderDxfId="17">
  <autoFilter ref="I11:J13" xr:uid="{932FCD99-6FCF-4AE6-A66E-74A568E6D121}">
    <filterColumn colId="0" hiddenButton="1"/>
    <filterColumn colId="1" hiddenButton="1"/>
  </autoFilter>
  <tableColumns count="2">
    <tableColumn id="1" xr3:uid="{ABDE7495-4460-4731-9B4A-F1C9494ED6E0}" name="Time" totalsRowLabel="Total" dataDxfId="15" totalsRowDxfId="14"/>
    <tableColumn id="2" xr3:uid="{F5D3B993-1C29-40A2-87B0-76F809D8D056}" name="Points" totalsRowFunction="sum" dataDxfId="13" totalsRowDxfId="12">
      <calculatedColumnFormula>2*NightTimeDrive55246[[#This Row],[Time]]</calculatedColumnFormula>
    </tableColumn>
  </tableColumns>
  <tableStyleInfo name="Table Style 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EDFD25-41FB-4124-946B-7E542BD51D56}" name="Table257" displayName="Table257" ref="O6:U13" totalsRowShown="0" headerRowDxfId="11" dataDxfId="9" headerRowBorderDxfId="10" tableBorderDxfId="8" totalsRowBorderDxfId="7">
  <autoFilter ref="O6:U13" xr:uid="{E011F3DC-4D15-4380-B07D-61D2F4291E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C2732C8-343E-4F25-9983-1421DA5617AA}" name="Lower" dataDxfId="6"/>
    <tableColumn id="2" xr3:uid="{0FEC6E89-51D5-46D0-913E-2B556E7B3778}" name="Upper" dataDxfId="5"/>
    <tableColumn id="3" xr3:uid="{9BB228F5-AFF6-4BC9-A9B4-9BCB10258339}" name="Blue" dataDxfId="4"/>
    <tableColumn id="4" xr3:uid="{BC848EF6-3EF9-42DE-8525-1DA24AA435FB}" name="Bronze" dataDxfId="3"/>
    <tableColumn id="5" xr3:uid="{9FC7DBC5-1C49-4781-84CB-98BCBC731A98}" name="Silver" dataDxfId="2"/>
    <tableColumn id="6" xr3:uid="{2690231B-0D71-4E8B-BBCE-F25F930FC7D2}" name="Gold" dataDxfId="1"/>
    <tableColumn id="7" xr3:uid="{8ABEDCA7-D6C0-41F2-A697-4A19C4527333}" name="Diamond" dataDxfId="0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42A6-D689-41F9-B241-69CE8868B240}">
  <sheetPr>
    <pageSetUpPr fitToPage="1"/>
  </sheetPr>
  <dimension ref="B2:AF50"/>
  <sheetViews>
    <sheetView tabSelected="1" zoomScale="75" zoomScaleNormal="100" workbookViewId="0">
      <selection activeCell="F25" sqref="F25"/>
    </sheetView>
  </sheetViews>
  <sheetFormatPr defaultColWidth="8.85546875" defaultRowHeight="15" x14ac:dyDescent="0.25"/>
  <cols>
    <col min="1" max="1" width="2.7109375" style="5" customWidth="1"/>
    <col min="2" max="2" width="25.140625" style="5" bestFit="1" customWidth="1"/>
    <col min="3" max="3" width="9.7109375" style="5" customWidth="1"/>
    <col min="4" max="4" width="2.7109375" style="5" customWidth="1"/>
    <col min="5" max="5" width="16.140625" customWidth="1"/>
    <col min="6" max="6" width="11.140625" style="5" bestFit="1" customWidth="1"/>
    <col min="7" max="7" width="9.7109375" style="5" customWidth="1"/>
    <col min="8" max="8" width="2.7109375" style="5" customWidth="1"/>
    <col min="9" max="10" width="9.7109375" style="5" customWidth="1"/>
    <col min="11" max="11" width="2.7109375" style="5" customWidth="1"/>
    <col min="12" max="12" width="22.42578125" style="5" bestFit="1" customWidth="1"/>
    <col min="13" max="13" width="11.140625" style="5" customWidth="1"/>
    <col min="14" max="14" width="2.7109375" style="5" customWidth="1"/>
    <col min="15" max="20" width="9.7109375" style="5" customWidth="1"/>
    <col min="21" max="21" width="11.42578125" style="5" customWidth="1"/>
    <col min="22" max="22" width="2.7109375" style="5" customWidth="1"/>
    <col min="23" max="23" width="9.7109375" style="11" customWidth="1"/>
    <col min="24" max="26" width="9.7109375" style="5" customWidth="1"/>
    <col min="27" max="27" width="8.85546875" style="5" customWidth="1"/>
    <col min="28" max="28" width="8.85546875" style="5"/>
    <col min="29" max="29" width="8.85546875" style="5" customWidth="1"/>
    <col min="30" max="16384" width="8.85546875" style="5"/>
  </cols>
  <sheetData>
    <row r="2" spans="2:32" ht="14.45" customHeight="1" x14ac:dyDescent="0.25">
      <c r="B2" s="53" t="str">
        <f ca="1">_xlfn.CONCAT("Drive Summary ", M13, " ",TEXT(TODAY(), "mmmm yyyy"))</f>
        <v>Drive Summary Stefan March 2025</v>
      </c>
      <c r="C2" s="53"/>
      <c r="D2" s="53"/>
      <c r="E2" s="53"/>
      <c r="F2" s="53"/>
      <c r="G2" s="53"/>
      <c r="H2" s="53"/>
      <c r="I2" s="53"/>
      <c r="J2" s="53"/>
    </row>
    <row r="3" spans="2:32" ht="14.45" customHeight="1" x14ac:dyDescent="0.25">
      <c r="B3" s="53"/>
      <c r="C3" s="53"/>
      <c r="D3" s="53"/>
      <c r="E3" s="53"/>
      <c r="F3" s="53"/>
      <c r="G3" s="53"/>
      <c r="H3" s="53"/>
      <c r="I3" s="53"/>
      <c r="J3" s="53"/>
    </row>
    <row r="5" spans="2:32" x14ac:dyDescent="0.25">
      <c r="B5" s="1" t="s">
        <v>0</v>
      </c>
      <c r="C5" s="16">
        <f ca="1">MIN(1500, IF($C$16,G7,G6+G13))</f>
        <v>1500</v>
      </c>
      <c r="D5"/>
      <c r="E5" s="6" t="str">
        <f ca="1">TEXT(TODAY(), "mmmm yyyy")</f>
        <v>March 2025</v>
      </c>
      <c r="F5" s="6" t="s">
        <v>1</v>
      </c>
      <c r="G5" s="6" t="s">
        <v>2</v>
      </c>
      <c r="I5" s="48" t="s">
        <v>41</v>
      </c>
      <c r="J5" s="49"/>
      <c r="L5" s="48" t="s">
        <v>30</v>
      </c>
      <c r="M5" s="49"/>
      <c r="O5" s="48" t="s">
        <v>13</v>
      </c>
      <c r="P5" s="50"/>
      <c r="Q5" s="50"/>
      <c r="R5" s="50"/>
      <c r="S5" s="50"/>
      <c r="T5" s="50"/>
      <c r="U5" s="49"/>
      <c r="W5" s="48" t="s">
        <v>3</v>
      </c>
      <c r="X5" s="50"/>
      <c r="Y5" s="50"/>
      <c r="Z5" s="49"/>
      <c r="AE5" s="51"/>
      <c r="AF5" s="51"/>
    </row>
    <row r="6" spans="2:32" x14ac:dyDescent="0.25">
      <c r="B6" s="1" t="s">
        <v>4</v>
      </c>
      <c r="C6" s="14">
        <v>300</v>
      </c>
      <c r="E6" s="1" t="s">
        <v>5</v>
      </c>
      <c r="F6" s="21">
        <v>183</v>
      </c>
      <c r="G6" s="14">
        <v>300</v>
      </c>
      <c r="I6" s="45" t="s">
        <v>30</v>
      </c>
      <c r="J6" s="45"/>
      <c r="L6" s="27" t="s">
        <v>8</v>
      </c>
      <c r="M6" s="28" t="s">
        <v>2</v>
      </c>
      <c r="O6" s="34" t="s">
        <v>6</v>
      </c>
      <c r="P6" s="35" t="s">
        <v>7</v>
      </c>
      <c r="Q6" s="35" t="s">
        <v>12</v>
      </c>
      <c r="R6" s="35" t="s">
        <v>14</v>
      </c>
      <c r="S6" s="35" t="s">
        <v>17</v>
      </c>
      <c r="T6" s="35" t="s">
        <v>19</v>
      </c>
      <c r="U6" s="36" t="s">
        <v>20</v>
      </c>
      <c r="W6" s="6" t="s">
        <v>6</v>
      </c>
      <c r="X6" s="6" t="s">
        <v>7</v>
      </c>
      <c r="Y6" s="6" t="s">
        <v>8</v>
      </c>
      <c r="Z6" s="6" t="s">
        <v>9</v>
      </c>
      <c r="AD6"/>
      <c r="AE6" s="24"/>
      <c r="AF6" s="24"/>
    </row>
    <row r="7" spans="2:32" x14ac:dyDescent="0.25">
      <c r="B7" s="1" t="s">
        <v>10</v>
      </c>
      <c r="C7" s="29">
        <f>IF( AND( M8&lt;=M15+M14, M8&gt;=M15-M14 ), M8, M15)</f>
        <v>300</v>
      </c>
      <c r="D7" s="8"/>
      <c r="E7" s="1" t="s">
        <v>11</v>
      </c>
      <c r="F7" s="16">
        <f ca="1">F6/M19*M18</f>
        <v>945.5</v>
      </c>
      <c r="G7" s="16">
        <f ca="1">G6/M19*M18</f>
        <v>1550</v>
      </c>
      <c r="I7" s="46" t="s">
        <v>42</v>
      </c>
      <c r="J7" s="46"/>
      <c r="L7" s="1" t="s">
        <v>13</v>
      </c>
      <c r="M7" s="30">
        <v>300</v>
      </c>
      <c r="O7" s="38">
        <v>0</v>
      </c>
      <c r="P7" s="1">
        <v>299</v>
      </c>
      <c r="Q7" s="1">
        <v>300</v>
      </c>
      <c r="R7" s="1">
        <v>300</v>
      </c>
      <c r="S7" s="1">
        <v>300</v>
      </c>
      <c r="T7" s="1">
        <v>300</v>
      </c>
      <c r="U7" s="32">
        <v>300</v>
      </c>
      <c r="W7" s="1">
        <v>0</v>
      </c>
      <c r="X7" s="1">
        <v>799</v>
      </c>
      <c r="Y7" s="1" t="s">
        <v>12</v>
      </c>
      <c r="Z7" s="9">
        <v>0.05</v>
      </c>
      <c r="AE7" s="8"/>
    </row>
    <row r="8" spans="2:32" x14ac:dyDescent="0.25">
      <c r="B8" s="1" t="s">
        <v>13</v>
      </c>
      <c r="C8" s="31">
        <f>VLOOKUP(IF(C16,F7,F6),Q17:S23,3)</f>
        <v>300</v>
      </c>
      <c r="F8"/>
      <c r="I8" s="47" t="s">
        <v>43</v>
      </c>
      <c r="J8" s="47"/>
      <c r="L8" s="32" t="s">
        <v>29</v>
      </c>
      <c r="M8" s="21">
        <v>220</v>
      </c>
      <c r="O8" s="38">
        <v>300</v>
      </c>
      <c r="P8" s="1">
        <v>599</v>
      </c>
      <c r="Q8" s="1">
        <v>100</v>
      </c>
      <c r="R8" s="1">
        <v>150</v>
      </c>
      <c r="S8" s="1">
        <v>200</v>
      </c>
      <c r="T8" s="1">
        <v>250</v>
      </c>
      <c r="U8" s="32">
        <v>300</v>
      </c>
      <c r="W8" s="1">
        <v>800</v>
      </c>
      <c r="X8" s="1">
        <v>1599</v>
      </c>
      <c r="Y8" s="1" t="s">
        <v>14</v>
      </c>
      <c r="Z8" s="9">
        <v>0.1</v>
      </c>
    </row>
    <row r="9" spans="2:32" x14ac:dyDescent="0.25">
      <c r="B9" s="1" t="s">
        <v>15</v>
      </c>
      <c r="C9" s="14">
        <v>300</v>
      </c>
      <c r="E9" s="6" t="s">
        <v>16</v>
      </c>
      <c r="F9" s="6" t="s">
        <v>1</v>
      </c>
      <c r="G9" s="6" t="s">
        <v>2</v>
      </c>
      <c r="L9" s="32" t="s">
        <v>40</v>
      </c>
      <c r="M9" s="21" t="s">
        <v>20</v>
      </c>
      <c r="O9" s="38">
        <v>600</v>
      </c>
      <c r="P9" s="1">
        <v>899</v>
      </c>
      <c r="Q9" s="1">
        <v>75</v>
      </c>
      <c r="R9" s="1">
        <v>150</v>
      </c>
      <c r="S9" s="1">
        <v>200</v>
      </c>
      <c r="T9" s="1">
        <v>250</v>
      </c>
      <c r="U9" s="32">
        <v>300</v>
      </c>
      <c r="W9" s="1">
        <v>1600</v>
      </c>
      <c r="X9" s="1">
        <v>2199</v>
      </c>
      <c r="Y9" s="1" t="s">
        <v>17</v>
      </c>
      <c r="Z9" s="9">
        <v>0.2</v>
      </c>
      <c r="AB9" s="8"/>
    </row>
    <row r="10" spans="2:32" x14ac:dyDescent="0.25">
      <c r="B10" s="6" t="s">
        <v>18</v>
      </c>
      <c r="C10" s="7">
        <f ca="1">SUM(C5:C9)</f>
        <v>2700</v>
      </c>
      <c r="E10" s="1" t="s">
        <v>5</v>
      </c>
      <c r="F10" s="15">
        <f ca="1">F6/M19</f>
        <v>30.5</v>
      </c>
      <c r="G10" s="15">
        <f ca="1">G6/M19</f>
        <v>50</v>
      </c>
      <c r="I10" s="48" t="s">
        <v>29</v>
      </c>
      <c r="J10" s="49"/>
      <c r="O10" s="38">
        <v>900</v>
      </c>
      <c r="P10" s="1">
        <v>1199</v>
      </c>
      <c r="Q10" s="1">
        <v>50</v>
      </c>
      <c r="R10" s="1">
        <v>100</v>
      </c>
      <c r="S10" s="1">
        <v>150</v>
      </c>
      <c r="T10" s="1">
        <v>200</v>
      </c>
      <c r="U10" s="32">
        <v>300</v>
      </c>
      <c r="W10" s="1">
        <v>2200</v>
      </c>
      <c r="X10" s="1">
        <v>2499</v>
      </c>
      <c r="Y10" s="1" t="s">
        <v>19</v>
      </c>
      <c r="Z10" s="9">
        <v>0.35</v>
      </c>
    </row>
    <row r="11" spans="2:32" x14ac:dyDescent="0.25">
      <c r="I11" s="6" t="s">
        <v>31</v>
      </c>
      <c r="J11" s="6" t="s">
        <v>2</v>
      </c>
      <c r="L11" s="48" t="s">
        <v>32</v>
      </c>
      <c r="M11" s="49"/>
      <c r="O11" s="38">
        <v>1200</v>
      </c>
      <c r="P11" s="1">
        <v>1499</v>
      </c>
      <c r="Q11" s="1">
        <v>25</v>
      </c>
      <c r="R11" s="1">
        <v>75</v>
      </c>
      <c r="S11" s="1">
        <v>100</v>
      </c>
      <c r="T11" s="1">
        <v>175</v>
      </c>
      <c r="U11" s="32">
        <v>300</v>
      </c>
      <c r="W11" s="4">
        <v>2500</v>
      </c>
      <c r="X11" s="1">
        <v>3000</v>
      </c>
      <c r="Y11" s="1" t="s">
        <v>20</v>
      </c>
      <c r="Z11" s="9">
        <v>0.5</v>
      </c>
      <c r="AC11"/>
    </row>
    <row r="12" spans="2:32" x14ac:dyDescent="0.25">
      <c r="B12" s="1" t="s">
        <v>21</v>
      </c>
      <c r="C12" s="1" t="str">
        <f ca="1">VLOOKUP(C10,W7:Y11,3,TRUE)</f>
        <v>Diamond</v>
      </c>
      <c r="D12" s="8"/>
      <c r="E12" s="17"/>
      <c r="F12" s="6" t="s">
        <v>1</v>
      </c>
      <c r="G12" s="6" t="s">
        <v>2</v>
      </c>
      <c r="I12" s="37">
        <v>0</v>
      </c>
      <c r="J12" s="37">
        <f>2*NightTimeDrive552[[#This Row],[Time]]</f>
        <v>0</v>
      </c>
      <c r="L12" s="27" t="s">
        <v>33</v>
      </c>
      <c r="M12" s="28" t="s">
        <v>34</v>
      </c>
      <c r="O12" s="38">
        <v>1500</v>
      </c>
      <c r="P12" s="1">
        <v>1799</v>
      </c>
      <c r="Q12" s="1">
        <v>10</v>
      </c>
      <c r="R12" s="1">
        <v>25</v>
      </c>
      <c r="S12" s="1">
        <v>50</v>
      </c>
      <c r="T12" s="1">
        <v>100</v>
      </c>
      <c r="U12" s="32">
        <v>250</v>
      </c>
      <c r="W12" s="5"/>
      <c r="AC12" s="24"/>
    </row>
    <row r="13" spans="2:32" x14ac:dyDescent="0.25">
      <c r="B13" s="1" t="s">
        <v>22</v>
      </c>
      <c r="C13" s="25">
        <v>0</v>
      </c>
      <c r="E13" s="1" t="s">
        <v>23</v>
      </c>
      <c r="F13" s="16" t="str">
        <f ca="1">IF(M24&gt;=P13, "Unlimited", M24-F6)</f>
        <v>Unlimited</v>
      </c>
      <c r="G13" s="16">
        <f ca="1">50*M20 + IF(M18&lt;30,(30-M18)*G10,0)</f>
        <v>1250</v>
      </c>
      <c r="I13" s="39">
        <v>0</v>
      </c>
      <c r="J13" s="39">
        <f>2*NightTimeDrive552[[#This Row],[Time]]</f>
        <v>0</v>
      </c>
      <c r="L13" s="1" t="s">
        <v>35</v>
      </c>
      <c r="M13" s="40" t="s">
        <v>24</v>
      </c>
      <c r="O13" s="41">
        <v>1800</v>
      </c>
      <c r="P13" s="33">
        <v>1800</v>
      </c>
      <c r="Q13" s="33">
        <v>5</v>
      </c>
      <c r="R13" s="33">
        <v>10</v>
      </c>
      <c r="S13" s="33">
        <v>25</v>
      </c>
      <c r="T13" s="33">
        <v>60</v>
      </c>
      <c r="U13" s="42">
        <v>100</v>
      </c>
      <c r="X13"/>
      <c r="Z13"/>
      <c r="AC13" s="24"/>
      <c r="AD13" s="8"/>
    </row>
    <row r="14" spans="2:32" x14ac:dyDescent="0.25">
      <c r="B14" s="6" t="s">
        <v>25</v>
      </c>
      <c r="C14" s="7">
        <f ca="1">C13*VLOOKUP(C12,Y6:Z11,2,FALSE)*10</f>
        <v>0</v>
      </c>
      <c r="L14" s="1" t="s">
        <v>36</v>
      </c>
      <c r="M14" s="43">
        <v>10</v>
      </c>
      <c r="W14"/>
      <c r="X14"/>
      <c r="Y14"/>
      <c r="Z14"/>
      <c r="AA14"/>
    </row>
    <row r="15" spans="2:32" x14ac:dyDescent="0.25">
      <c r="D15" s="10"/>
      <c r="L15" s="32" t="s">
        <v>29</v>
      </c>
      <c r="M15" s="1">
        <f>300-SUM(NightTimeDrive552[Points])</f>
        <v>300</v>
      </c>
      <c r="Q15" s="52" t="str">
        <f>_xlfn.CONCAT("Distance Points for ",M9)</f>
        <v>Distance Points for Diamond</v>
      </c>
      <c r="R15" s="52"/>
      <c r="S15" s="52"/>
      <c r="W15"/>
      <c r="X15"/>
      <c r="Y15" s="26"/>
      <c r="Z15"/>
      <c r="AA15"/>
      <c r="AD15" s="8"/>
      <c r="AE15" s="8"/>
    </row>
    <row r="16" spans="2:32" x14ac:dyDescent="0.25">
      <c r="B16" t="s">
        <v>26</v>
      </c>
      <c r="C16" s="22" t="b">
        <v>0</v>
      </c>
      <c r="L16" s="1" t="s">
        <v>37</v>
      </c>
      <c r="M16" s="1" t="str">
        <f>IF( AND( M8&lt;=M15+M14, M8&gt;=M15-M14 ), "Extract", "Calculate")</f>
        <v>Calculate</v>
      </c>
      <c r="Q16" s="6" t="s">
        <v>6</v>
      </c>
      <c r="R16" s="6" t="s">
        <v>7</v>
      </c>
      <c r="S16" s="6" t="s">
        <v>2</v>
      </c>
      <c r="W16"/>
      <c r="X16"/>
      <c r="Z16"/>
      <c r="AA16"/>
    </row>
    <row r="17" spans="2:31" ht="14.45" customHeight="1" x14ac:dyDescent="0.25">
      <c r="B17" s="44" t="s">
        <v>44</v>
      </c>
      <c r="C17" s="44"/>
      <c r="D17" s="44"/>
      <c r="E17" s="44"/>
      <c r="F17" s="44"/>
      <c r="G17" s="44"/>
      <c r="H17" s="23"/>
      <c r="L17" s="1"/>
      <c r="M17" s="1"/>
      <c r="Q17" s="1" cm="1">
        <f t="array" ref="Q17:Q23">Table2[Lower]</f>
        <v>0</v>
      </c>
      <c r="R17" s="1" cm="1">
        <f t="array" ref="R17:R23">Table2[Upper]</f>
        <v>299</v>
      </c>
      <c r="S17" s="1" cm="1">
        <f t="array" ref="S17:S23">_xlfn.XLOOKUP(M9,Table2[#Headers],Table2[])</f>
        <v>300</v>
      </c>
      <c r="W17"/>
      <c r="X17"/>
      <c r="Y17"/>
      <c r="Z17"/>
      <c r="AA17"/>
    </row>
    <row r="18" spans="2:31" x14ac:dyDescent="0.25">
      <c r="B18" s="44"/>
      <c r="C18" s="44"/>
      <c r="D18" s="44"/>
      <c r="E18" s="44"/>
      <c r="F18" s="44"/>
      <c r="G18" s="44"/>
      <c r="H18" s="23"/>
      <c r="L18" s="1" t="str">
        <f ca="1">_xlfn.CONCAT("Days ",TEXT(TODAY(), "mmm yyyy"))</f>
        <v>Days Mar 2025</v>
      </c>
      <c r="M18" s="1">
        <f ca="1">DAY(EOMONTH(TODAY(), 0))</f>
        <v>31</v>
      </c>
      <c r="Q18" s="1">
        <v>300</v>
      </c>
      <c r="R18" s="1">
        <v>599</v>
      </c>
      <c r="S18" s="1">
        <v>300</v>
      </c>
      <c r="W18"/>
      <c r="X18"/>
      <c r="Y18"/>
      <c r="Z18"/>
      <c r="AA18"/>
    </row>
    <row r="19" spans="2:31" x14ac:dyDescent="0.25">
      <c r="B19" s="44"/>
      <c r="C19" s="44"/>
      <c r="D19" s="44"/>
      <c r="E19" s="44"/>
      <c r="F19" s="44"/>
      <c r="G19" s="44"/>
      <c r="H19" s="23"/>
      <c r="L19" s="1" t="s">
        <v>38</v>
      </c>
      <c r="M19" s="1">
        <f ca="1">DAY(TODAY())-1</f>
        <v>6</v>
      </c>
      <c r="Q19" s="1">
        <v>600</v>
      </c>
      <c r="R19" s="1">
        <v>899</v>
      </c>
      <c r="S19" s="1">
        <v>300</v>
      </c>
      <c r="W19"/>
      <c r="X19"/>
      <c r="Y19"/>
      <c r="Z19"/>
      <c r="AA19"/>
    </row>
    <row r="20" spans="2:31" x14ac:dyDescent="0.25">
      <c r="B20" s="23"/>
      <c r="C20" s="23"/>
      <c r="D20" s="23"/>
      <c r="E20" s="23"/>
      <c r="F20" s="23"/>
      <c r="G20" s="23"/>
      <c r="L20" s="1" t="s">
        <v>39</v>
      </c>
      <c r="M20" s="1">
        <f ca="1">M18-M19</f>
        <v>25</v>
      </c>
      <c r="Q20" s="1">
        <v>900</v>
      </c>
      <c r="R20" s="1">
        <v>1199</v>
      </c>
      <c r="S20" s="1">
        <v>300</v>
      </c>
      <c r="W20"/>
      <c r="Y20"/>
      <c r="Z20"/>
      <c r="AA20"/>
    </row>
    <row r="21" spans="2:31" x14ac:dyDescent="0.25">
      <c r="B21" s="23"/>
      <c r="C21" s="23"/>
      <c r="D21" s="23"/>
      <c r="L21" s="1"/>
      <c r="M21" s="1"/>
      <c r="Q21" s="1">
        <v>1200</v>
      </c>
      <c r="R21" s="1">
        <v>1499</v>
      </c>
      <c r="S21" s="1">
        <v>300</v>
      </c>
      <c r="W21"/>
      <c r="X21"/>
      <c r="Y21"/>
      <c r="Z21"/>
      <c r="AA21"/>
      <c r="AD21" s="8"/>
      <c r="AE21" s="8"/>
    </row>
    <row r="22" spans="2:31" x14ac:dyDescent="0.25">
      <c r="B22" s="23"/>
      <c r="C22" s="23"/>
      <c r="D22" s="23"/>
      <c r="L22" s="1" t="s">
        <v>45</v>
      </c>
      <c r="M22" s="16">
        <f ca="1">C10-VLOOKUP(C10,W7:Y11,1,TRUE)</f>
        <v>200</v>
      </c>
      <c r="Q22" s="1">
        <v>1500</v>
      </c>
      <c r="R22" s="1">
        <v>1799</v>
      </c>
      <c r="S22" s="1">
        <v>250</v>
      </c>
      <c r="AA22"/>
      <c r="AD22" s="8"/>
      <c r="AE22" s="8"/>
    </row>
    <row r="23" spans="2:31" x14ac:dyDescent="0.25">
      <c r="B23" s="3"/>
      <c r="L23" s="1" t="s">
        <v>46</v>
      </c>
      <c r="M23" s="16">
        <f ca="1">MAX(0,C8-M22)</f>
        <v>100</v>
      </c>
      <c r="Q23" s="1">
        <v>1800</v>
      </c>
      <c r="R23" s="1">
        <v>1800</v>
      </c>
      <c r="S23" s="1">
        <v>100</v>
      </c>
      <c r="W23"/>
      <c r="X23"/>
      <c r="Y23"/>
      <c r="Z23"/>
      <c r="AA23"/>
    </row>
    <row r="24" spans="2:31" x14ac:dyDescent="0.25">
      <c r="L24" s="1" t="s">
        <v>47</v>
      </c>
      <c r="M24" s="1" cm="1">
        <f t="array" aca="1" ref="M24" ca="1">MAX(_xlfn._xlws.FILTER(_xlfn.ANCHORARRAY(R17),_xlfn.ANCHORARRAY( S17)&gt;=M23))</f>
        <v>1800</v>
      </c>
      <c r="W24"/>
      <c r="X24"/>
      <c r="Y24" s="13"/>
      <c r="Z24"/>
      <c r="AA24"/>
    </row>
    <row r="25" spans="2:31" x14ac:dyDescent="0.25">
      <c r="U25" s="3"/>
      <c r="W25"/>
      <c r="X25"/>
      <c r="Y25" s="13"/>
      <c r="Z25"/>
      <c r="AA25"/>
    </row>
    <row r="26" spans="2:31" x14ac:dyDescent="0.25">
      <c r="Y26" s="2"/>
    </row>
    <row r="27" spans="2:31" x14ac:dyDescent="0.25">
      <c r="W27" s="5"/>
      <c r="Y27" s="2"/>
    </row>
    <row r="28" spans="2:31" x14ac:dyDescent="0.25">
      <c r="I28" s="12"/>
      <c r="J28" s="12"/>
      <c r="W28" s="5"/>
      <c r="Y28" s="2"/>
    </row>
    <row r="29" spans="2:31" x14ac:dyDescent="0.25">
      <c r="B29" s="2"/>
      <c r="W29" s="5"/>
      <c r="Y29" s="2"/>
    </row>
    <row r="30" spans="2:31" x14ac:dyDescent="0.25">
      <c r="W30" s="5"/>
      <c r="Y30" s="2"/>
    </row>
    <row r="31" spans="2:31" x14ac:dyDescent="0.25">
      <c r="E31" s="17"/>
      <c r="F31" s="17"/>
      <c r="G31" s="18"/>
      <c r="W31" s="5"/>
      <c r="Y31" s="2"/>
    </row>
    <row r="32" spans="2:31" x14ac:dyDescent="0.25">
      <c r="E32" s="17"/>
      <c r="F32" s="19"/>
      <c r="G32" s="18"/>
      <c r="W32" s="5"/>
      <c r="Y32" s="2"/>
    </row>
    <row r="33" spans="2:25" x14ac:dyDescent="0.25">
      <c r="E33" s="17"/>
      <c r="F33" s="19"/>
      <c r="G33" s="18"/>
      <c r="W33" s="5"/>
      <c r="Y33" s="2"/>
    </row>
    <row r="34" spans="2:25" x14ac:dyDescent="0.25">
      <c r="E34" s="17"/>
      <c r="F34" s="19"/>
      <c r="G34" s="18"/>
      <c r="L34" s="12"/>
      <c r="M34" s="12"/>
      <c r="W34" s="5"/>
    </row>
    <row r="35" spans="2:25" x14ac:dyDescent="0.25">
      <c r="E35" s="17"/>
      <c r="F35" s="19"/>
      <c r="G35" s="18"/>
      <c r="W35" s="5"/>
    </row>
    <row r="36" spans="2:25" x14ac:dyDescent="0.25">
      <c r="E36" s="17"/>
      <c r="F36" s="19"/>
      <c r="G36" s="18"/>
      <c r="W36" s="5"/>
    </row>
    <row r="37" spans="2:25" x14ac:dyDescent="0.25">
      <c r="E37" s="17"/>
      <c r="F37" s="19"/>
      <c r="G37" s="18"/>
      <c r="W37" s="5"/>
    </row>
    <row r="38" spans="2:25" x14ac:dyDescent="0.25">
      <c r="E38" s="17"/>
      <c r="F38" s="19"/>
      <c r="G38" s="18"/>
      <c r="W38" s="5"/>
    </row>
    <row r="39" spans="2:25" x14ac:dyDescent="0.25">
      <c r="E39" s="17"/>
      <c r="F39" s="19"/>
      <c r="G39" s="20"/>
      <c r="W39" s="5"/>
    </row>
    <row r="40" spans="2:25" x14ac:dyDescent="0.25">
      <c r="F40" s="3"/>
    </row>
    <row r="41" spans="2:25" x14ac:dyDescent="0.25">
      <c r="H41" s="12"/>
      <c r="K41" s="12"/>
      <c r="N41" s="12"/>
      <c r="W41" s="5"/>
    </row>
    <row r="42" spans="2:25" x14ac:dyDescent="0.25">
      <c r="B42" s="12"/>
      <c r="W42" s="5"/>
    </row>
    <row r="43" spans="2:25" x14ac:dyDescent="0.25">
      <c r="W43" s="5"/>
    </row>
    <row r="44" spans="2:25" x14ac:dyDescent="0.25">
      <c r="W44" s="5"/>
    </row>
    <row r="45" spans="2:25" x14ac:dyDescent="0.25">
      <c r="W45" s="5"/>
    </row>
    <row r="46" spans="2:25" x14ac:dyDescent="0.25">
      <c r="W46" s="5"/>
    </row>
    <row r="47" spans="2:25" x14ac:dyDescent="0.25">
      <c r="W47" s="5"/>
    </row>
    <row r="48" spans="2:25" x14ac:dyDescent="0.25">
      <c r="W48" s="5"/>
    </row>
    <row r="49" spans="23:23" x14ac:dyDescent="0.25">
      <c r="W49" s="5"/>
    </row>
    <row r="50" spans="23:23" x14ac:dyDescent="0.25">
      <c r="W50" s="5"/>
    </row>
  </sheetData>
  <protectedRanges>
    <protectedRange sqref="F6:G6 C6:C7 C9 C13" name="RequiresInput_1"/>
  </protectedRanges>
  <mergeCells count="13">
    <mergeCell ref="W5:Z5"/>
    <mergeCell ref="AE5:AF5"/>
    <mergeCell ref="L11:M11"/>
    <mergeCell ref="Q15:S15"/>
    <mergeCell ref="B2:J3"/>
    <mergeCell ref="I5:J5"/>
    <mergeCell ref="L5:M5"/>
    <mergeCell ref="O5:U5"/>
    <mergeCell ref="B17:G19"/>
    <mergeCell ref="I6:J6"/>
    <mergeCell ref="I7:J7"/>
    <mergeCell ref="I8:J8"/>
    <mergeCell ref="I10:J10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FD9A-6272-4225-A166-5ED59D459FD9}">
  <sheetPr>
    <pageSetUpPr fitToPage="1"/>
  </sheetPr>
  <dimension ref="B2:AF50"/>
  <sheetViews>
    <sheetView zoomScale="79" zoomScaleNormal="100" workbookViewId="0">
      <selection activeCell="M21" sqref="M21"/>
    </sheetView>
  </sheetViews>
  <sheetFormatPr defaultColWidth="8.85546875" defaultRowHeight="15" x14ac:dyDescent="0.25"/>
  <cols>
    <col min="1" max="1" width="2.7109375" style="5" customWidth="1"/>
    <col min="2" max="2" width="25.140625" style="5" bestFit="1" customWidth="1"/>
    <col min="3" max="3" width="9.7109375" style="5" customWidth="1"/>
    <col min="4" max="4" width="2.7109375" style="5" customWidth="1"/>
    <col min="5" max="5" width="16.140625" customWidth="1"/>
    <col min="6" max="6" width="11.140625" style="5" bestFit="1" customWidth="1"/>
    <col min="7" max="7" width="9.7109375" style="5" customWidth="1"/>
    <col min="8" max="8" width="2.7109375" style="5" customWidth="1"/>
    <col min="9" max="10" width="9.7109375" style="5" customWidth="1"/>
    <col min="11" max="11" width="2.7109375" style="5" customWidth="1"/>
    <col min="12" max="12" width="22.42578125" style="5" bestFit="1" customWidth="1"/>
    <col min="13" max="13" width="11.28515625" style="5" customWidth="1"/>
    <col min="14" max="14" width="2.7109375" style="5" customWidth="1"/>
    <col min="15" max="20" width="9.7109375" style="5" hidden="1" customWidth="1"/>
    <col min="21" max="21" width="11.42578125" style="5" hidden="1" customWidth="1"/>
    <col min="22" max="22" width="2.7109375" style="5" hidden="1" customWidth="1"/>
    <col min="23" max="23" width="9.7109375" style="11" hidden="1" customWidth="1"/>
    <col min="24" max="26" width="9.7109375" style="5" hidden="1" customWidth="1"/>
    <col min="27" max="27" width="8.85546875" style="5" customWidth="1"/>
    <col min="28" max="28" width="8.85546875" style="5"/>
    <col min="29" max="29" width="8.85546875" style="5" customWidth="1"/>
    <col min="30" max="16384" width="8.85546875" style="5"/>
  </cols>
  <sheetData>
    <row r="2" spans="2:32" ht="14.45" customHeight="1" x14ac:dyDescent="0.25">
      <c r="B2" s="53" t="str">
        <f ca="1">_xlfn.CONCAT("Drive Summary ", M13, " ",TEXT(TODAY(), "mmmm yyyy"))</f>
        <v>Drive Summary Christiaan March 2025</v>
      </c>
      <c r="C2" s="53"/>
      <c r="D2" s="53"/>
      <c r="E2" s="53"/>
      <c r="F2" s="53"/>
      <c r="G2" s="53"/>
      <c r="H2" s="53"/>
      <c r="I2" s="53"/>
      <c r="J2" s="53"/>
    </row>
    <row r="3" spans="2:32" ht="14.45" customHeight="1" x14ac:dyDescent="0.25">
      <c r="B3" s="53"/>
      <c r="C3" s="53"/>
      <c r="D3" s="53"/>
      <c r="E3" s="53"/>
      <c r="F3" s="53"/>
      <c r="G3" s="53"/>
      <c r="H3" s="53"/>
      <c r="I3" s="53"/>
      <c r="J3" s="53"/>
    </row>
    <row r="5" spans="2:32" x14ac:dyDescent="0.25">
      <c r="B5" s="1" t="s">
        <v>0</v>
      </c>
      <c r="C5" s="16">
        <f ca="1">MIN(1500, IF($C$16,G7,G6+G13))</f>
        <v>1500</v>
      </c>
      <c r="D5"/>
      <c r="E5" s="6" t="str">
        <f ca="1">TEXT(TODAY(), "mmmm yyyy")</f>
        <v>March 2025</v>
      </c>
      <c r="F5" s="6" t="s">
        <v>1</v>
      </c>
      <c r="G5" s="6" t="s">
        <v>2</v>
      </c>
      <c r="I5" s="48" t="s">
        <v>41</v>
      </c>
      <c r="J5" s="49"/>
      <c r="L5" s="48" t="s">
        <v>30</v>
      </c>
      <c r="M5" s="49"/>
      <c r="O5" s="48" t="s">
        <v>13</v>
      </c>
      <c r="P5" s="50"/>
      <c r="Q5" s="50"/>
      <c r="R5" s="50"/>
      <c r="S5" s="50"/>
      <c r="T5" s="50"/>
      <c r="U5" s="49"/>
      <c r="W5" s="48" t="s">
        <v>3</v>
      </c>
      <c r="X5" s="50"/>
      <c r="Y5" s="50"/>
      <c r="Z5" s="49"/>
      <c r="AE5" s="51"/>
      <c r="AF5" s="51"/>
    </row>
    <row r="6" spans="2:32" x14ac:dyDescent="0.25">
      <c r="B6" s="1" t="s">
        <v>4</v>
      </c>
      <c r="C6" s="14">
        <v>150</v>
      </c>
      <c r="E6" s="1" t="s">
        <v>5</v>
      </c>
      <c r="F6" s="21">
        <v>574</v>
      </c>
      <c r="G6" s="14">
        <v>300</v>
      </c>
      <c r="I6" s="45" t="s">
        <v>30</v>
      </c>
      <c r="J6" s="45"/>
      <c r="L6" s="27" t="s">
        <v>8</v>
      </c>
      <c r="M6" s="28" t="s">
        <v>2</v>
      </c>
      <c r="O6" s="34" t="s">
        <v>6</v>
      </c>
      <c r="P6" s="35" t="s">
        <v>7</v>
      </c>
      <c r="Q6" s="35" t="s">
        <v>12</v>
      </c>
      <c r="R6" s="35" t="s">
        <v>14</v>
      </c>
      <c r="S6" s="35" t="s">
        <v>17</v>
      </c>
      <c r="T6" s="35" t="s">
        <v>19</v>
      </c>
      <c r="U6" s="36" t="s">
        <v>20</v>
      </c>
      <c r="W6" s="6" t="s">
        <v>6</v>
      </c>
      <c r="X6" s="6" t="s">
        <v>7</v>
      </c>
      <c r="Y6" s="6" t="s">
        <v>8</v>
      </c>
      <c r="Z6" s="6" t="s">
        <v>9</v>
      </c>
      <c r="AD6"/>
      <c r="AE6" s="24"/>
      <c r="AF6" s="24"/>
    </row>
    <row r="7" spans="2:32" x14ac:dyDescent="0.25">
      <c r="B7" s="1" t="s">
        <v>10</v>
      </c>
      <c r="C7" s="29">
        <f>IF( AND( M8&lt;=M15+M14, M8&gt;=M15-M14 ), M8, M15)</f>
        <v>300</v>
      </c>
      <c r="D7" s="8"/>
      <c r="E7" s="1" t="s">
        <v>11</v>
      </c>
      <c r="F7" s="16">
        <f ca="1">F6/M19*M18</f>
        <v>2965.666666666667</v>
      </c>
      <c r="G7" s="16">
        <f ca="1">G6/M19*M18</f>
        <v>1550</v>
      </c>
      <c r="I7" s="46" t="s">
        <v>42</v>
      </c>
      <c r="J7" s="46"/>
      <c r="L7" s="1" t="s">
        <v>13</v>
      </c>
      <c r="M7" s="30">
        <v>60</v>
      </c>
      <c r="O7" s="38">
        <v>0</v>
      </c>
      <c r="P7" s="1">
        <v>299</v>
      </c>
      <c r="Q7" s="1">
        <v>300</v>
      </c>
      <c r="R7" s="1">
        <v>300</v>
      </c>
      <c r="S7" s="1">
        <v>300</v>
      </c>
      <c r="T7" s="1">
        <v>300</v>
      </c>
      <c r="U7" s="32">
        <v>300</v>
      </c>
      <c r="W7" s="1">
        <v>0</v>
      </c>
      <c r="X7" s="1">
        <v>799</v>
      </c>
      <c r="Y7" s="1" t="s">
        <v>12</v>
      </c>
      <c r="Z7" s="9">
        <v>0.05</v>
      </c>
      <c r="AE7" s="8"/>
    </row>
    <row r="8" spans="2:32" x14ac:dyDescent="0.25">
      <c r="B8" s="1" t="s">
        <v>13</v>
      </c>
      <c r="C8" s="31">
        <f>VLOOKUP(IF(C16,F7,F6),Q17:S23,3)</f>
        <v>250</v>
      </c>
      <c r="F8"/>
      <c r="I8" s="47" t="s">
        <v>43</v>
      </c>
      <c r="J8" s="47"/>
      <c r="L8" s="32" t="s">
        <v>29</v>
      </c>
      <c r="M8" s="21">
        <v>288</v>
      </c>
      <c r="O8" s="38">
        <v>300</v>
      </c>
      <c r="P8" s="1">
        <v>599</v>
      </c>
      <c r="Q8" s="1">
        <v>100</v>
      </c>
      <c r="R8" s="1">
        <v>150</v>
      </c>
      <c r="S8" s="1">
        <v>200</v>
      </c>
      <c r="T8" s="1">
        <v>250</v>
      </c>
      <c r="U8" s="32">
        <v>300</v>
      </c>
      <c r="W8" s="1">
        <v>800</v>
      </c>
      <c r="X8" s="1">
        <v>1599</v>
      </c>
      <c r="Y8" s="1" t="s">
        <v>14</v>
      </c>
      <c r="Z8" s="9">
        <v>0.1</v>
      </c>
    </row>
    <row r="9" spans="2:32" x14ac:dyDescent="0.25">
      <c r="B9" s="1" t="s">
        <v>15</v>
      </c>
      <c r="C9" s="14">
        <v>300</v>
      </c>
      <c r="E9" s="6" t="s">
        <v>16</v>
      </c>
      <c r="F9" s="6" t="s">
        <v>1</v>
      </c>
      <c r="G9" s="6" t="s">
        <v>2</v>
      </c>
      <c r="L9" s="32" t="s">
        <v>40</v>
      </c>
      <c r="M9" s="21" t="s">
        <v>19</v>
      </c>
      <c r="O9" s="38">
        <v>600</v>
      </c>
      <c r="P9" s="1">
        <v>899</v>
      </c>
      <c r="Q9" s="1">
        <v>75</v>
      </c>
      <c r="R9" s="1">
        <v>150</v>
      </c>
      <c r="S9" s="1">
        <v>200</v>
      </c>
      <c r="T9" s="1">
        <v>250</v>
      </c>
      <c r="U9" s="32">
        <v>300</v>
      </c>
      <c r="W9" s="1">
        <v>1600</v>
      </c>
      <c r="X9" s="1">
        <v>2199</v>
      </c>
      <c r="Y9" s="1" t="s">
        <v>17</v>
      </c>
      <c r="Z9" s="9">
        <v>0.2</v>
      </c>
      <c r="AB9" s="8"/>
    </row>
    <row r="10" spans="2:32" x14ac:dyDescent="0.25">
      <c r="B10" s="6" t="s">
        <v>18</v>
      </c>
      <c r="C10" s="7">
        <f ca="1">SUM(C5:C9)</f>
        <v>2500</v>
      </c>
      <c r="E10" s="1" t="s">
        <v>5</v>
      </c>
      <c r="F10" s="15">
        <f ca="1">F6/M19</f>
        <v>95.666666666666671</v>
      </c>
      <c r="G10" s="15">
        <f ca="1">G6/M19</f>
        <v>50</v>
      </c>
      <c r="I10" s="48" t="s">
        <v>29</v>
      </c>
      <c r="J10" s="49"/>
      <c r="O10" s="38">
        <v>900</v>
      </c>
      <c r="P10" s="1">
        <v>1199</v>
      </c>
      <c r="Q10" s="1">
        <v>50</v>
      </c>
      <c r="R10" s="1">
        <v>100</v>
      </c>
      <c r="S10" s="1">
        <v>150</v>
      </c>
      <c r="T10" s="1">
        <v>200</v>
      </c>
      <c r="U10" s="32">
        <v>300</v>
      </c>
      <c r="W10" s="1">
        <v>2200</v>
      </c>
      <c r="X10" s="1">
        <v>2499</v>
      </c>
      <c r="Y10" s="1" t="s">
        <v>19</v>
      </c>
      <c r="Z10" s="9">
        <v>0.35</v>
      </c>
    </row>
    <row r="11" spans="2:32" x14ac:dyDescent="0.25">
      <c r="I11" s="6" t="s">
        <v>31</v>
      </c>
      <c r="J11" s="6" t="s">
        <v>2</v>
      </c>
      <c r="L11" s="48" t="s">
        <v>32</v>
      </c>
      <c r="M11" s="49"/>
      <c r="O11" s="38">
        <v>1200</v>
      </c>
      <c r="P11" s="1">
        <v>1499</v>
      </c>
      <c r="Q11" s="1">
        <v>25</v>
      </c>
      <c r="R11" s="1">
        <v>75</v>
      </c>
      <c r="S11" s="1">
        <v>100</v>
      </c>
      <c r="T11" s="1">
        <v>175</v>
      </c>
      <c r="U11" s="32">
        <v>300</v>
      </c>
      <c r="W11" s="4">
        <v>2500</v>
      </c>
      <c r="X11" s="1">
        <v>3000</v>
      </c>
      <c r="Y11" s="1" t="s">
        <v>20</v>
      </c>
      <c r="Z11" s="9">
        <v>0.5</v>
      </c>
      <c r="AC11"/>
    </row>
    <row r="12" spans="2:32" x14ac:dyDescent="0.25">
      <c r="B12" s="1" t="s">
        <v>21</v>
      </c>
      <c r="C12" s="1" t="str">
        <f ca="1">VLOOKUP(C10,W7:Y11,3,TRUE)</f>
        <v>Diamond</v>
      </c>
      <c r="D12" s="8"/>
      <c r="E12" s="17"/>
      <c r="F12" s="6" t="s">
        <v>1</v>
      </c>
      <c r="G12" s="6" t="s">
        <v>2</v>
      </c>
      <c r="I12" s="37">
        <v>0</v>
      </c>
      <c r="J12" s="37">
        <f>2*NightTimeDrive5524[[#This Row],[Time]]</f>
        <v>0</v>
      </c>
      <c r="L12" s="27" t="s">
        <v>33</v>
      </c>
      <c r="M12" s="28" t="s">
        <v>34</v>
      </c>
      <c r="O12" s="38">
        <v>1500</v>
      </c>
      <c r="P12" s="1">
        <v>1799</v>
      </c>
      <c r="Q12" s="1">
        <v>10</v>
      </c>
      <c r="R12" s="1">
        <v>25</v>
      </c>
      <c r="S12" s="1">
        <v>50</v>
      </c>
      <c r="T12" s="1">
        <v>100</v>
      </c>
      <c r="U12" s="32">
        <v>250</v>
      </c>
      <c r="W12" s="5"/>
      <c r="AC12" s="24"/>
    </row>
    <row r="13" spans="2:32" x14ac:dyDescent="0.25">
      <c r="B13" s="1" t="s">
        <v>22</v>
      </c>
      <c r="C13" s="25">
        <v>0</v>
      </c>
      <c r="E13" s="1" t="s">
        <v>23</v>
      </c>
      <c r="F13" s="16">
        <f ca="1">IF(M24&gt;=P13, "Unlimited", M24-F6)</f>
        <v>325</v>
      </c>
      <c r="G13" s="16">
        <f ca="1">50*M20 + IF(M18&lt;30,(30-M18)*G10,0)</f>
        <v>1250</v>
      </c>
      <c r="I13" s="39">
        <v>0</v>
      </c>
      <c r="J13" s="39">
        <f>2*NightTimeDrive5524[[#This Row],[Time]]</f>
        <v>0</v>
      </c>
      <c r="L13" s="1" t="s">
        <v>35</v>
      </c>
      <c r="M13" s="40" t="s">
        <v>27</v>
      </c>
      <c r="O13" s="41">
        <v>1800</v>
      </c>
      <c r="P13" s="33">
        <v>1800</v>
      </c>
      <c r="Q13" s="33">
        <v>5</v>
      </c>
      <c r="R13" s="33">
        <v>10</v>
      </c>
      <c r="S13" s="33">
        <v>25</v>
      </c>
      <c r="T13" s="33">
        <v>60</v>
      </c>
      <c r="U13" s="42">
        <v>100</v>
      </c>
      <c r="X13"/>
      <c r="Z13"/>
      <c r="AC13" s="24"/>
      <c r="AD13" s="8"/>
    </row>
    <row r="14" spans="2:32" x14ac:dyDescent="0.25">
      <c r="B14" s="6" t="s">
        <v>25</v>
      </c>
      <c r="C14" s="7">
        <f ca="1">C13*VLOOKUP(C12,Y6:Z11,2,FALSE)*10</f>
        <v>0</v>
      </c>
      <c r="L14" s="1" t="s">
        <v>36</v>
      </c>
      <c r="M14" s="43">
        <v>10</v>
      </c>
      <c r="W14"/>
      <c r="X14"/>
      <c r="Y14"/>
      <c r="Z14"/>
      <c r="AA14"/>
    </row>
    <row r="15" spans="2:32" x14ac:dyDescent="0.25">
      <c r="D15" s="10"/>
      <c r="L15" s="32" t="s">
        <v>29</v>
      </c>
      <c r="M15" s="1">
        <f>300-SUM(NightTimeDrive5524[Points])</f>
        <v>300</v>
      </c>
      <c r="Q15" s="52" t="str">
        <f>_xlfn.CONCAT("Distance Points for ",M9)</f>
        <v>Distance Points for Gold</v>
      </c>
      <c r="R15" s="52"/>
      <c r="S15" s="52"/>
      <c r="W15"/>
      <c r="X15"/>
      <c r="Y15" s="26"/>
      <c r="Z15"/>
      <c r="AA15"/>
      <c r="AD15" s="8"/>
      <c r="AE15" s="8"/>
    </row>
    <row r="16" spans="2:32" x14ac:dyDescent="0.25">
      <c r="B16" t="s">
        <v>26</v>
      </c>
      <c r="C16" s="22" t="b">
        <v>0</v>
      </c>
      <c r="L16" s="1" t="s">
        <v>37</v>
      </c>
      <c r="M16" s="1" t="str">
        <f>IF( AND( M8&lt;=M15+M14, M8&gt;=M15-M14 ), "Extract", "Calculate")</f>
        <v>Calculate</v>
      </c>
      <c r="Q16" s="6" t="s">
        <v>6</v>
      </c>
      <c r="R16" s="6" t="s">
        <v>7</v>
      </c>
      <c r="S16" s="6" t="s">
        <v>2</v>
      </c>
      <c r="W16"/>
      <c r="X16"/>
      <c r="Z16"/>
      <c r="AA16"/>
    </row>
    <row r="17" spans="2:31" ht="14.45" customHeight="1" x14ac:dyDescent="0.25">
      <c r="B17" s="44" t="s">
        <v>44</v>
      </c>
      <c r="C17" s="44"/>
      <c r="D17" s="44"/>
      <c r="E17" s="44"/>
      <c r="F17" s="44"/>
      <c r="G17" s="44"/>
      <c r="H17" s="23"/>
      <c r="L17" s="1"/>
      <c r="M17" s="1"/>
      <c r="Q17" s="1" cm="1">
        <f t="array" ref="Q17:Q23">Table25[Lower]</f>
        <v>0</v>
      </c>
      <c r="R17" s="1" cm="1">
        <f t="array" ref="R17:R23">Table25[Upper]</f>
        <v>299</v>
      </c>
      <c r="S17" s="1" cm="1">
        <f t="array" ref="S17:S23">_xlfn.XLOOKUP(M9,Table25[#Headers],Table25[])</f>
        <v>300</v>
      </c>
      <c r="W17"/>
      <c r="X17"/>
      <c r="Y17"/>
      <c r="Z17"/>
      <c r="AA17"/>
    </row>
    <row r="18" spans="2:31" x14ac:dyDescent="0.25">
      <c r="B18" s="44"/>
      <c r="C18" s="44"/>
      <c r="D18" s="44"/>
      <c r="E18" s="44"/>
      <c r="F18" s="44"/>
      <c r="G18" s="44"/>
      <c r="H18" s="23"/>
      <c r="L18" s="1" t="str">
        <f ca="1">_xlfn.CONCAT("Days ",TEXT(TODAY(), "mmm yyyy"))</f>
        <v>Days Mar 2025</v>
      </c>
      <c r="M18" s="1">
        <f ca="1">DAY(EOMONTH(TODAY(), 0))</f>
        <v>31</v>
      </c>
      <c r="Q18" s="1">
        <v>300</v>
      </c>
      <c r="R18" s="1">
        <v>599</v>
      </c>
      <c r="S18" s="1">
        <v>250</v>
      </c>
      <c r="W18"/>
      <c r="X18"/>
      <c r="Y18"/>
      <c r="Z18"/>
      <c r="AA18"/>
    </row>
    <row r="19" spans="2:31" x14ac:dyDescent="0.25">
      <c r="B19" s="44"/>
      <c r="C19" s="44"/>
      <c r="D19" s="44"/>
      <c r="E19" s="44"/>
      <c r="F19" s="44"/>
      <c r="G19" s="44"/>
      <c r="H19" s="23"/>
      <c r="L19" s="1" t="s">
        <v>38</v>
      </c>
      <c r="M19" s="1">
        <f ca="1">DAY(TODAY())-1</f>
        <v>6</v>
      </c>
      <c r="Q19" s="1">
        <v>600</v>
      </c>
      <c r="R19" s="1">
        <v>899</v>
      </c>
      <c r="S19" s="1">
        <v>250</v>
      </c>
      <c r="W19"/>
      <c r="X19"/>
      <c r="Y19"/>
      <c r="Z19"/>
      <c r="AA19"/>
    </row>
    <row r="20" spans="2:31" x14ac:dyDescent="0.25">
      <c r="B20" s="23"/>
      <c r="C20" s="23"/>
      <c r="D20" s="23"/>
      <c r="E20" s="23"/>
      <c r="F20" s="23"/>
      <c r="G20" s="23"/>
      <c r="L20" s="1" t="s">
        <v>39</v>
      </c>
      <c r="M20" s="1">
        <f ca="1">M18-M19</f>
        <v>25</v>
      </c>
      <c r="Q20" s="1">
        <v>900</v>
      </c>
      <c r="R20" s="1">
        <v>1199</v>
      </c>
      <c r="S20" s="1">
        <v>200</v>
      </c>
      <c r="W20"/>
      <c r="Y20"/>
      <c r="Z20"/>
      <c r="AA20"/>
    </row>
    <row r="21" spans="2:31" x14ac:dyDescent="0.25">
      <c r="B21" s="23"/>
      <c r="C21" s="23"/>
      <c r="D21" s="23"/>
      <c r="L21" s="1"/>
      <c r="M21" s="1"/>
      <c r="Q21" s="1">
        <v>1200</v>
      </c>
      <c r="R21" s="1">
        <v>1499</v>
      </c>
      <c r="S21" s="1">
        <v>175</v>
      </c>
      <c r="W21"/>
      <c r="X21"/>
      <c r="Y21"/>
      <c r="Z21"/>
      <c r="AA21"/>
      <c r="AD21" s="8"/>
      <c r="AE21" s="8"/>
    </row>
    <row r="22" spans="2:31" x14ac:dyDescent="0.25">
      <c r="B22" s="23"/>
      <c r="C22" s="23"/>
      <c r="D22" s="23"/>
      <c r="L22" s="1" t="s">
        <v>45</v>
      </c>
      <c r="M22" s="16">
        <f ca="1">C10-VLOOKUP(C10,W7:Y11,1,TRUE)</f>
        <v>0</v>
      </c>
      <c r="Q22" s="1">
        <v>1500</v>
      </c>
      <c r="R22" s="1">
        <v>1799</v>
      </c>
      <c r="S22" s="1">
        <v>100</v>
      </c>
      <c r="AA22"/>
      <c r="AD22" s="8"/>
      <c r="AE22" s="8"/>
    </row>
    <row r="23" spans="2:31" x14ac:dyDescent="0.25">
      <c r="B23" s="3"/>
      <c r="L23" s="1" t="s">
        <v>46</v>
      </c>
      <c r="M23" s="16">
        <f ca="1">MAX(0,C8-M22)</f>
        <v>250</v>
      </c>
      <c r="Q23" s="1">
        <v>1800</v>
      </c>
      <c r="R23" s="1">
        <v>1800</v>
      </c>
      <c r="S23" s="1">
        <v>60</v>
      </c>
      <c r="W23"/>
      <c r="X23"/>
      <c r="Y23"/>
      <c r="Z23"/>
      <c r="AA23"/>
    </row>
    <row r="24" spans="2:31" x14ac:dyDescent="0.25">
      <c r="L24" s="1" t="s">
        <v>47</v>
      </c>
      <c r="M24" s="1" cm="1">
        <f t="array" aca="1" ref="M24" ca="1">MAX(_xlfn._xlws.FILTER(_xlfn.ANCHORARRAY(R17),_xlfn.ANCHORARRAY( S17)&gt;=M23))</f>
        <v>899</v>
      </c>
      <c r="W24"/>
      <c r="X24"/>
      <c r="Y24" s="13"/>
      <c r="Z24"/>
      <c r="AA24"/>
    </row>
    <row r="25" spans="2:31" x14ac:dyDescent="0.25">
      <c r="U25" s="3"/>
      <c r="W25"/>
      <c r="X25"/>
      <c r="Y25" s="13"/>
      <c r="Z25"/>
      <c r="AA25"/>
    </row>
    <row r="26" spans="2:31" x14ac:dyDescent="0.25">
      <c r="Y26" s="2"/>
    </row>
    <row r="27" spans="2:31" x14ac:dyDescent="0.25">
      <c r="W27" s="5"/>
      <c r="Y27" s="2"/>
    </row>
    <row r="28" spans="2:31" x14ac:dyDescent="0.25">
      <c r="I28" s="12"/>
      <c r="J28" s="12"/>
      <c r="W28" s="5"/>
      <c r="Y28" s="2"/>
    </row>
    <row r="29" spans="2:31" x14ac:dyDescent="0.25">
      <c r="B29" s="2"/>
      <c r="W29" s="5"/>
      <c r="Y29" s="2"/>
    </row>
    <row r="30" spans="2:31" x14ac:dyDescent="0.25">
      <c r="W30" s="5"/>
      <c r="Y30" s="2"/>
    </row>
    <row r="31" spans="2:31" x14ac:dyDescent="0.25">
      <c r="E31" s="17"/>
      <c r="F31" s="17"/>
      <c r="G31" s="18"/>
      <c r="W31" s="5"/>
      <c r="Y31" s="2"/>
    </row>
    <row r="32" spans="2:31" x14ac:dyDescent="0.25">
      <c r="E32" s="17"/>
      <c r="F32" s="19"/>
      <c r="G32" s="18"/>
      <c r="W32" s="5"/>
      <c r="Y32" s="2"/>
    </row>
    <row r="33" spans="2:25" x14ac:dyDescent="0.25">
      <c r="E33" s="17"/>
      <c r="F33" s="19"/>
      <c r="G33" s="18"/>
      <c r="W33" s="5"/>
      <c r="Y33" s="2"/>
    </row>
    <row r="34" spans="2:25" x14ac:dyDescent="0.25">
      <c r="E34" s="17"/>
      <c r="F34" s="19"/>
      <c r="G34" s="18"/>
      <c r="L34" s="12"/>
      <c r="M34" s="12"/>
      <c r="W34" s="5"/>
    </row>
    <row r="35" spans="2:25" x14ac:dyDescent="0.25">
      <c r="E35" s="17"/>
      <c r="F35" s="19"/>
      <c r="G35" s="18"/>
      <c r="W35" s="5"/>
    </row>
    <row r="36" spans="2:25" x14ac:dyDescent="0.25">
      <c r="E36" s="17"/>
      <c r="F36" s="19"/>
      <c r="G36" s="18"/>
      <c r="W36" s="5"/>
    </row>
    <row r="37" spans="2:25" x14ac:dyDescent="0.25">
      <c r="E37" s="17"/>
      <c r="F37" s="19"/>
      <c r="G37" s="18"/>
      <c r="W37" s="5"/>
    </row>
    <row r="38" spans="2:25" x14ac:dyDescent="0.25">
      <c r="E38" s="17"/>
      <c r="F38" s="19"/>
      <c r="G38" s="18"/>
      <c r="W38" s="5"/>
    </row>
    <row r="39" spans="2:25" x14ac:dyDescent="0.25">
      <c r="E39" s="17"/>
      <c r="F39" s="19"/>
      <c r="G39" s="20"/>
      <c r="W39" s="5"/>
    </row>
    <row r="40" spans="2:25" x14ac:dyDescent="0.25">
      <c r="F40" s="3"/>
    </row>
    <row r="41" spans="2:25" x14ac:dyDescent="0.25">
      <c r="H41" s="12"/>
      <c r="K41" s="12"/>
      <c r="N41" s="12"/>
      <c r="W41" s="5"/>
    </row>
    <row r="42" spans="2:25" x14ac:dyDescent="0.25">
      <c r="B42" s="12"/>
      <c r="W42" s="5"/>
    </row>
    <row r="43" spans="2:25" x14ac:dyDescent="0.25">
      <c r="W43" s="5"/>
    </row>
    <row r="44" spans="2:25" x14ac:dyDescent="0.25">
      <c r="W44" s="5"/>
    </row>
    <row r="45" spans="2:25" x14ac:dyDescent="0.25">
      <c r="W45" s="5"/>
    </row>
    <row r="46" spans="2:25" x14ac:dyDescent="0.25">
      <c r="W46" s="5"/>
    </row>
    <row r="47" spans="2:25" x14ac:dyDescent="0.25">
      <c r="W47" s="5"/>
    </row>
    <row r="48" spans="2:25" x14ac:dyDescent="0.25">
      <c r="W48" s="5"/>
    </row>
    <row r="49" spans="23:23" x14ac:dyDescent="0.25">
      <c r="W49" s="5"/>
    </row>
    <row r="50" spans="23:23" x14ac:dyDescent="0.25">
      <c r="W50" s="5"/>
    </row>
  </sheetData>
  <protectedRanges>
    <protectedRange sqref="F6:G6 C6:C7 C9 C13" name="RequiresInput_1"/>
  </protectedRanges>
  <mergeCells count="13">
    <mergeCell ref="W5:Z5"/>
    <mergeCell ref="AE5:AF5"/>
    <mergeCell ref="L11:M11"/>
    <mergeCell ref="Q15:S15"/>
    <mergeCell ref="B2:J3"/>
    <mergeCell ref="I5:J5"/>
    <mergeCell ref="L5:M5"/>
    <mergeCell ref="O5:U5"/>
    <mergeCell ref="B17:G19"/>
    <mergeCell ref="I6:J6"/>
    <mergeCell ref="I7:J7"/>
    <mergeCell ref="I8:J8"/>
    <mergeCell ref="I10:J10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277B-DEDD-4C06-B4D6-6EBAF4EF9026}">
  <sheetPr>
    <pageSetUpPr fitToPage="1"/>
  </sheetPr>
  <dimension ref="B2:AF50"/>
  <sheetViews>
    <sheetView zoomScale="79" zoomScaleNormal="100" workbookViewId="0">
      <selection activeCell="AC18" sqref="AC18"/>
    </sheetView>
  </sheetViews>
  <sheetFormatPr defaultColWidth="8.85546875" defaultRowHeight="15" x14ac:dyDescent="0.25"/>
  <cols>
    <col min="1" max="1" width="2.7109375" style="5" customWidth="1"/>
    <col min="2" max="2" width="25.140625" style="5" bestFit="1" customWidth="1"/>
    <col min="3" max="3" width="9.7109375" style="5" customWidth="1"/>
    <col min="4" max="4" width="2.7109375" style="5" customWidth="1"/>
    <col min="5" max="5" width="16.140625" customWidth="1"/>
    <col min="6" max="6" width="11.140625" style="5" bestFit="1" customWidth="1"/>
    <col min="7" max="7" width="9.7109375" style="5" customWidth="1"/>
    <col min="8" max="8" width="2.7109375" style="5" customWidth="1"/>
    <col min="9" max="10" width="9.7109375" style="5" customWidth="1"/>
    <col min="11" max="11" width="2.7109375" style="5" customWidth="1"/>
    <col min="12" max="12" width="22.42578125" style="5" bestFit="1" customWidth="1"/>
    <col min="13" max="13" width="11.28515625" style="5" customWidth="1"/>
    <col min="14" max="14" width="2.7109375" style="5" customWidth="1"/>
    <col min="15" max="20" width="9.7109375" style="5" hidden="1" customWidth="1"/>
    <col min="21" max="21" width="11.42578125" style="5" hidden="1" customWidth="1"/>
    <col min="22" max="22" width="2.7109375" style="5" hidden="1" customWidth="1"/>
    <col min="23" max="23" width="9.7109375" style="11" hidden="1" customWidth="1"/>
    <col min="24" max="26" width="9.7109375" style="5" hidden="1" customWidth="1"/>
    <col min="27" max="27" width="8.85546875" style="5" customWidth="1"/>
    <col min="28" max="28" width="8.85546875" style="5"/>
    <col min="29" max="29" width="8.85546875" style="5" customWidth="1"/>
    <col min="30" max="16384" width="8.85546875" style="5"/>
  </cols>
  <sheetData>
    <row r="2" spans="2:32" ht="14.45" customHeight="1" x14ac:dyDescent="0.25">
      <c r="B2" s="53" t="str">
        <f ca="1">_xlfn.CONCAT("Drive Summary ", M13, " ",TEXT(TODAY(), "mmmm yyyy"))</f>
        <v>Drive Summary Derrick March 2025</v>
      </c>
      <c r="C2" s="53"/>
      <c r="D2" s="53"/>
      <c r="E2" s="53"/>
      <c r="F2" s="53"/>
      <c r="G2" s="53"/>
      <c r="H2" s="53"/>
      <c r="I2" s="53"/>
      <c r="J2" s="53"/>
    </row>
    <row r="3" spans="2:32" ht="14.45" customHeight="1" x14ac:dyDescent="0.25">
      <c r="B3" s="53"/>
      <c r="C3" s="53"/>
      <c r="D3" s="53"/>
      <c r="E3" s="53"/>
      <c r="F3" s="53"/>
      <c r="G3" s="53"/>
      <c r="H3" s="53"/>
      <c r="I3" s="53"/>
      <c r="J3" s="53"/>
    </row>
    <row r="5" spans="2:32" x14ac:dyDescent="0.25">
      <c r="B5" s="1" t="s">
        <v>0</v>
      </c>
      <c r="C5" s="16">
        <f ca="1">MIN(1500, IF($C$16,G7,G6+G13))</f>
        <v>1500</v>
      </c>
      <c r="D5"/>
      <c r="E5" s="6" t="str">
        <f ca="1">TEXT(TODAY(), "mmmm yyyy")</f>
        <v>March 2025</v>
      </c>
      <c r="F5" s="6" t="s">
        <v>1</v>
      </c>
      <c r="G5" s="6" t="s">
        <v>2</v>
      </c>
      <c r="I5" s="48" t="s">
        <v>41</v>
      </c>
      <c r="J5" s="49"/>
      <c r="L5" s="48" t="s">
        <v>30</v>
      </c>
      <c r="M5" s="49"/>
      <c r="O5" s="48" t="s">
        <v>13</v>
      </c>
      <c r="P5" s="50"/>
      <c r="Q5" s="50"/>
      <c r="R5" s="50"/>
      <c r="S5" s="50"/>
      <c r="T5" s="50"/>
      <c r="U5" s="49"/>
      <c r="W5" s="48" t="s">
        <v>3</v>
      </c>
      <c r="X5" s="50"/>
      <c r="Y5" s="50"/>
      <c r="Z5" s="49"/>
      <c r="AE5" s="51"/>
      <c r="AF5" s="51"/>
    </row>
    <row r="6" spans="2:32" x14ac:dyDescent="0.25">
      <c r="B6" s="1" t="s">
        <v>4</v>
      </c>
      <c r="C6" s="14">
        <v>150</v>
      </c>
      <c r="E6" s="1" t="s">
        <v>5</v>
      </c>
      <c r="F6" s="21">
        <v>119</v>
      </c>
      <c r="G6" s="14">
        <v>300</v>
      </c>
      <c r="I6" s="45" t="s">
        <v>30</v>
      </c>
      <c r="J6" s="45"/>
      <c r="L6" s="27" t="s">
        <v>8</v>
      </c>
      <c r="M6" s="28" t="s">
        <v>2</v>
      </c>
      <c r="O6" s="34" t="s">
        <v>6</v>
      </c>
      <c r="P6" s="35" t="s">
        <v>7</v>
      </c>
      <c r="Q6" s="35" t="s">
        <v>12</v>
      </c>
      <c r="R6" s="35" t="s">
        <v>14</v>
      </c>
      <c r="S6" s="35" t="s">
        <v>17</v>
      </c>
      <c r="T6" s="35" t="s">
        <v>19</v>
      </c>
      <c r="U6" s="36" t="s">
        <v>20</v>
      </c>
      <c r="W6" s="6" t="s">
        <v>6</v>
      </c>
      <c r="X6" s="6" t="s">
        <v>7</v>
      </c>
      <c r="Y6" s="6" t="s">
        <v>8</v>
      </c>
      <c r="Z6" s="6" t="s">
        <v>9</v>
      </c>
      <c r="AD6"/>
      <c r="AE6" s="24"/>
      <c r="AF6" s="24"/>
    </row>
    <row r="7" spans="2:32" x14ac:dyDescent="0.25">
      <c r="B7" s="1" t="s">
        <v>10</v>
      </c>
      <c r="C7" s="29">
        <f>IF( AND( M8&lt;=M15+M14, M8&gt;=M15-M14 ), M8, M15)</f>
        <v>300</v>
      </c>
      <c r="D7" s="8"/>
      <c r="E7" s="1" t="s">
        <v>11</v>
      </c>
      <c r="F7" s="16">
        <f ca="1">F6/M19*M18</f>
        <v>614.83333333333326</v>
      </c>
      <c r="G7" s="16">
        <f ca="1">G6/M19*M18</f>
        <v>1550</v>
      </c>
      <c r="I7" s="46" t="s">
        <v>42</v>
      </c>
      <c r="J7" s="46"/>
      <c r="L7" s="1" t="s">
        <v>13</v>
      </c>
      <c r="M7" s="30">
        <v>200</v>
      </c>
      <c r="O7" s="38">
        <v>0</v>
      </c>
      <c r="P7" s="1">
        <v>299</v>
      </c>
      <c r="Q7" s="1">
        <v>300</v>
      </c>
      <c r="R7" s="1">
        <v>300</v>
      </c>
      <c r="S7" s="1">
        <v>300</v>
      </c>
      <c r="T7" s="1">
        <v>300</v>
      </c>
      <c r="U7" s="32">
        <v>300</v>
      </c>
      <c r="W7" s="1">
        <v>0</v>
      </c>
      <c r="X7" s="1">
        <v>799</v>
      </c>
      <c r="Y7" s="1" t="s">
        <v>12</v>
      </c>
      <c r="Z7" s="9">
        <v>0.05</v>
      </c>
      <c r="AE7" s="8"/>
    </row>
    <row r="8" spans="2:32" x14ac:dyDescent="0.25">
      <c r="B8" s="1" t="s">
        <v>13</v>
      </c>
      <c r="C8" s="31">
        <f>VLOOKUP(IF(C16,F7,F6),Q17:S23,3)</f>
        <v>300</v>
      </c>
      <c r="F8"/>
      <c r="I8" s="47" t="s">
        <v>43</v>
      </c>
      <c r="J8" s="47"/>
      <c r="L8" s="32" t="s">
        <v>29</v>
      </c>
      <c r="M8" s="21">
        <v>300</v>
      </c>
      <c r="O8" s="38">
        <v>300</v>
      </c>
      <c r="P8" s="1">
        <v>599</v>
      </c>
      <c r="Q8" s="1">
        <v>100</v>
      </c>
      <c r="R8" s="1">
        <v>150</v>
      </c>
      <c r="S8" s="1">
        <v>200</v>
      </c>
      <c r="T8" s="1">
        <v>250</v>
      </c>
      <c r="U8" s="32">
        <v>300</v>
      </c>
      <c r="W8" s="1">
        <v>800</v>
      </c>
      <c r="X8" s="1">
        <v>1599</v>
      </c>
      <c r="Y8" s="1" t="s">
        <v>14</v>
      </c>
      <c r="Z8" s="9">
        <v>0.1</v>
      </c>
    </row>
    <row r="9" spans="2:32" x14ac:dyDescent="0.25">
      <c r="B9" s="1" t="s">
        <v>15</v>
      </c>
      <c r="C9" s="14">
        <v>300</v>
      </c>
      <c r="E9" s="6" t="s">
        <v>16</v>
      </c>
      <c r="F9" s="6" t="s">
        <v>1</v>
      </c>
      <c r="G9" s="6" t="s">
        <v>2</v>
      </c>
      <c r="L9" s="32" t="s">
        <v>40</v>
      </c>
      <c r="M9" s="21" t="s">
        <v>19</v>
      </c>
      <c r="O9" s="38">
        <v>600</v>
      </c>
      <c r="P9" s="1">
        <v>899</v>
      </c>
      <c r="Q9" s="1">
        <v>75</v>
      </c>
      <c r="R9" s="1">
        <v>150</v>
      </c>
      <c r="S9" s="1">
        <v>200</v>
      </c>
      <c r="T9" s="1">
        <v>250</v>
      </c>
      <c r="U9" s="32">
        <v>300</v>
      </c>
      <c r="W9" s="1">
        <v>1600</v>
      </c>
      <c r="X9" s="1">
        <v>2199</v>
      </c>
      <c r="Y9" s="1" t="s">
        <v>17</v>
      </c>
      <c r="Z9" s="9">
        <v>0.2</v>
      </c>
      <c r="AB9" s="8"/>
    </row>
    <row r="10" spans="2:32" x14ac:dyDescent="0.25">
      <c r="B10" s="6" t="s">
        <v>18</v>
      </c>
      <c r="C10" s="7">
        <f ca="1">SUM(C5:C9)</f>
        <v>2550</v>
      </c>
      <c r="E10" s="1" t="s">
        <v>5</v>
      </c>
      <c r="F10" s="15">
        <f ca="1">F6/M19</f>
        <v>19.833333333333332</v>
      </c>
      <c r="G10" s="15">
        <f ca="1">G6/M19</f>
        <v>50</v>
      </c>
      <c r="I10" s="48" t="s">
        <v>29</v>
      </c>
      <c r="J10" s="49"/>
      <c r="O10" s="38">
        <v>900</v>
      </c>
      <c r="P10" s="1">
        <v>1199</v>
      </c>
      <c r="Q10" s="1">
        <v>50</v>
      </c>
      <c r="R10" s="1">
        <v>100</v>
      </c>
      <c r="S10" s="1">
        <v>150</v>
      </c>
      <c r="T10" s="1">
        <v>200</v>
      </c>
      <c r="U10" s="32">
        <v>300</v>
      </c>
      <c r="W10" s="1">
        <v>2200</v>
      </c>
      <c r="X10" s="1">
        <v>2499</v>
      </c>
      <c r="Y10" s="1" t="s">
        <v>19</v>
      </c>
      <c r="Z10" s="9">
        <v>0.35</v>
      </c>
    </row>
    <row r="11" spans="2:32" x14ac:dyDescent="0.25">
      <c r="I11" s="6" t="s">
        <v>31</v>
      </c>
      <c r="J11" s="6" t="s">
        <v>2</v>
      </c>
      <c r="L11" s="48" t="s">
        <v>32</v>
      </c>
      <c r="M11" s="49"/>
      <c r="O11" s="38">
        <v>1200</v>
      </c>
      <c r="P11" s="1">
        <v>1499</v>
      </c>
      <c r="Q11" s="1">
        <v>25</v>
      </c>
      <c r="R11" s="1">
        <v>75</v>
      </c>
      <c r="S11" s="1">
        <v>100</v>
      </c>
      <c r="T11" s="1">
        <v>175</v>
      </c>
      <c r="U11" s="32">
        <v>300</v>
      </c>
      <c r="W11" s="4">
        <v>2500</v>
      </c>
      <c r="X11" s="1">
        <v>3000</v>
      </c>
      <c r="Y11" s="1" t="s">
        <v>20</v>
      </c>
      <c r="Z11" s="9">
        <v>0.5</v>
      </c>
      <c r="AC11"/>
    </row>
    <row r="12" spans="2:32" x14ac:dyDescent="0.25">
      <c r="B12" s="1" t="s">
        <v>21</v>
      </c>
      <c r="C12" s="1" t="str">
        <f ca="1">VLOOKUP(C10,W7:Y11,3,TRUE)</f>
        <v>Diamond</v>
      </c>
      <c r="D12" s="8"/>
      <c r="E12" s="17"/>
      <c r="F12" s="6" t="s">
        <v>1</v>
      </c>
      <c r="G12" s="6" t="s">
        <v>2</v>
      </c>
      <c r="I12" s="37">
        <v>0</v>
      </c>
      <c r="J12" s="37">
        <f>2*NightTimeDrive55246[[#This Row],[Time]]</f>
        <v>0</v>
      </c>
      <c r="L12" s="27" t="s">
        <v>33</v>
      </c>
      <c r="M12" s="28" t="s">
        <v>34</v>
      </c>
      <c r="O12" s="38">
        <v>1500</v>
      </c>
      <c r="P12" s="1">
        <v>1799</v>
      </c>
      <c r="Q12" s="1">
        <v>10</v>
      </c>
      <c r="R12" s="1">
        <v>25</v>
      </c>
      <c r="S12" s="1">
        <v>50</v>
      </c>
      <c r="T12" s="1">
        <v>100</v>
      </c>
      <c r="U12" s="32">
        <v>250</v>
      </c>
      <c r="W12" s="5"/>
      <c r="AC12" s="24"/>
    </row>
    <row r="13" spans="2:32" x14ac:dyDescent="0.25">
      <c r="B13" s="1" t="s">
        <v>22</v>
      </c>
      <c r="C13" s="25">
        <v>0</v>
      </c>
      <c r="E13" s="1" t="s">
        <v>23</v>
      </c>
      <c r="F13" s="16">
        <f ca="1">IF(M24&gt;=P13, "Unlimited", M24-F6)</f>
        <v>780</v>
      </c>
      <c r="G13" s="16">
        <f ca="1">50*M20 + IF(M18&lt;30,(30-M18)*G10,0)</f>
        <v>1250</v>
      </c>
      <c r="I13" s="39">
        <v>0</v>
      </c>
      <c r="J13" s="39">
        <f>2*NightTimeDrive55246[[#This Row],[Time]]</f>
        <v>0</v>
      </c>
      <c r="L13" s="1" t="s">
        <v>35</v>
      </c>
      <c r="M13" s="40" t="s">
        <v>28</v>
      </c>
      <c r="O13" s="41">
        <v>1800</v>
      </c>
      <c r="P13" s="33">
        <v>1800</v>
      </c>
      <c r="Q13" s="33">
        <v>5</v>
      </c>
      <c r="R13" s="33">
        <v>10</v>
      </c>
      <c r="S13" s="33">
        <v>25</v>
      </c>
      <c r="T13" s="33">
        <v>60</v>
      </c>
      <c r="U13" s="42">
        <v>100</v>
      </c>
      <c r="X13"/>
      <c r="Z13"/>
      <c r="AC13" s="24"/>
      <c r="AD13" s="8"/>
    </row>
    <row r="14" spans="2:32" x14ac:dyDescent="0.25">
      <c r="B14" s="6" t="s">
        <v>25</v>
      </c>
      <c r="C14" s="7">
        <f ca="1">C13*VLOOKUP(C12,Y6:Z11,2,FALSE)*10</f>
        <v>0</v>
      </c>
      <c r="L14" s="1" t="s">
        <v>36</v>
      </c>
      <c r="M14" s="43">
        <v>10</v>
      </c>
      <c r="W14"/>
      <c r="X14"/>
      <c r="Y14"/>
      <c r="Z14"/>
      <c r="AA14"/>
    </row>
    <row r="15" spans="2:32" x14ac:dyDescent="0.25">
      <c r="D15" s="10"/>
      <c r="L15" s="32" t="s">
        <v>29</v>
      </c>
      <c r="M15" s="1">
        <f>300-SUM(NightTimeDrive55246[Points])</f>
        <v>300</v>
      </c>
      <c r="Q15" s="52" t="str">
        <f>_xlfn.CONCAT("Distance Points for ",M9)</f>
        <v>Distance Points for Gold</v>
      </c>
      <c r="R15" s="52"/>
      <c r="S15" s="52"/>
      <c r="W15"/>
      <c r="X15"/>
      <c r="Y15" s="26"/>
      <c r="Z15"/>
      <c r="AA15"/>
      <c r="AD15" s="8"/>
      <c r="AE15" s="8"/>
    </row>
    <row r="16" spans="2:32" x14ac:dyDescent="0.25">
      <c r="B16" t="s">
        <v>26</v>
      </c>
      <c r="C16" s="22" t="b">
        <v>0</v>
      </c>
      <c r="L16" s="1" t="s">
        <v>37</v>
      </c>
      <c r="M16" s="1" t="str">
        <f>IF( AND( M8&lt;=M15+M14, M8&gt;=M15-M14 ), "Extract", "Calculate")</f>
        <v>Extract</v>
      </c>
      <c r="Q16" s="6" t="s">
        <v>6</v>
      </c>
      <c r="R16" s="6" t="s">
        <v>7</v>
      </c>
      <c r="S16" s="6" t="s">
        <v>2</v>
      </c>
      <c r="W16"/>
      <c r="X16"/>
      <c r="Z16"/>
      <c r="AA16"/>
    </row>
    <row r="17" spans="2:31" ht="14.45" customHeight="1" x14ac:dyDescent="0.25">
      <c r="B17" s="44" t="s">
        <v>44</v>
      </c>
      <c r="C17" s="44"/>
      <c r="D17" s="44"/>
      <c r="E17" s="44"/>
      <c r="F17" s="44"/>
      <c r="G17" s="44"/>
      <c r="H17" s="23"/>
      <c r="L17" s="1"/>
      <c r="M17" s="1"/>
      <c r="Q17" s="1" cm="1">
        <f t="array" ref="Q17:Q23">Table257[Lower]</f>
        <v>0</v>
      </c>
      <c r="R17" s="1" cm="1">
        <f t="array" ref="R17:R23">Table257[Upper]</f>
        <v>299</v>
      </c>
      <c r="S17" s="1" cm="1">
        <f t="array" ref="S17:S23">_xlfn.XLOOKUP(M9,Table257[#Headers],Table257[])</f>
        <v>300</v>
      </c>
      <c r="W17"/>
      <c r="X17"/>
      <c r="Y17"/>
      <c r="Z17"/>
      <c r="AA17"/>
    </row>
    <row r="18" spans="2:31" x14ac:dyDescent="0.25">
      <c r="B18" s="44"/>
      <c r="C18" s="44"/>
      <c r="D18" s="44"/>
      <c r="E18" s="44"/>
      <c r="F18" s="44"/>
      <c r="G18" s="44"/>
      <c r="H18" s="23"/>
      <c r="L18" s="1" t="str">
        <f ca="1">_xlfn.CONCAT("Days ",TEXT(TODAY(), "mmm yyyy"))</f>
        <v>Days Mar 2025</v>
      </c>
      <c r="M18" s="1">
        <f ca="1">DAY(EOMONTH(TODAY(), 0))</f>
        <v>31</v>
      </c>
      <c r="Q18" s="1">
        <v>300</v>
      </c>
      <c r="R18" s="1">
        <v>599</v>
      </c>
      <c r="S18" s="1">
        <v>250</v>
      </c>
      <c r="W18"/>
      <c r="X18"/>
      <c r="Y18"/>
      <c r="Z18"/>
      <c r="AA18"/>
    </row>
    <row r="19" spans="2:31" x14ac:dyDescent="0.25">
      <c r="B19" s="44"/>
      <c r="C19" s="44"/>
      <c r="D19" s="44"/>
      <c r="E19" s="44"/>
      <c r="F19" s="44"/>
      <c r="G19" s="44"/>
      <c r="H19" s="23"/>
      <c r="L19" s="1" t="s">
        <v>38</v>
      </c>
      <c r="M19" s="1">
        <f ca="1">DAY(TODAY())-1</f>
        <v>6</v>
      </c>
      <c r="Q19" s="1">
        <v>600</v>
      </c>
      <c r="R19" s="1">
        <v>899</v>
      </c>
      <c r="S19" s="1">
        <v>250</v>
      </c>
      <c r="W19"/>
      <c r="X19"/>
      <c r="Y19"/>
      <c r="Z19"/>
      <c r="AA19"/>
    </row>
    <row r="20" spans="2:31" x14ac:dyDescent="0.25">
      <c r="B20" s="23"/>
      <c r="C20" s="23"/>
      <c r="D20" s="23"/>
      <c r="E20" s="23"/>
      <c r="F20" s="23"/>
      <c r="G20" s="23"/>
      <c r="L20" s="1" t="s">
        <v>39</v>
      </c>
      <c r="M20" s="1">
        <f ca="1">M18-M19</f>
        <v>25</v>
      </c>
      <c r="Q20" s="1">
        <v>900</v>
      </c>
      <c r="R20" s="1">
        <v>1199</v>
      </c>
      <c r="S20" s="1">
        <v>200</v>
      </c>
      <c r="W20"/>
      <c r="Y20"/>
      <c r="Z20"/>
      <c r="AA20"/>
    </row>
    <row r="21" spans="2:31" x14ac:dyDescent="0.25">
      <c r="B21" s="23"/>
      <c r="C21" s="23"/>
      <c r="D21" s="23"/>
      <c r="L21" s="1"/>
      <c r="M21" s="1"/>
      <c r="Q21" s="1">
        <v>1200</v>
      </c>
      <c r="R21" s="1">
        <v>1499</v>
      </c>
      <c r="S21" s="1">
        <v>175</v>
      </c>
      <c r="W21"/>
      <c r="X21"/>
      <c r="Y21"/>
      <c r="Z21"/>
      <c r="AA21"/>
      <c r="AD21" s="8"/>
      <c r="AE21" s="8"/>
    </row>
    <row r="22" spans="2:31" x14ac:dyDescent="0.25">
      <c r="B22" s="23"/>
      <c r="C22" s="23"/>
      <c r="D22" s="23"/>
      <c r="L22" s="1" t="s">
        <v>45</v>
      </c>
      <c r="M22" s="16">
        <f ca="1">C10-VLOOKUP(C10,W7:Y11,1,TRUE)</f>
        <v>50</v>
      </c>
      <c r="Q22" s="1">
        <v>1500</v>
      </c>
      <c r="R22" s="1">
        <v>1799</v>
      </c>
      <c r="S22" s="1">
        <v>100</v>
      </c>
      <c r="AA22"/>
      <c r="AD22" s="8"/>
      <c r="AE22" s="8"/>
    </row>
    <row r="23" spans="2:31" x14ac:dyDescent="0.25">
      <c r="B23" s="3"/>
      <c r="L23" s="1" t="s">
        <v>46</v>
      </c>
      <c r="M23" s="16">
        <f ca="1">MAX(0,C8-M22)</f>
        <v>250</v>
      </c>
      <c r="Q23" s="1">
        <v>1800</v>
      </c>
      <c r="R23" s="1">
        <v>1800</v>
      </c>
      <c r="S23" s="1">
        <v>60</v>
      </c>
      <c r="W23"/>
      <c r="X23"/>
      <c r="Y23"/>
      <c r="Z23"/>
      <c r="AA23"/>
    </row>
    <row r="24" spans="2:31" x14ac:dyDescent="0.25">
      <c r="L24" s="1" t="s">
        <v>47</v>
      </c>
      <c r="M24" s="1" cm="1">
        <f t="array" aca="1" ref="M24" ca="1">MAX(_xlfn._xlws.FILTER(_xlfn.ANCHORARRAY(R17),_xlfn.ANCHORARRAY( S17)&gt;=M23))</f>
        <v>899</v>
      </c>
      <c r="W24"/>
      <c r="X24"/>
      <c r="Y24" s="13"/>
      <c r="Z24"/>
      <c r="AA24"/>
    </row>
    <row r="25" spans="2:31" x14ac:dyDescent="0.25">
      <c r="U25" s="3"/>
      <c r="W25"/>
      <c r="X25"/>
      <c r="Y25" s="13"/>
      <c r="Z25"/>
      <c r="AA25"/>
    </row>
    <row r="26" spans="2:31" x14ac:dyDescent="0.25">
      <c r="Y26" s="2"/>
    </row>
    <row r="27" spans="2:31" x14ac:dyDescent="0.25">
      <c r="W27" s="5"/>
      <c r="Y27" s="2"/>
    </row>
    <row r="28" spans="2:31" x14ac:dyDescent="0.25">
      <c r="I28" s="12"/>
      <c r="J28" s="12"/>
      <c r="W28" s="5"/>
      <c r="Y28" s="2"/>
    </row>
    <row r="29" spans="2:31" x14ac:dyDescent="0.25">
      <c r="B29" s="2"/>
      <c r="W29" s="5"/>
      <c r="Y29" s="2"/>
    </row>
    <row r="30" spans="2:31" x14ac:dyDescent="0.25">
      <c r="W30" s="5"/>
      <c r="Y30" s="2"/>
    </row>
    <row r="31" spans="2:31" x14ac:dyDescent="0.25">
      <c r="E31" s="17"/>
      <c r="F31" s="17"/>
      <c r="G31" s="18"/>
      <c r="W31" s="5"/>
      <c r="Y31" s="2"/>
    </row>
    <row r="32" spans="2:31" x14ac:dyDescent="0.25">
      <c r="E32" s="17"/>
      <c r="F32" s="19"/>
      <c r="G32" s="18"/>
      <c r="W32" s="5"/>
      <c r="Y32" s="2"/>
    </row>
    <row r="33" spans="2:25" x14ac:dyDescent="0.25">
      <c r="E33" s="17"/>
      <c r="F33" s="19"/>
      <c r="G33" s="18"/>
      <c r="W33" s="5"/>
      <c r="Y33" s="2"/>
    </row>
    <row r="34" spans="2:25" x14ac:dyDescent="0.25">
      <c r="E34" s="17"/>
      <c r="F34" s="19"/>
      <c r="G34" s="18"/>
      <c r="L34" s="12"/>
      <c r="M34" s="12"/>
      <c r="W34" s="5"/>
    </row>
    <row r="35" spans="2:25" x14ac:dyDescent="0.25">
      <c r="E35" s="17"/>
      <c r="F35" s="19"/>
      <c r="G35" s="18"/>
      <c r="W35" s="5"/>
    </row>
    <row r="36" spans="2:25" x14ac:dyDescent="0.25">
      <c r="E36" s="17"/>
      <c r="F36" s="19"/>
      <c r="G36" s="18"/>
      <c r="W36" s="5"/>
    </row>
    <row r="37" spans="2:25" x14ac:dyDescent="0.25">
      <c r="E37" s="17"/>
      <c r="F37" s="19"/>
      <c r="G37" s="18"/>
      <c r="W37" s="5"/>
    </row>
    <row r="38" spans="2:25" x14ac:dyDescent="0.25">
      <c r="E38" s="17"/>
      <c r="F38" s="19"/>
      <c r="G38" s="18"/>
      <c r="W38" s="5"/>
    </row>
    <row r="39" spans="2:25" x14ac:dyDescent="0.25">
      <c r="E39" s="17"/>
      <c r="F39" s="19"/>
      <c r="G39" s="20"/>
      <c r="W39" s="5"/>
    </row>
    <row r="40" spans="2:25" x14ac:dyDescent="0.25">
      <c r="F40" s="3"/>
    </row>
    <row r="41" spans="2:25" x14ac:dyDescent="0.25">
      <c r="H41" s="12"/>
      <c r="K41" s="12"/>
      <c r="N41" s="12"/>
      <c r="W41" s="5"/>
    </row>
    <row r="42" spans="2:25" x14ac:dyDescent="0.25">
      <c r="B42" s="12"/>
      <c r="W42" s="5"/>
    </row>
    <row r="43" spans="2:25" x14ac:dyDescent="0.25">
      <c r="W43" s="5"/>
    </row>
    <row r="44" spans="2:25" x14ac:dyDescent="0.25">
      <c r="W44" s="5"/>
    </row>
    <row r="45" spans="2:25" x14ac:dyDescent="0.25">
      <c r="W45" s="5"/>
    </row>
    <row r="46" spans="2:25" x14ac:dyDescent="0.25">
      <c r="W46" s="5"/>
    </row>
    <row r="47" spans="2:25" x14ac:dyDescent="0.25">
      <c r="W47" s="5"/>
    </row>
    <row r="48" spans="2:25" x14ac:dyDescent="0.25">
      <c r="W48" s="5"/>
    </row>
    <row r="49" spans="23:23" x14ac:dyDescent="0.25">
      <c r="W49" s="5"/>
    </row>
    <row r="50" spans="23:23" x14ac:dyDescent="0.25">
      <c r="W50" s="5"/>
    </row>
  </sheetData>
  <protectedRanges>
    <protectedRange sqref="F6:G6 C6:C7 C9 C13" name="RequiresInput_1"/>
  </protectedRanges>
  <mergeCells count="13">
    <mergeCell ref="W5:Z5"/>
    <mergeCell ref="AE5:AF5"/>
    <mergeCell ref="L11:M11"/>
    <mergeCell ref="Q15:S15"/>
    <mergeCell ref="B2:J3"/>
    <mergeCell ref="I5:J5"/>
    <mergeCell ref="L5:M5"/>
    <mergeCell ref="O5:U5"/>
    <mergeCell ref="B17:G19"/>
    <mergeCell ref="I6:J6"/>
    <mergeCell ref="I7:J7"/>
    <mergeCell ref="I8:J8"/>
    <mergeCell ref="I10:J10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3C97B-B9F0-403A-BF5F-014AEC3C8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Stefan</vt:lpstr>
      <vt:lpstr>Christiaan</vt:lpstr>
      <vt:lpstr>Derrick</vt:lpstr>
      <vt:lpstr>Christiaan!Username</vt:lpstr>
      <vt:lpstr>Derrick!Username</vt:lpstr>
      <vt:lpstr>Stefan!Username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Christiaan Oberholzer</dc:creator>
  <cp:keywords/>
  <dc:description/>
  <cp:lastModifiedBy>Stefan Oberholzer</cp:lastModifiedBy>
  <cp:revision/>
  <cp:lastPrinted>2024-09-30T18:20:25Z</cp:lastPrinted>
  <dcterms:created xsi:type="dcterms:W3CDTF">2023-09-18T15:21:34Z</dcterms:created>
  <dcterms:modified xsi:type="dcterms:W3CDTF">2025-03-07T20:32:34Z</dcterms:modified>
  <cp:category/>
  <cp:contentStatus/>
</cp:coreProperties>
</file>