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2fd3bccd6dbaea2b/GitGud/DriveAssistant/ExcelDriveSummary/"/>
    </mc:Choice>
  </mc:AlternateContent>
  <xr:revisionPtr revIDLastSave="78" documentId="13_ncr:1_{3A17151E-37E9-4B2A-B0B5-F67B46E403E1}" xr6:coauthVersionLast="47" xr6:coauthVersionMax="47" xr10:uidLastSave="{FF5F021D-BC34-4EEE-9612-E8101041C925}"/>
  <bookViews>
    <workbookView xWindow="-120" yWindow="-120" windowWidth="20730" windowHeight="11040" activeTab="2" xr2:uid="{B12B6E18-E294-4985-A977-422328ADD677}"/>
  </bookViews>
  <sheets>
    <sheet name="Stefan" sheetId="9" r:id="rId1"/>
    <sheet name="Christiaan" sheetId="10" r:id="rId2"/>
    <sheet name="Derrick" sheetId="11" r:id="rId3"/>
  </sheets>
  <definedNames>
    <definedName name="Username" localSheetId="1">Christiaan!$M$12</definedName>
    <definedName name="Username" localSheetId="2">Derrick!$M$12</definedName>
    <definedName name="Username">Stefan!$M$12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 r="G13" i="11" l="1"/>
  <c r="G10" i="11"/>
  <c r="F10" i="11"/>
  <c r="J7" i="11"/>
  <c r="M14" i="11" s="1"/>
  <c r="G7" i="11"/>
  <c r="F7" i="11"/>
  <c r="C8" i="11" s="1"/>
  <c r="E5" i="11"/>
  <c r="G13" i="10"/>
  <c r="G10" i="10"/>
  <c r="F10" i="10"/>
  <c r="J7" i="10"/>
  <c r="M14" i="10" s="1"/>
  <c r="M16" i="10" s="1"/>
  <c r="G7" i="10"/>
  <c r="F7" i="10"/>
  <c r="C8" i="10" s="1"/>
  <c r="E5" i="10"/>
  <c r="B2" i="10"/>
  <c r="G13" i="9"/>
  <c r="G10" i="9"/>
  <c r="F10" i="9"/>
  <c r="J7" i="9"/>
  <c r="M14" i="9" s="1"/>
  <c r="M16" i="9" s="1"/>
  <c r="G7" i="9"/>
  <c r="F7" i="9"/>
  <c r="C8" i="9" s="1"/>
  <c r="E5" i="9"/>
  <c r="B2" i="9"/>
  <c r="C5" i="10" l="1"/>
  <c r="C5" i="11"/>
  <c r="C5" i="9"/>
  <c r="M16" i="11"/>
  <c r="C7" i="11"/>
  <c r="C7" i="10"/>
  <c r="C7" i="9"/>
  <c r="C10" i="10" l="1"/>
  <c r="M13" i="10" s="1"/>
  <c r="F13" i="10" s="1"/>
  <c r="C10" i="11"/>
  <c r="C12" i="11" s="1"/>
  <c r="C14" i="11" s="1"/>
  <c r="C10" i="9"/>
  <c r="M13" i="9" s="1"/>
  <c r="F13" i="9" s="1"/>
  <c r="C12" i="10" l="1"/>
  <c r="C14" i="10" s="1"/>
  <c r="M13" i="11"/>
  <c r="F13" i="11" s="1"/>
  <c r="C12" i="9"/>
  <c r="C14" i="9" s="1"/>
</calcChain>
</file>

<file path=xl/sharedStrings.xml><?xml version="1.0" encoding="utf-8"?>
<sst xmlns="http://schemas.openxmlformats.org/spreadsheetml/2006/main" count="159" uniqueCount="41">
  <si>
    <t>Driving Profile</t>
  </si>
  <si>
    <t>Distance</t>
  </si>
  <si>
    <t>Points</t>
  </si>
  <si>
    <t>Distance Brackets</t>
  </si>
  <si>
    <t>Driving Status</t>
  </si>
  <si>
    <t>Claim Free Years</t>
  </si>
  <si>
    <t>Actual</t>
  </si>
  <si>
    <t>Lower</t>
  </si>
  <si>
    <t>Upper</t>
  </si>
  <si>
    <t>Category</t>
  </si>
  <si>
    <t>Fuel %</t>
  </si>
  <si>
    <t>Night Time Driving</t>
  </si>
  <si>
    <t>Prediction</t>
  </si>
  <si>
    <t>Blue</t>
  </si>
  <si>
    <t>Distance Points</t>
  </si>
  <si>
    <t>Bronze</t>
  </si>
  <si>
    <t>MultiPoint Check</t>
  </si>
  <si>
    <t>Daily Average</t>
  </si>
  <si>
    <t>Silver</t>
  </si>
  <si>
    <t>Accumulated Points</t>
  </si>
  <si>
    <t>Gold</t>
  </si>
  <si>
    <t>Diamond</t>
  </si>
  <si>
    <t>Vitality Drive Status</t>
  </si>
  <si>
    <t>Qualifying Fuel Spend</t>
  </si>
  <si>
    <t>Remaining</t>
  </si>
  <si>
    <t>Stefan</t>
  </si>
  <si>
    <t>Fuel Cash Back in Miles</t>
  </si>
  <si>
    <t>Predict Status</t>
  </si>
  <si>
    <t>Christiaan</t>
  </si>
  <si>
    <t>Derrick</t>
  </si>
  <si>
    <t>Night Time Drive</t>
  </si>
  <si>
    <t>Extracted Data</t>
  </si>
  <si>
    <t>Time</t>
  </si>
  <si>
    <t>Calculated Data</t>
  </si>
  <si>
    <t>Description</t>
  </si>
  <si>
    <t>Value</t>
  </si>
  <si>
    <t>Username</t>
  </si>
  <si>
    <t>Rem Distance Pts</t>
  </si>
  <si>
    <t>Night Pts Tolerance</t>
  </si>
  <si>
    <t>Night Extr or Calc</t>
  </si>
  <si>
    <t>The predicted status gives a more realistic prediction of the driving status. If the prediction is disable, best case scenario is assumed, which is 50 point drive days and the distance remains in the same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</si>
</sst>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5" xfId="0" applyFill="1" applyBorder="1" applyAlignment="1">
      <alignment horizontal="center" vertical="center"/>
    </xf>
    <xf numFmtId="0" fontId="0" fillId="2" borderId="6" xfId="0" applyFill="1" applyBorder="1" applyAlignment="1">
      <alignment horizontal="center" vertical="center"/>
    </xf>
    <xf numFmtId="1" fontId="0" fillId="4" borderId="1" xfId="0" applyNumberFormat="1" applyFill="1" applyBorder="1" applyAlignment="1">
      <alignment horizontal="center" vertical="center"/>
    </xf>
    <xf numFmtId="1" fontId="0" fillId="3" borderId="6" xfId="0" applyNumberFormat="1" applyFill="1" applyBorder="1" applyAlignment="1">
      <alignment horizontal="center" vertical="center"/>
    </xf>
    <xf numFmtId="0" fontId="0" fillId="4" borderId="1" xfId="0" applyFill="1" applyBorder="1" applyAlignment="1">
      <alignment horizontal="center" vertical="center"/>
    </xf>
    <xf numFmtId="0" fontId="0" fillId="0" borderId="2" xfId="0" applyBorder="1" applyAlignment="1">
      <alignment horizontal="center" vertical="center"/>
    </xf>
    <xf numFmtId="1" fontId="0" fillId="4" borderId="6" xfId="0" applyNumberFormat="1"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4" fillId="0" borderId="0" xfId="0" applyFont="1" applyAlignment="1">
      <alignment horizontal="center" vertical="center"/>
    </xf>
    <xf numFmtId="0" fontId="0" fillId="2" borderId="4" xfId="0" applyFill="1" applyBorder="1" applyAlignment="1">
      <alignment horizontal="center" vertical="center"/>
    </xf>
  </cellXfs>
  <cellStyles count="2">
    <cellStyle name="Normal" xfId="0" builtinId="0"/>
    <cellStyle name="Percent" xfId="1" builtinId="5"/>
  </cellStyles>
  <dxfs count="22">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bottom style="thin">
          <color rgb="FF000000"/>
        </bottom>
      </border>
    </dxf>
    <dxf>
      <font>
        <b val="0"/>
      </font>
      <fill>
        <patternFill patternType="solid">
          <fgColor indexed="64"/>
          <bgColor theme="6"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A9F08CE5-ED7D-4BF0-BED4-1E9AB08F748B}">
      <tableStyleElement type="wholeTabl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DB9C08-8008-4685-88EF-7625B0BF4470}" name="NightTimeDrive5" displayName="NightTimeDrive5" ref="I6:J7" headerRowDxfId="20" dataDxfId="18" headerRowBorderDxfId="19">
  <autoFilter ref="I6:J7" xr:uid="{76285C9C-3E4D-42C9-A22A-CEC4B871EA2B}">
    <filterColumn colId="0" hiddenButton="1"/>
    <filterColumn colId="1" hiddenButton="1"/>
  </autoFilter>
  <tableColumns count="2">
    <tableColumn id="1" xr3:uid="{C0E72B15-22F0-4A1E-9BF1-485BAA0289FD}" name="Time" totalsRowLabel="Total" dataDxfId="17" totalsRowDxfId="16"/>
    <tableColumn id="2" xr3:uid="{266DE4CB-F75B-4FC2-A9AD-F19C793B859E}" name="Points" totalsRowFunction="sum" dataDxfId="15" totalsRowDxfId="14">
      <calculatedColumnFormula>2*NightTimeDrive5[[#This Row],[Time]]</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670F5E-57E0-4CF5-9F21-14A26AB990F6}" name="NightTimeDrive53" displayName="NightTimeDrive53" ref="I6:J7" headerRowDxfId="13" dataDxfId="11" headerRowBorderDxfId="12">
  <autoFilter ref="I6:J7" xr:uid="{76285C9C-3E4D-42C9-A22A-CEC4B871EA2B}">
    <filterColumn colId="0" hiddenButton="1"/>
    <filterColumn colId="1" hiddenButton="1"/>
  </autoFilter>
  <tableColumns count="2">
    <tableColumn id="1" xr3:uid="{357125C7-5E35-4089-8E6C-3EEB3D594D75}" name="Time" totalsRowLabel="Total" dataDxfId="10" totalsRowDxfId="9"/>
    <tableColumn id="2" xr3:uid="{604B3A25-ECBA-4308-975C-A6602CA98BC3}" name="Points" totalsRowFunction="sum" dataDxfId="8" totalsRowDxfId="7">
      <calculatedColumnFormula>2*NightTimeDrive53[[#This Row],[Time]]</calculatedColumnFormula>
    </tableColumn>
  </tableColumns>
  <tableStyleInfo name="Table Style 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5CE5B6-F486-4F86-B3E8-88E762A9259A}" name="NightTimeDrive534" displayName="NightTimeDrive534" ref="I6:J7" headerRowDxfId="6" dataDxfId="4" headerRowBorderDxfId="5">
  <autoFilter ref="I6:J7" xr:uid="{76285C9C-3E4D-42C9-A22A-CEC4B871EA2B}">
    <filterColumn colId="0" hiddenButton="1"/>
    <filterColumn colId="1" hiddenButton="1"/>
  </autoFilter>
  <tableColumns count="2">
    <tableColumn id="1" xr3:uid="{AECE4228-B60B-4D36-B77D-ED32905AD113}" name="Time" totalsRowLabel="Total" dataDxfId="3" totalsRowDxfId="2"/>
    <tableColumn id="2" xr3:uid="{E702B27D-DCEE-42D5-94E6-E3347322CDD3}" name="Points" totalsRowFunction="sum" dataDxfId="1" totalsRowDxfId="0">
      <calculatedColumnFormula>2*NightTimeDrive534[[#This Row],[Time]]</calculatedColumnFormula>
    </tableColumn>
  </tableColumns>
  <tableStyleInfo name="Table Style 1"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699A-5EFD-4DFA-954C-AE71C0EC78B1}">
  <sheetPr>
    <pageSetUpPr fitToPage="1"/>
  </sheetPr>
  <dimension ref="B2:AB50"/>
  <sheetViews>
    <sheetView zoomScaleNormal="100" workbookViewId="0">
      <selection activeCell="C16" sqref="C16"/>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customWidth="1"/>
    <col min="13" max="13" width="9.42578125" style="6" customWidth="1"/>
    <col min="14" max="14" width="2.7109375" style="6" customWidth="1"/>
    <col min="15" max="17" width="9.42578125" style="6" customWidth="1"/>
    <col min="18" max="18" width="2.7109375" style="6" customWidth="1"/>
    <col min="19" max="19" width="9.42578125" style="12" customWidth="1"/>
    <col min="20" max="22" width="9.42578125" style="6"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Stefan January 2025</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1492</v>
      </c>
      <c r="D5"/>
      <c r="E5" s="7" t="str">
        <f ca="1">TEXT(TODAY(), "mmmm yyyy")</f>
        <v>January 2025</v>
      </c>
      <c r="F5" s="7" t="s">
        <v>1</v>
      </c>
      <c r="G5" s="7" t="s">
        <v>2</v>
      </c>
      <c r="I5" s="36" t="s">
        <v>30</v>
      </c>
      <c r="J5" s="37"/>
      <c r="L5" s="36" t="s">
        <v>31</v>
      </c>
      <c r="M5" s="37"/>
      <c r="O5" s="36" t="s">
        <v>3</v>
      </c>
      <c r="P5" s="40"/>
      <c r="Q5" s="37"/>
      <c r="S5" s="36" t="s">
        <v>4</v>
      </c>
      <c r="T5" s="40"/>
      <c r="U5" s="40"/>
      <c r="V5" s="37"/>
      <c r="AA5" s="35"/>
      <c r="AB5" s="35"/>
    </row>
    <row r="6" spans="2:28" x14ac:dyDescent="0.25">
      <c r="B6" s="1" t="s">
        <v>5</v>
      </c>
      <c r="C6" s="15">
        <v>300</v>
      </c>
      <c r="E6" s="1" t="s">
        <v>6</v>
      </c>
      <c r="F6" s="22">
        <v>659</v>
      </c>
      <c r="G6" s="15">
        <v>1092</v>
      </c>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300</v>
      </c>
      <c r="D7" s="9"/>
      <c r="E7" s="1" t="s">
        <v>12</v>
      </c>
      <c r="F7" s="17">
        <f ca="1">F6/(DAY(TODAY())-1)*DAY(EOMONTH(TODAY(), 0))</f>
        <v>888.21739130434776</v>
      </c>
      <c r="G7" s="17">
        <f ca="1">G6/(DAY(TODAY())-1)*DAY(EOMONTH(TODAY(), 0))</f>
        <v>1471.8260869565217</v>
      </c>
      <c r="I7" s="1">
        <v>0</v>
      </c>
      <c r="J7" s="1">
        <f>2*NightTimeDrive5[[#This Row],[Time]]</f>
        <v>0</v>
      </c>
      <c r="L7" s="1" t="s">
        <v>14</v>
      </c>
      <c r="M7" s="31">
        <v>300</v>
      </c>
      <c r="O7" s="1">
        <v>0</v>
      </c>
      <c r="P7" s="1">
        <v>149</v>
      </c>
      <c r="Q7" s="1">
        <v>300</v>
      </c>
      <c r="S7" s="1">
        <v>0</v>
      </c>
      <c r="T7" s="1">
        <v>799</v>
      </c>
      <c r="U7" s="1" t="s">
        <v>13</v>
      </c>
      <c r="V7" s="10">
        <v>0.05</v>
      </c>
      <c r="AA7" s="9"/>
    </row>
    <row r="8" spans="2:28" x14ac:dyDescent="0.25">
      <c r="B8" s="1" t="s">
        <v>14</v>
      </c>
      <c r="C8" s="32">
        <f>VLOOKUP(IF(C16,F7,F6),O7:Q21,3,TRUE)</f>
        <v>220</v>
      </c>
      <c r="F8"/>
      <c r="L8" s="33" t="s">
        <v>30</v>
      </c>
      <c r="M8" s="22">
        <v>282</v>
      </c>
      <c r="O8" s="1">
        <v>150</v>
      </c>
      <c r="P8" s="1">
        <v>299</v>
      </c>
      <c r="Q8" s="1">
        <v>280</v>
      </c>
      <c r="S8" s="1">
        <v>800</v>
      </c>
      <c r="T8" s="1">
        <v>1599</v>
      </c>
      <c r="U8" s="1" t="s">
        <v>15</v>
      </c>
      <c r="V8" s="10">
        <v>0.1</v>
      </c>
    </row>
    <row r="9" spans="2:28" x14ac:dyDescent="0.25">
      <c r="B9" s="1" t="s">
        <v>16</v>
      </c>
      <c r="C9" s="15">
        <v>300</v>
      </c>
      <c r="E9" s="7" t="s">
        <v>17</v>
      </c>
      <c r="F9" s="7" t="s">
        <v>1</v>
      </c>
      <c r="G9" s="7" t="s">
        <v>2</v>
      </c>
      <c r="O9" s="1">
        <v>300</v>
      </c>
      <c r="P9" s="1">
        <v>449</v>
      </c>
      <c r="Q9" s="1">
        <v>260</v>
      </c>
      <c r="S9" s="1">
        <v>1600</v>
      </c>
      <c r="T9" s="1">
        <v>2199</v>
      </c>
      <c r="U9" s="1" t="s">
        <v>18</v>
      </c>
      <c r="V9" s="10">
        <v>0.2</v>
      </c>
      <c r="X9" s="9"/>
    </row>
    <row r="10" spans="2:28" x14ac:dyDescent="0.25">
      <c r="B10" s="7" t="s">
        <v>19</v>
      </c>
      <c r="C10" s="8">
        <f ca="1">SUM(C5:C9)</f>
        <v>2612</v>
      </c>
      <c r="E10" s="1" t="s">
        <v>6</v>
      </c>
      <c r="F10" s="16">
        <f ca="1">F6/(DAY(TODAY())-1)</f>
        <v>28.652173913043477</v>
      </c>
      <c r="G10" s="16">
        <f ca="1">G6/(DAY(TODAY())-1)</f>
        <v>47.478260869565219</v>
      </c>
      <c r="L10" s="36" t="s">
        <v>33</v>
      </c>
      <c r="M10" s="37"/>
      <c r="O10" s="1">
        <v>450</v>
      </c>
      <c r="P10" s="1">
        <v>599</v>
      </c>
      <c r="Q10" s="1">
        <v>240</v>
      </c>
      <c r="S10" s="1">
        <v>2200</v>
      </c>
      <c r="T10" s="1">
        <v>2499</v>
      </c>
      <c r="U10" s="1" t="s">
        <v>20</v>
      </c>
      <c r="V10" s="10">
        <v>0.35</v>
      </c>
    </row>
    <row r="11" spans="2:28" x14ac:dyDescent="0.25">
      <c r="I11" s="9"/>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Diamond</v>
      </c>
      <c r="D12" s="9"/>
      <c r="E12" s="18"/>
      <c r="F12" s="7" t="s">
        <v>1</v>
      </c>
      <c r="G12" s="7" t="s">
        <v>2</v>
      </c>
      <c r="L12" s="1" t="s">
        <v>36</v>
      </c>
      <c r="M12" s="34" t="s">
        <v>25</v>
      </c>
      <c r="O12" s="1">
        <v>750</v>
      </c>
      <c r="P12" s="1">
        <v>899</v>
      </c>
      <c r="Q12" s="1">
        <v>200</v>
      </c>
      <c r="S12" s="6"/>
      <c r="Y12" s="25"/>
    </row>
    <row r="13" spans="2:28" x14ac:dyDescent="0.25">
      <c r="B13" s="1" t="s">
        <v>23</v>
      </c>
      <c r="C13" s="26">
        <v>1383.96</v>
      </c>
      <c r="E13" s="1" t="s">
        <v>24</v>
      </c>
      <c r="F13" s="17">
        <f ca="1">IF(C8-M13&lt;=20, "Unlimited", INT(M13/20)*150 +VLOOKUP(F6,O7:Q21,2,TRUE) -F6)</f>
        <v>840</v>
      </c>
      <c r="G13" s="1">
        <f ca="1">50*(DAY(EOMONTH(TODAY(), 0))-DAY(TODAY()-1))</f>
        <v>400</v>
      </c>
      <c r="L13" s="1" t="s">
        <v>37</v>
      </c>
      <c r="M13" s="1">
        <f ca="1">C10-VLOOKUP(C10,S7:U11,1,TRUE)</f>
        <v>112</v>
      </c>
      <c r="O13" s="1">
        <v>900</v>
      </c>
      <c r="P13" s="1">
        <v>1049</v>
      </c>
      <c r="Q13" s="1">
        <v>180</v>
      </c>
      <c r="T13"/>
      <c r="V13"/>
      <c r="Y13" s="25"/>
      <c r="Z13" s="9"/>
    </row>
    <row r="14" spans="2:28" x14ac:dyDescent="0.25">
      <c r="B14" s="7" t="s">
        <v>26</v>
      </c>
      <c r="C14" s="8">
        <f ca="1">MIN(C13,C10)*VLOOKUP(C12,U6:V11,2,FALSE)*10</f>
        <v>6919.8</v>
      </c>
      <c r="I14" s="9"/>
      <c r="L14" s="33" t="s">
        <v>30</v>
      </c>
      <c r="M14" s="1">
        <f>300-SUM(NightTimeDrive5[Points])</f>
        <v>300</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L16" s="1" t="s">
        <v>39</v>
      </c>
      <c r="M16" s="1" t="str">
        <f>IF( AND( M8&lt;=M14+M15, M8&gt;=M14-M15 ), "Extract", "Calculate")</f>
        <v>Calculate</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I19" s="24"/>
      <c r="J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S30" s="6"/>
      <c r="U30" s="2"/>
    </row>
    <row r="31" spans="2:27" x14ac:dyDescent="0.25">
      <c r="E31" s="18"/>
      <c r="F31" s="18"/>
      <c r="G31" s="19"/>
      <c r="I31" s="13"/>
      <c r="J31" s="13"/>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AA5:AB5"/>
    <mergeCell ref="L10:M10"/>
    <mergeCell ref="B17:J18"/>
    <mergeCell ref="B2:J3"/>
    <mergeCell ref="I5:J5"/>
    <mergeCell ref="L5:M5"/>
    <mergeCell ref="O5:Q5"/>
    <mergeCell ref="S5:V5"/>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1CDA-85BF-4BE9-B7B2-31A522A6F006}">
  <sheetPr>
    <pageSetUpPr fitToPage="1"/>
  </sheetPr>
  <dimension ref="B2:AB50"/>
  <sheetViews>
    <sheetView zoomScaleNormal="100" workbookViewId="0">
      <selection activeCell="F15" sqref="F15"/>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hidden="1" customWidth="1"/>
    <col min="13" max="13" width="9.42578125" style="6" hidden="1" customWidth="1"/>
    <col min="14" max="14" width="2.7109375" style="6" hidden="1" customWidth="1"/>
    <col min="15" max="17" width="9.42578125" style="6" hidden="1" customWidth="1"/>
    <col min="18" max="18" width="2.7109375" style="6" hidden="1" customWidth="1"/>
    <col min="19" max="19" width="9.42578125" style="12" hidden="1" customWidth="1"/>
    <col min="20" max="22" width="9.42578125" style="6" hidden="1"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Christiaan January 2025</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1500</v>
      </c>
      <c r="D5"/>
      <c r="E5" s="7" t="str">
        <f ca="1">TEXT(TODAY(), "mmmm yyyy")</f>
        <v>January 2025</v>
      </c>
      <c r="F5" s="7" t="s">
        <v>1</v>
      </c>
      <c r="G5" s="7" t="s">
        <v>2</v>
      </c>
      <c r="I5" s="36" t="s">
        <v>30</v>
      </c>
      <c r="J5" s="37"/>
      <c r="L5" s="36" t="s">
        <v>31</v>
      </c>
      <c r="M5" s="37"/>
      <c r="O5" s="36" t="s">
        <v>3</v>
      </c>
      <c r="P5" s="40"/>
      <c r="Q5" s="37"/>
      <c r="S5" s="36" t="s">
        <v>4</v>
      </c>
      <c r="T5" s="40"/>
      <c r="U5" s="40"/>
      <c r="V5" s="37"/>
      <c r="AA5" s="35"/>
      <c r="AB5" s="35"/>
    </row>
    <row r="6" spans="2:28" x14ac:dyDescent="0.25">
      <c r="B6" s="1" t="s">
        <v>5</v>
      </c>
      <c r="C6" s="15">
        <v>150</v>
      </c>
      <c r="E6" s="1" t="s">
        <v>6</v>
      </c>
      <c r="F6" s="22">
        <v>1770</v>
      </c>
      <c r="G6" s="15">
        <v>1136</v>
      </c>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292</v>
      </c>
      <c r="D7" s="9"/>
      <c r="E7" s="1" t="s">
        <v>12</v>
      </c>
      <c r="F7" s="17">
        <f ca="1">F6/(DAY(TODAY())-1)*DAY(EOMONTH(TODAY(), 0))</f>
        <v>2385.6521739130435</v>
      </c>
      <c r="G7" s="17">
        <f ca="1">G6/(DAY(TODAY())-1)*DAY(EOMONTH(TODAY(), 0))</f>
        <v>1531.1304347826087</v>
      </c>
      <c r="I7" s="1">
        <v>4</v>
      </c>
      <c r="J7" s="1">
        <f>2*NightTimeDrive53[[#This Row],[Time]]</f>
        <v>8</v>
      </c>
      <c r="L7" s="1" t="s">
        <v>14</v>
      </c>
      <c r="M7" s="31">
        <v>25</v>
      </c>
      <c r="O7" s="1">
        <v>0</v>
      </c>
      <c r="P7" s="1">
        <v>149</v>
      </c>
      <c r="Q7" s="1">
        <v>300</v>
      </c>
      <c r="S7" s="1">
        <v>0</v>
      </c>
      <c r="T7" s="1">
        <v>799</v>
      </c>
      <c r="U7" s="1" t="s">
        <v>13</v>
      </c>
      <c r="V7" s="10">
        <v>0.05</v>
      </c>
      <c r="AA7" s="9"/>
    </row>
    <row r="8" spans="2:28" x14ac:dyDescent="0.25">
      <c r="B8" s="1" t="s">
        <v>14</v>
      </c>
      <c r="C8" s="32">
        <f>VLOOKUP(IF(C16,F7,F6),O7:Q21,3,TRUE)</f>
        <v>80</v>
      </c>
      <c r="F8"/>
      <c r="L8" s="33" t="s">
        <v>30</v>
      </c>
      <c r="M8" s="22">
        <v>292</v>
      </c>
      <c r="O8" s="1">
        <v>150</v>
      </c>
      <c r="P8" s="1">
        <v>299</v>
      </c>
      <c r="Q8" s="1">
        <v>280</v>
      </c>
      <c r="S8" s="1">
        <v>800</v>
      </c>
      <c r="T8" s="1">
        <v>1599</v>
      </c>
      <c r="U8" s="1" t="s">
        <v>15</v>
      </c>
      <c r="V8" s="10">
        <v>0.1</v>
      </c>
    </row>
    <row r="9" spans="2:28" x14ac:dyDescent="0.25">
      <c r="B9" s="1" t="s">
        <v>16</v>
      </c>
      <c r="C9" s="15">
        <v>300</v>
      </c>
      <c r="E9" s="7" t="s">
        <v>17</v>
      </c>
      <c r="F9" s="7" t="s">
        <v>1</v>
      </c>
      <c r="G9" s="7" t="s">
        <v>2</v>
      </c>
      <c r="O9" s="1">
        <v>300</v>
      </c>
      <c r="P9" s="1">
        <v>449</v>
      </c>
      <c r="Q9" s="1">
        <v>260</v>
      </c>
      <c r="S9" s="1">
        <v>1600</v>
      </c>
      <c r="T9" s="1">
        <v>2199</v>
      </c>
      <c r="U9" s="1" t="s">
        <v>18</v>
      </c>
      <c r="V9" s="10">
        <v>0.2</v>
      </c>
      <c r="X9" s="9"/>
    </row>
    <row r="10" spans="2:28" x14ac:dyDescent="0.25">
      <c r="B10" s="7" t="s">
        <v>19</v>
      </c>
      <c r="C10" s="8">
        <f ca="1">SUM(C5:C9)</f>
        <v>2322</v>
      </c>
      <c r="E10" s="1" t="s">
        <v>6</v>
      </c>
      <c r="F10" s="16">
        <f ca="1">F6/(DAY(TODAY())-1)</f>
        <v>76.956521739130437</v>
      </c>
      <c r="G10" s="16">
        <f ca="1">G6/(DAY(TODAY())-1)</f>
        <v>49.391304347826086</v>
      </c>
      <c r="I10" s="9"/>
      <c r="L10" s="36" t="s">
        <v>33</v>
      </c>
      <c r="M10" s="37"/>
      <c r="O10" s="1">
        <v>450</v>
      </c>
      <c r="P10" s="1">
        <v>599</v>
      </c>
      <c r="Q10" s="1">
        <v>240</v>
      </c>
      <c r="S10" s="1">
        <v>2200</v>
      </c>
      <c r="T10" s="1">
        <v>2499</v>
      </c>
      <c r="U10" s="1" t="s">
        <v>20</v>
      </c>
      <c r="V10" s="10">
        <v>0.35</v>
      </c>
    </row>
    <row r="11" spans="2:28" x14ac:dyDescent="0.25">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Gold</v>
      </c>
      <c r="D12" s="9"/>
      <c r="E12" s="18"/>
      <c r="F12" s="7" t="s">
        <v>1</v>
      </c>
      <c r="G12" s="7" t="s">
        <v>2</v>
      </c>
      <c r="L12" s="1" t="s">
        <v>36</v>
      </c>
      <c r="M12" s="34" t="s">
        <v>28</v>
      </c>
      <c r="O12" s="1">
        <v>750</v>
      </c>
      <c r="P12" s="1">
        <v>899</v>
      </c>
      <c r="Q12" s="1">
        <v>200</v>
      </c>
      <c r="S12" s="6"/>
      <c r="Y12" s="25"/>
    </row>
    <row r="13" spans="2:28" x14ac:dyDescent="0.25">
      <c r="B13" s="1" t="s">
        <v>23</v>
      </c>
      <c r="C13" s="26">
        <v>1554.7</v>
      </c>
      <c r="E13" s="1" t="s">
        <v>24</v>
      </c>
      <c r="F13" s="17" t="str">
        <f ca="1">IF(C8-M13&lt;=20, "Unlimited", INT(M13/20)*150 +VLOOKUP(F6,O7:Q21,2,TRUE) -F6)</f>
        <v>Unlimited</v>
      </c>
      <c r="G13" s="1">
        <f ca="1">50*(DAY(EOMONTH(TODAY(), 0))-DAY(TODAY()-1))</f>
        <v>400</v>
      </c>
      <c r="I13" s="9"/>
      <c r="L13" s="1" t="s">
        <v>37</v>
      </c>
      <c r="M13" s="1">
        <f ca="1">C10-VLOOKUP(C10,S7:U11,1,TRUE)</f>
        <v>122</v>
      </c>
      <c r="O13" s="1">
        <v>900</v>
      </c>
      <c r="P13" s="1">
        <v>1049</v>
      </c>
      <c r="Q13" s="1">
        <v>180</v>
      </c>
      <c r="T13"/>
      <c r="V13"/>
      <c r="Y13" s="25"/>
      <c r="Z13" s="9"/>
    </row>
    <row r="14" spans="2:28" x14ac:dyDescent="0.25">
      <c r="B14" s="7" t="s">
        <v>26</v>
      </c>
      <c r="C14" s="8">
        <f ca="1">MIN(C13,C10)*VLOOKUP(C12,U6:V11,2,FALSE)*10</f>
        <v>5441.45</v>
      </c>
      <c r="L14" s="33" t="s">
        <v>30</v>
      </c>
      <c r="M14" s="1">
        <f>300-SUM(NightTimeDrive53[Points])</f>
        <v>292</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I16" s="24"/>
      <c r="J16" s="24"/>
      <c r="L16" s="1" t="s">
        <v>39</v>
      </c>
      <c r="M16" s="1" t="str">
        <f>IF( AND( M8&lt;=M14+M15, M8&gt;=M14-M15 ), "Extract", "Calculate")</f>
        <v>Extract</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I30" s="13"/>
      <c r="J30" s="13"/>
      <c r="S30" s="6"/>
      <c r="U30" s="2"/>
    </row>
    <row r="31" spans="2:27" x14ac:dyDescent="0.25">
      <c r="E31" s="18"/>
      <c r="F31" s="18"/>
      <c r="G31" s="19"/>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B17:J18"/>
    <mergeCell ref="AA5:AB5"/>
    <mergeCell ref="L10:M10"/>
    <mergeCell ref="B2:J3"/>
    <mergeCell ref="I5:J5"/>
    <mergeCell ref="L5:M5"/>
    <mergeCell ref="O5:Q5"/>
    <mergeCell ref="S5:V5"/>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B4F-6F90-4885-96BB-E2ED1276FA58}">
  <sheetPr>
    <pageSetUpPr fitToPage="1"/>
  </sheetPr>
  <dimension ref="B2:AB50"/>
  <sheetViews>
    <sheetView tabSelected="1" zoomScaleNormal="100" workbookViewId="0">
      <selection activeCell="C6" sqref="C6"/>
    </sheetView>
  </sheetViews>
  <sheetFormatPr defaultColWidth="8.85546875" defaultRowHeight="15" x14ac:dyDescent="0.25"/>
  <cols>
    <col min="1" max="1" width="2.7109375" style="6" customWidth="1"/>
    <col min="2" max="2" width="21.7109375" style="6" bestFit="1" customWidth="1"/>
    <col min="3" max="3" width="9.42578125" style="6" customWidth="1"/>
    <col min="4" max="4" width="2.7109375" style="6" customWidth="1"/>
    <col min="5" max="5" width="16.7109375" customWidth="1"/>
    <col min="6" max="7" width="9.42578125" style="6" customWidth="1"/>
    <col min="8" max="8" width="2.7109375" style="6" customWidth="1"/>
    <col min="9" max="10" width="9.42578125" style="6" customWidth="1"/>
    <col min="11" max="11" width="2.7109375" style="6" customWidth="1"/>
    <col min="12" max="12" width="21.7109375" style="6" hidden="1" customWidth="1"/>
    <col min="13" max="13" width="9.42578125" style="6" hidden="1" customWidth="1"/>
    <col min="14" max="14" width="2.7109375" style="6" hidden="1" customWidth="1"/>
    <col min="15" max="17" width="9.42578125" style="6" hidden="1" customWidth="1"/>
    <col min="18" max="18" width="2.7109375" style="6" hidden="1" customWidth="1"/>
    <col min="19" max="19" width="9.42578125" style="12" hidden="1" customWidth="1"/>
    <col min="20" max="22" width="9.42578125" style="6" hidden="1" customWidth="1"/>
    <col min="23" max="24" width="8.85546875" style="6"/>
    <col min="25" max="25" width="8.85546875" style="6" customWidth="1"/>
    <col min="26" max="16384" width="8.85546875" style="6"/>
  </cols>
  <sheetData>
    <row r="2" spans="2:28" ht="14.45" customHeight="1" x14ac:dyDescent="0.25">
      <c r="B2" s="39" t="str">
        <f ca="1">_xlfn.CONCAT("Drive Summary ", M12, " ",TEXT(TODAY(), "mmmm yyyy"))</f>
        <v>Drive Summary Derrick January 2025</v>
      </c>
      <c r="C2" s="39"/>
      <c r="D2" s="39"/>
      <c r="E2" s="39"/>
      <c r="F2" s="39"/>
      <c r="G2" s="39"/>
      <c r="H2" s="39"/>
      <c r="I2" s="39"/>
      <c r="J2" s="39"/>
    </row>
    <row r="3" spans="2:28" ht="14.45" customHeight="1" x14ac:dyDescent="0.25">
      <c r="B3" s="39"/>
      <c r="C3" s="39"/>
      <c r="D3" s="39"/>
      <c r="E3" s="39"/>
      <c r="F3" s="39"/>
      <c r="G3" s="39"/>
      <c r="H3" s="39"/>
      <c r="I3" s="39"/>
      <c r="J3" s="39"/>
    </row>
    <row r="5" spans="2:28" x14ac:dyDescent="0.25">
      <c r="B5" s="1" t="s">
        <v>0</v>
      </c>
      <c r="C5" s="17">
        <f ca="1">MIN(1500, IF($C$16,G7,G6+G13))</f>
        <v>1482</v>
      </c>
      <c r="D5"/>
      <c r="E5" s="7" t="str">
        <f ca="1">TEXT(TODAY(), "mmmm yyyy")</f>
        <v>January 2025</v>
      </c>
      <c r="F5" s="7" t="s">
        <v>1</v>
      </c>
      <c r="G5" s="7" t="s">
        <v>2</v>
      </c>
      <c r="I5" s="36" t="s">
        <v>30</v>
      </c>
      <c r="J5" s="37"/>
      <c r="L5" s="36" t="s">
        <v>31</v>
      </c>
      <c r="M5" s="37"/>
      <c r="O5" s="36" t="s">
        <v>3</v>
      </c>
      <c r="P5" s="40"/>
      <c r="Q5" s="37"/>
      <c r="S5" s="36" t="s">
        <v>4</v>
      </c>
      <c r="T5" s="40"/>
      <c r="U5" s="40"/>
      <c r="V5" s="37"/>
      <c r="AA5" s="35"/>
      <c r="AB5" s="35"/>
    </row>
    <row r="6" spans="2:28" x14ac:dyDescent="0.25">
      <c r="B6" s="1" t="s">
        <v>5</v>
      </c>
      <c r="C6" s="15">
        <v>150</v>
      </c>
      <c r="E6" s="1" t="s">
        <v>6</v>
      </c>
      <c r="F6" s="22">
        <v>711</v>
      </c>
      <c r="G6" s="15">
        <v>1082</v>
      </c>
      <c r="I6" s="7" t="s">
        <v>32</v>
      </c>
      <c r="J6" s="7" t="s">
        <v>2</v>
      </c>
      <c r="L6" s="28" t="s">
        <v>9</v>
      </c>
      <c r="M6" s="29" t="s">
        <v>2</v>
      </c>
      <c r="O6" s="7" t="s">
        <v>7</v>
      </c>
      <c r="P6" s="7" t="s">
        <v>8</v>
      </c>
      <c r="Q6" s="7" t="s">
        <v>2</v>
      </c>
      <c r="S6" s="7" t="s">
        <v>7</v>
      </c>
      <c r="T6" s="7" t="s">
        <v>8</v>
      </c>
      <c r="U6" s="7" t="s">
        <v>9</v>
      </c>
      <c r="V6" s="7" t="s">
        <v>10</v>
      </c>
      <c r="Z6"/>
      <c r="AA6" s="25"/>
      <c r="AB6" s="25"/>
    </row>
    <row r="7" spans="2:28" x14ac:dyDescent="0.25">
      <c r="B7" s="1" t="s">
        <v>11</v>
      </c>
      <c r="C7" s="30">
        <f>IF( AND( M8&lt;=M14+M15, M8&gt;=M14-M15 ), M8, M14)</f>
        <v>300</v>
      </c>
      <c r="D7" s="9"/>
      <c r="E7" s="1" t="s">
        <v>12</v>
      </c>
      <c r="F7" s="17">
        <f ca="1">F6/(DAY(TODAY())-1)*DAY(EOMONTH(TODAY(), 0))</f>
        <v>958.304347826087</v>
      </c>
      <c r="G7" s="17">
        <f ca="1">G6/(DAY(TODAY())-1)*DAY(EOMONTH(TODAY(), 0))</f>
        <v>1458.3478260869565</v>
      </c>
      <c r="I7" s="1">
        <v>0</v>
      </c>
      <c r="J7" s="1">
        <f>2*NightTimeDrive534[[#This Row],[Time]]</f>
        <v>0</v>
      </c>
      <c r="L7" s="1" t="s">
        <v>14</v>
      </c>
      <c r="M7" s="31">
        <v>200</v>
      </c>
      <c r="O7" s="1">
        <v>0</v>
      </c>
      <c r="P7" s="1">
        <v>149</v>
      </c>
      <c r="Q7" s="1">
        <v>300</v>
      </c>
      <c r="S7" s="1">
        <v>0</v>
      </c>
      <c r="T7" s="1">
        <v>799</v>
      </c>
      <c r="U7" s="1" t="s">
        <v>13</v>
      </c>
      <c r="V7" s="10">
        <v>0.05</v>
      </c>
      <c r="AA7" s="9"/>
    </row>
    <row r="8" spans="2:28" x14ac:dyDescent="0.25">
      <c r="B8" s="1" t="s">
        <v>14</v>
      </c>
      <c r="C8" s="32">
        <f>VLOOKUP(IF(C16,F7,F6),O7:Q21,3,TRUE)</f>
        <v>220</v>
      </c>
      <c r="F8"/>
      <c r="L8" s="33" t="s">
        <v>30</v>
      </c>
      <c r="M8" s="22">
        <v>300</v>
      </c>
      <c r="O8" s="1">
        <v>150</v>
      </c>
      <c r="P8" s="1">
        <v>299</v>
      </c>
      <c r="Q8" s="1">
        <v>280</v>
      </c>
      <c r="S8" s="1">
        <v>800</v>
      </c>
      <c r="T8" s="1">
        <v>1599</v>
      </c>
      <c r="U8" s="1" t="s">
        <v>15</v>
      </c>
      <c r="V8" s="10">
        <v>0.1</v>
      </c>
    </row>
    <row r="9" spans="2:28" x14ac:dyDescent="0.25">
      <c r="B9" s="1" t="s">
        <v>16</v>
      </c>
      <c r="C9" s="15">
        <v>300</v>
      </c>
      <c r="E9" s="7" t="s">
        <v>17</v>
      </c>
      <c r="F9" s="7" t="s">
        <v>1</v>
      </c>
      <c r="G9" s="7" t="s">
        <v>2</v>
      </c>
      <c r="O9" s="1">
        <v>300</v>
      </c>
      <c r="P9" s="1">
        <v>449</v>
      </c>
      <c r="Q9" s="1">
        <v>260</v>
      </c>
      <c r="S9" s="1">
        <v>1600</v>
      </c>
      <c r="T9" s="1">
        <v>2199</v>
      </c>
      <c r="U9" s="1" t="s">
        <v>18</v>
      </c>
      <c r="V9" s="10">
        <v>0.2</v>
      </c>
      <c r="X9" s="9"/>
    </row>
    <row r="10" spans="2:28" x14ac:dyDescent="0.25">
      <c r="B10" s="7" t="s">
        <v>19</v>
      </c>
      <c r="C10" s="8">
        <f ca="1">SUM(C5:C9)</f>
        <v>2452</v>
      </c>
      <c r="E10" s="1" t="s">
        <v>6</v>
      </c>
      <c r="F10" s="16">
        <f ca="1">F6/(DAY(TODAY())-1)</f>
        <v>30.913043478260871</v>
      </c>
      <c r="G10" s="16">
        <f ca="1">G6/(DAY(TODAY())-1)</f>
        <v>47.043478260869563</v>
      </c>
      <c r="L10" s="36" t="s">
        <v>33</v>
      </c>
      <c r="M10" s="37"/>
      <c r="O10" s="1">
        <v>450</v>
      </c>
      <c r="P10" s="1">
        <v>599</v>
      </c>
      <c r="Q10" s="1">
        <v>240</v>
      </c>
      <c r="S10" s="1">
        <v>2200</v>
      </c>
      <c r="T10" s="1">
        <v>2499</v>
      </c>
      <c r="U10" s="1" t="s">
        <v>20</v>
      </c>
      <c r="V10" s="10">
        <v>0.35</v>
      </c>
    </row>
    <row r="11" spans="2:28" x14ac:dyDescent="0.25">
      <c r="I11" s="9"/>
      <c r="L11" s="28" t="s">
        <v>34</v>
      </c>
      <c r="M11" s="29" t="s">
        <v>35</v>
      </c>
      <c r="O11" s="1">
        <v>600</v>
      </c>
      <c r="P11" s="1">
        <v>749</v>
      </c>
      <c r="Q11" s="1">
        <v>220</v>
      </c>
      <c r="S11" s="5">
        <v>2500</v>
      </c>
      <c r="T11" s="1">
        <v>3000</v>
      </c>
      <c r="U11" s="1" t="s">
        <v>21</v>
      </c>
      <c r="V11" s="10">
        <v>0.5</v>
      </c>
      <c r="Y11"/>
    </row>
    <row r="12" spans="2:28" x14ac:dyDescent="0.25">
      <c r="B12" s="1" t="s">
        <v>22</v>
      </c>
      <c r="C12" s="1" t="str">
        <f ca="1">VLOOKUP(C10,S7:U11,3,TRUE)</f>
        <v>Gold</v>
      </c>
      <c r="D12" s="9"/>
      <c r="E12" s="18"/>
      <c r="F12" s="7" t="s">
        <v>1</v>
      </c>
      <c r="G12" s="7" t="s">
        <v>2</v>
      </c>
      <c r="L12" s="1" t="s">
        <v>36</v>
      </c>
      <c r="M12" s="34" t="s">
        <v>29</v>
      </c>
      <c r="O12" s="1">
        <v>750</v>
      </c>
      <c r="P12" s="1">
        <v>899</v>
      </c>
      <c r="Q12" s="1">
        <v>200</v>
      </c>
      <c r="S12" s="6"/>
      <c r="Y12" s="25"/>
    </row>
    <row r="13" spans="2:28" x14ac:dyDescent="0.25">
      <c r="B13" s="1" t="s">
        <v>23</v>
      </c>
      <c r="C13" s="26">
        <v>2160.9499999999998</v>
      </c>
      <c r="E13" s="1" t="s">
        <v>24</v>
      </c>
      <c r="F13" s="17" t="str">
        <f ca="1">IF(C8-M13&lt;=20, "Unlimited", INT(M13/20)*150 +VLOOKUP(F6,O7:Q21,2,TRUE) -F6)</f>
        <v>Unlimited</v>
      </c>
      <c r="G13" s="1">
        <f ca="1">50*(DAY(EOMONTH(TODAY(), 0))-DAY(TODAY()-1))</f>
        <v>400</v>
      </c>
      <c r="L13" s="1" t="s">
        <v>37</v>
      </c>
      <c r="M13" s="1">
        <f ca="1">C10-VLOOKUP(C10,S7:U11,1,TRUE)</f>
        <v>252</v>
      </c>
      <c r="O13" s="1">
        <v>900</v>
      </c>
      <c r="P13" s="1">
        <v>1049</v>
      </c>
      <c r="Q13" s="1">
        <v>180</v>
      </c>
      <c r="T13"/>
      <c r="V13"/>
      <c r="Y13" s="25"/>
      <c r="Z13" s="9"/>
    </row>
    <row r="14" spans="2:28" x14ac:dyDescent="0.25">
      <c r="B14" s="7" t="s">
        <v>26</v>
      </c>
      <c r="C14" s="8">
        <f ca="1">MIN(C13,C10)*VLOOKUP(C12,U6:V11,2,FALSE)*10</f>
        <v>7563.3249999999989</v>
      </c>
      <c r="I14" s="9"/>
      <c r="L14" s="33" t="s">
        <v>30</v>
      </c>
      <c r="M14" s="1">
        <f>300-SUM(NightTimeDrive534[Points])</f>
        <v>300</v>
      </c>
      <c r="O14" s="1">
        <v>1050</v>
      </c>
      <c r="P14" s="1">
        <v>1199</v>
      </c>
      <c r="Q14" s="1">
        <v>160</v>
      </c>
      <c r="S14"/>
      <c r="T14"/>
      <c r="U14"/>
      <c r="V14"/>
      <c r="W14"/>
    </row>
    <row r="15" spans="2:28" x14ac:dyDescent="0.25">
      <c r="D15" s="11"/>
      <c r="L15" s="1" t="s">
        <v>38</v>
      </c>
      <c r="M15" s="1">
        <v>2</v>
      </c>
      <c r="O15" s="1">
        <v>1200</v>
      </c>
      <c r="P15" s="1">
        <v>1349</v>
      </c>
      <c r="Q15" s="1">
        <v>140</v>
      </c>
      <c r="S15"/>
      <c r="T15"/>
      <c r="U15" s="27"/>
      <c r="V15"/>
      <c r="W15"/>
      <c r="Z15" s="9"/>
      <c r="AA15" s="9"/>
    </row>
    <row r="16" spans="2:28" x14ac:dyDescent="0.25">
      <c r="B16" t="s">
        <v>27</v>
      </c>
      <c r="C16" s="23" t="b">
        <v>0</v>
      </c>
      <c r="L16" s="1" t="s">
        <v>39</v>
      </c>
      <c r="M16" s="1" t="str">
        <f>IF( AND( M8&lt;=M14+M15, M8&gt;=M14-M15 ), "Extract", "Calculate")</f>
        <v>Extract</v>
      </c>
      <c r="O16" s="1">
        <v>1350</v>
      </c>
      <c r="P16" s="1">
        <v>1499</v>
      </c>
      <c r="Q16" s="1">
        <v>120</v>
      </c>
      <c r="S16"/>
      <c r="T16"/>
      <c r="V16"/>
      <c r="W16"/>
    </row>
    <row r="17" spans="2:27" ht="14.45" customHeight="1" x14ac:dyDescent="0.25">
      <c r="B17" s="38" t="s">
        <v>40</v>
      </c>
      <c r="C17" s="38"/>
      <c r="D17" s="38"/>
      <c r="E17" s="38"/>
      <c r="F17" s="38"/>
      <c r="G17" s="38"/>
      <c r="H17" s="38"/>
      <c r="I17" s="38"/>
      <c r="J17" s="38"/>
      <c r="O17" s="1">
        <v>1500</v>
      </c>
      <c r="P17" s="1">
        <v>1649</v>
      </c>
      <c r="Q17" s="1">
        <v>100</v>
      </c>
      <c r="S17"/>
      <c r="T17"/>
      <c r="U17"/>
      <c r="V17"/>
      <c r="W17"/>
    </row>
    <row r="18" spans="2:27" x14ac:dyDescent="0.25">
      <c r="B18" s="38"/>
      <c r="C18" s="38"/>
      <c r="D18" s="38"/>
      <c r="E18" s="38"/>
      <c r="F18" s="38"/>
      <c r="G18" s="38"/>
      <c r="H18" s="38"/>
      <c r="I18" s="38"/>
      <c r="J18" s="38"/>
      <c r="O18" s="1">
        <v>1650</v>
      </c>
      <c r="P18" s="1">
        <v>1799</v>
      </c>
      <c r="Q18" s="1">
        <v>80</v>
      </c>
      <c r="S18"/>
      <c r="T18"/>
      <c r="U18"/>
      <c r="V18"/>
      <c r="W18"/>
    </row>
    <row r="19" spans="2:27" x14ac:dyDescent="0.25">
      <c r="B19" s="24"/>
      <c r="C19" s="24"/>
      <c r="D19" s="24"/>
      <c r="E19" s="24"/>
      <c r="F19" s="24"/>
      <c r="G19" s="24"/>
      <c r="H19" s="24"/>
      <c r="I19" s="24"/>
      <c r="J19" s="24"/>
      <c r="O19" s="1">
        <v>1800</v>
      </c>
      <c r="P19" s="1">
        <v>1949</v>
      </c>
      <c r="Q19" s="1">
        <v>60</v>
      </c>
      <c r="S19"/>
      <c r="T19"/>
      <c r="U19"/>
      <c r="V19"/>
      <c r="W19"/>
    </row>
    <row r="20" spans="2:27" x14ac:dyDescent="0.25">
      <c r="B20" s="24"/>
      <c r="C20" s="24"/>
      <c r="D20" s="24"/>
      <c r="E20" s="24"/>
      <c r="F20" s="24"/>
      <c r="G20" s="24"/>
      <c r="O20" s="1">
        <v>1950</v>
      </c>
      <c r="P20" s="1">
        <v>2099</v>
      </c>
      <c r="Q20" s="1">
        <v>40</v>
      </c>
      <c r="S20"/>
      <c r="U20"/>
      <c r="V20"/>
      <c r="W20"/>
    </row>
    <row r="21" spans="2:27" x14ac:dyDescent="0.25">
      <c r="B21" s="24"/>
      <c r="C21" s="24"/>
      <c r="D21" s="24"/>
      <c r="O21" s="1">
        <v>2100</v>
      </c>
      <c r="P21" s="1">
        <v>2100</v>
      </c>
      <c r="Q21" s="1">
        <v>20</v>
      </c>
      <c r="S21"/>
      <c r="T21"/>
      <c r="U21"/>
      <c r="V21"/>
      <c r="W21"/>
      <c r="Z21" s="9"/>
      <c r="AA21" s="9"/>
    </row>
    <row r="22" spans="2:27" x14ac:dyDescent="0.25">
      <c r="B22" s="24"/>
      <c r="C22" s="24"/>
      <c r="D22" s="24"/>
      <c r="W22"/>
      <c r="Z22" s="9"/>
      <c r="AA22" s="9"/>
    </row>
    <row r="23" spans="2:27" x14ac:dyDescent="0.25">
      <c r="B23" s="3"/>
      <c r="S23"/>
      <c r="T23"/>
      <c r="U23"/>
      <c r="V23"/>
      <c r="W23"/>
    </row>
    <row r="24" spans="2:27" x14ac:dyDescent="0.25">
      <c r="S24"/>
      <c r="T24"/>
      <c r="U24" s="14"/>
      <c r="V24"/>
      <c r="W24"/>
    </row>
    <row r="25" spans="2:27" x14ac:dyDescent="0.25">
      <c r="S25"/>
      <c r="T25"/>
      <c r="U25" s="14"/>
      <c r="V25"/>
      <c r="W25"/>
    </row>
    <row r="26" spans="2:27" x14ac:dyDescent="0.25">
      <c r="U26" s="2"/>
    </row>
    <row r="27" spans="2:27" x14ac:dyDescent="0.25">
      <c r="S27" s="6"/>
      <c r="U27" s="2"/>
    </row>
    <row r="28" spans="2:27" x14ac:dyDescent="0.25">
      <c r="S28" s="6"/>
      <c r="U28" s="2"/>
    </row>
    <row r="29" spans="2:27" x14ac:dyDescent="0.25">
      <c r="B29" s="2"/>
      <c r="P29" s="4"/>
      <c r="S29" s="6"/>
      <c r="U29" s="2"/>
    </row>
    <row r="30" spans="2:27" x14ac:dyDescent="0.25">
      <c r="S30" s="6"/>
      <c r="U30" s="2"/>
    </row>
    <row r="31" spans="2:27" x14ac:dyDescent="0.25">
      <c r="E31" s="18"/>
      <c r="F31" s="18"/>
      <c r="G31" s="19"/>
      <c r="I31" s="13"/>
      <c r="J31" s="13"/>
      <c r="S31" s="6"/>
      <c r="U31" s="2"/>
    </row>
    <row r="32" spans="2:27" x14ac:dyDescent="0.25">
      <c r="E32" s="18"/>
      <c r="F32" s="20"/>
      <c r="G32" s="19"/>
      <c r="S32" s="6"/>
      <c r="U32" s="2"/>
    </row>
    <row r="33" spans="2:21" x14ac:dyDescent="0.25">
      <c r="E33" s="18"/>
      <c r="F33" s="20"/>
      <c r="G33" s="19"/>
      <c r="S33" s="6"/>
      <c r="U33" s="2"/>
    </row>
    <row r="34" spans="2:21" x14ac:dyDescent="0.25">
      <c r="E34" s="18"/>
      <c r="F34" s="20"/>
      <c r="G34" s="19"/>
      <c r="Q34" s="3"/>
      <c r="S34" s="6"/>
    </row>
    <row r="35" spans="2:21" x14ac:dyDescent="0.25">
      <c r="E35" s="18"/>
      <c r="F35" s="20"/>
      <c r="G35" s="19"/>
      <c r="S35" s="6"/>
    </row>
    <row r="36" spans="2:21" x14ac:dyDescent="0.25">
      <c r="E36" s="18"/>
      <c r="F36" s="20"/>
      <c r="G36" s="19"/>
      <c r="S36" s="6"/>
    </row>
    <row r="37" spans="2:21" x14ac:dyDescent="0.25">
      <c r="E37" s="18"/>
      <c r="F37" s="20"/>
      <c r="G37" s="19"/>
      <c r="S37" s="6"/>
    </row>
    <row r="38" spans="2:21" x14ac:dyDescent="0.25">
      <c r="E38" s="18"/>
      <c r="F38" s="20"/>
      <c r="G38" s="19"/>
      <c r="L38" s="13"/>
      <c r="M38" s="13"/>
      <c r="S38" s="6"/>
    </row>
    <row r="39" spans="2:21" x14ac:dyDescent="0.25">
      <c r="E39" s="18"/>
      <c r="F39" s="20"/>
      <c r="G39" s="21"/>
      <c r="S39" s="6"/>
    </row>
    <row r="40" spans="2:21" x14ac:dyDescent="0.25">
      <c r="F40" s="3"/>
    </row>
    <row r="41" spans="2:21" x14ac:dyDescent="0.25">
      <c r="H41" s="13"/>
      <c r="K41" s="13"/>
      <c r="N41" s="13"/>
      <c r="S41" s="6"/>
    </row>
    <row r="42" spans="2:21" x14ac:dyDescent="0.25">
      <c r="B42" s="13"/>
      <c r="S42" s="6"/>
    </row>
    <row r="43" spans="2:21" x14ac:dyDescent="0.25">
      <c r="S43" s="6"/>
    </row>
    <row r="44" spans="2:21" x14ac:dyDescent="0.25">
      <c r="O44" s="3"/>
      <c r="S44" s="6"/>
    </row>
    <row r="45" spans="2:21" x14ac:dyDescent="0.25">
      <c r="S45" s="6"/>
    </row>
    <row r="46" spans="2:21" x14ac:dyDescent="0.25">
      <c r="S46" s="6"/>
    </row>
    <row r="47" spans="2:21" x14ac:dyDescent="0.25">
      <c r="S47" s="6"/>
    </row>
    <row r="48" spans="2:21" x14ac:dyDescent="0.25">
      <c r="S48" s="6"/>
    </row>
    <row r="49" spans="19:19" x14ac:dyDescent="0.25">
      <c r="S49" s="6"/>
    </row>
    <row r="50" spans="19:19" x14ac:dyDescent="0.25">
      <c r="S50" s="6"/>
    </row>
  </sheetData>
  <protectedRanges>
    <protectedRange sqref="F6:G6 C6:C7 C9 C13" name="RequiresInput"/>
  </protectedRanges>
  <mergeCells count="8">
    <mergeCell ref="AA5:AB5"/>
    <mergeCell ref="L10:M10"/>
    <mergeCell ref="B17:J18"/>
    <mergeCell ref="B2:J3"/>
    <mergeCell ref="I5:J5"/>
    <mergeCell ref="L5:M5"/>
    <mergeCell ref="O5:Q5"/>
    <mergeCell ref="S5:V5"/>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Stefan</vt:lpstr>
      <vt:lpstr>Christiaan</vt:lpstr>
      <vt:lpstr>Derrick</vt:lpstr>
      <vt:lpstr>Christiaan!Username</vt:lpstr>
      <vt:lpstr>Derrick!Username</vt:lpstr>
      <vt:lpstr>Username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Christiaan Oberholzer</dc:creator>
  <cp:keywords/>
  <dc:description/>
  <cp:lastModifiedBy>Stefan Oberholzer</cp:lastModifiedBy>
  <cp:revision/>
  <cp:lastPrinted>2024-09-30T18:20:25Z</cp:lastPrinted>
  <dcterms:created xsi:type="dcterms:W3CDTF">2023-09-18T15:21:34Z</dcterms:created>
  <dcterms:modified xsi:type="dcterms:W3CDTF">2025-01-24T17:29:18Z</dcterms:modified>
  <cp:category/>
  <cp:contentStatus/>
</cp:coreProperties>
</file>