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451" documentId="13_ncr:1_{3A17151E-37E9-4B2A-B0B5-F67B46E403E1}" xr6:coauthVersionLast="47" xr6:coauthVersionMax="47" xr10:uidLastSave="{6EA2AD92-1C52-4260-8AA9-E514D1C0CF8C}"/>
  <bookViews>
    <workbookView xWindow="-120" yWindow="-120" windowWidth="20730" windowHeight="11040" xr2:uid="{B12B6E18-E294-4985-A977-422328ADD677}"/>
  </bookViews>
  <sheets>
    <sheet name="Stefan" sheetId="20" r:id="rId1"/>
    <sheet name="Christiaan" sheetId="18" r:id="rId2"/>
    <sheet name="Derrick" sheetId="19" r:id="rId3"/>
  </sheets>
  <definedNames>
    <definedName name="Username" localSheetId="1">Christiaan!$J$22</definedName>
    <definedName name="Username" localSheetId="2">Derrick!$J$22</definedName>
    <definedName name="Username" localSheetId="0">Stefan!$J$22</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 i="20" l="1"/>
  <c r="G8" i="20" s="1"/>
  <c r="J25" i="20"/>
  <c r="I25" i="20"/>
  <c r="P17" i="20" a="1"/>
  <c r="C9" i="20" s="1"/>
  <c r="O17" i="20" a="1"/>
  <c r="O17" i="20" s="1"/>
  <c r="N17" i="20" a="1"/>
  <c r="N17" i="20" s="1"/>
  <c r="N15" i="20"/>
  <c r="F14" i="20"/>
  <c r="C14" i="20"/>
  <c r="G13" i="20"/>
  <c r="G14" i="20" s="1"/>
  <c r="J23" i="20" s="1"/>
  <c r="E13" i="20"/>
  <c r="C10" i="20"/>
  <c r="C7" i="20"/>
  <c r="E5" i="20"/>
  <c r="B2" i="20"/>
  <c r="J26" i="19"/>
  <c r="F8" i="19" s="1"/>
  <c r="J25" i="19"/>
  <c r="I25" i="19"/>
  <c r="P17" i="19"/>
  <c r="P17" i="19" a="1"/>
  <c r="O17" i="19" a="1"/>
  <c r="O17" i="19" s="1"/>
  <c r="N17" i="19" a="1"/>
  <c r="N17" i="19" s="1"/>
  <c r="N15" i="19"/>
  <c r="F14" i="19"/>
  <c r="C14" i="19"/>
  <c r="G13" i="19"/>
  <c r="G14" i="19" s="1"/>
  <c r="J23" i="19" s="1"/>
  <c r="E13" i="19"/>
  <c r="C10" i="19"/>
  <c r="C9" i="19"/>
  <c r="C7" i="19"/>
  <c r="E5" i="19"/>
  <c r="B2" i="19"/>
  <c r="J26" i="18"/>
  <c r="G8" i="18" s="1"/>
  <c r="J25" i="18"/>
  <c r="I25" i="18"/>
  <c r="P17" i="18"/>
  <c r="P17" i="18" a="1"/>
  <c r="O17" i="18" a="1"/>
  <c r="O17" i="18" s="1"/>
  <c r="N17" i="18"/>
  <c r="N17" i="18" a="1"/>
  <c r="N15" i="18"/>
  <c r="F14" i="18"/>
  <c r="C14" i="18"/>
  <c r="G13" i="18"/>
  <c r="G14" i="18" s="1"/>
  <c r="J23" i="18" s="1"/>
  <c r="E13" i="18"/>
  <c r="C10" i="18"/>
  <c r="C9" i="18"/>
  <c r="C7" i="18"/>
  <c r="E5" i="18"/>
  <c r="B2" i="18"/>
  <c r="G8" i="19" l="1"/>
  <c r="F8" i="20"/>
  <c r="P17" i="20"/>
  <c r="J27" i="20"/>
  <c r="G9" i="20" s="1"/>
  <c r="C6" i="20" s="1"/>
  <c r="C11" i="20" s="1"/>
  <c r="J27" i="19"/>
  <c r="G9" i="19" s="1"/>
  <c r="C6" i="19" s="1"/>
  <c r="C11" i="19" s="1"/>
  <c r="F7" i="20"/>
  <c r="G7" i="20"/>
  <c r="J27" i="18"/>
  <c r="G9" i="18" s="1"/>
  <c r="C6" i="18" s="1"/>
  <c r="F7" i="19"/>
  <c r="G7" i="19"/>
  <c r="J24" i="20"/>
  <c r="C8" i="20"/>
  <c r="F7" i="18"/>
  <c r="G7" i="18"/>
  <c r="F8" i="18"/>
  <c r="J24" i="19"/>
  <c r="C8" i="19"/>
  <c r="J24" i="18"/>
  <c r="C8" i="18"/>
  <c r="C11" i="18" l="1"/>
  <c r="C12" i="18" s="1"/>
  <c r="J28" i="20"/>
  <c r="J29" i="20" s="1"/>
  <c r="J30" i="20" s="1" a="1"/>
  <c r="J30" i="20" s="1"/>
  <c r="F9" i="20" s="1"/>
  <c r="C16" i="20"/>
  <c r="C12" i="20"/>
  <c r="J31" i="20"/>
  <c r="C12" i="19"/>
  <c r="J28" i="19"/>
  <c r="J29" i="19" s="1"/>
  <c r="J30" i="19" s="1" a="1"/>
  <c r="J30" i="19" s="1"/>
  <c r="F9" i="19" s="1"/>
  <c r="C16" i="19"/>
  <c r="J31" i="19"/>
  <c r="C15" i="19" s="1"/>
  <c r="C15" i="20" l="1"/>
  <c r="J28" i="18"/>
  <c r="J29" i="18" s="1"/>
  <c r="J30" i="18" s="1" a="1"/>
  <c r="J30" i="18" s="1"/>
  <c r="F9" i="18" s="1"/>
  <c r="J31" i="18"/>
  <c r="C15" i="18" s="1"/>
  <c r="C16"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<sst xmlns="http://schemas.openxmlformats.org/spreadsheetml/2006/main" count="240" uniqueCount="56">
  <si>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</si>
  <si>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</si>
  <si>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</si>
  <si>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</si>
  <si>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</si>
  <si>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</si>
  <si>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</si>
  <si>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</si>
  <si>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</si>
  <si>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</si>
  <si>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</si>
  <si>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</si>
  <si>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</si>
  <si>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</si>
  <si>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</si>
  <si>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</si>
  <si>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</si>
  <si>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</si>
  <si>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</si>
  <si>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</si>
  <si>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</si>
  <si>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</si>
  <si>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</si>
  <si>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</si>
  <si>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</si>
  <si>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</si>
  <si>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</si>
  <si>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</si>
  <si>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</si>
  <si>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</si>
  <si>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</si>
  <si>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</si>
  <si>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</si>
  <si>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</si>
  <si>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</si>
  <si>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</si>
  <si>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</si>
  <si>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</si>
  <si>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</si>
  <si>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</si>
  <si>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</si>
  <si>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</si>
  <si>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Month to Date</t>
  </si>
  <si>
    <t>End of Month</t>
  </si>
  <si>
    <t>Distance Kilometers</t>
  </si>
  <si>
    <t>Penalty Weight</t>
  </si>
  <si>
    <t>Duration</t>
  </si>
  <si>
    <t>Total</t>
  </si>
  <si>
    <t>Remaining Fuel Spend</t>
  </si>
  <si>
    <t>Color</t>
  </si>
  <si>
    <t>#8EA9DB</t>
  </si>
  <si>
    <t>#F4B084</t>
  </si>
  <si>
    <t>#DBDBDB</t>
  </si>
  <si>
    <t>#FFD966</t>
  </si>
  <si>
    <t>Min Fuel or Points</t>
  </si>
  <si>
    <t>#D9B3FF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</si>
</sst>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7" formatCode="&quot;R&quot;#,##0"/>
    <numFmt numFmtId="168"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0">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2" fillId="0" borderId="0" xfId="0" applyFont="1" applyAlignment="1">
      <alignment horizontal="center" vertical="center"/>
    </xf>
    <xf numFmtId="2" fontId="2" fillId="0" borderId="0" xfId="0" applyNumberFormat="1" applyFont="1" applyAlignment="1">
      <alignment horizontal="center" vertical="center"/>
    </xf>
    <xf numFmtId="1" fontId="2"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7" fontId="0" fillId="0" borderId="1" xfId="0" applyNumberFormat="1" applyBorder="1" applyAlignment="1">
      <alignment horizontal="center" vertical="center"/>
    </xf>
    <xf numFmtId="168"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31">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indexed="64"/>
        </top>
      </border>
    </dxf>
    <dxf>
      <border outline="0">
        <bottom style="thin">
          <color rgb="FF000000"/>
        </bottom>
      </border>
    </dxf>
    <dxf>
      <border diagonalUp="0" diagonalDown="0">
        <left style="thin">
          <color indexed="64"/>
        </left>
        <right style="thin">
          <color indexed="64"/>
        </right>
        <top style="thin">
          <color indexed="64"/>
        </top>
        <bottom style="thin">
          <color indexed="64"/>
        </bottom>
      </border>
    </dxf>
    <dxf>
      <font>
        <b val="0"/>
      </font>
      <border diagonalUp="0" diagonalDown="0">
        <left style="thin">
          <color indexed="64"/>
        </left>
        <right style="thin">
          <color indexed="64"/>
        </right>
        <top/>
        <bottom/>
        <vertical style="thin">
          <color indexed="64"/>
        </vertical>
        <horizontal/>
      </border>
    </dxf>
    <dxf>
      <fill>
        <patternFill patternType="none">
          <fgColor indexed="64"/>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1" xr9:uid="{A9F08CE5-ED7D-4BF0-BED4-1E9AB08F748B}">
      <tableStyleElement type="wholeTable" dxfId="130"/>
    </tableStyle>
    <tableStyle name="Table Style 1 2" pivot="0" count="1" xr9:uid="{9328C6BF-6A18-40D6-BCF5-ACC71AF16E8E}">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D41F9E-201D-494C-B741-54D3661AF0CB}" name="NightTimeDrive1114" displayName="NightTimeDrive1114" ref="E12:G14" totalsRowCount="1" headerRowDxfId="32" dataDxfId="31" totalsRowDxfId="30" headerRowBorderDxfId="28" tableBorderDxfId="29" totalsRowBorderDxfId="27">
  <autoFilter ref="E12:G13" xr:uid="{932FCD99-6FCF-4AE6-A66E-74A568E6D121}">
    <filterColumn colId="0" hiddenButton="1"/>
    <filterColumn colId="1" hiddenButton="1"/>
    <filterColumn colId="2" hiddenButton="1"/>
  </autoFilter>
  <tableColumns count="3">
    <tableColumn id="1" xr3:uid="{E9820CD1-120D-416C-8D24-0E189A941AF9}" name="Penalty Weight" totalsRowLabel="Total" dataDxfId="25" totalsRowDxfId="26">
      <calculatedColumnFormula>2</calculatedColumnFormula>
    </tableColumn>
    <tableColumn id="2" xr3:uid="{770CBEF7-6A21-4F31-A449-460FF496815E}" name="Duration" totalsRowFunction="sum" dataDxfId="23" totalsRowDxfId="24"/>
    <tableColumn id="3" xr3:uid="{16E6B1A8-A2A6-468A-8C73-0F393F4B41CE}" name="Points" totalsRowFunction="sum" dataDxfId="21" totalsRowDxfId="22">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60EBD6-A6E3-4181-915B-B8ABBB18A0C2}" name="Table291215" displayName="Table291215" ref="L6:R13" totalsRowShown="0" headerRowDxfId="20" dataDxfId="19" headerRowBorderDxfId="17" tableBorderDxfId="18" totalsRowBorderDxfId="1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8771AF-CF50-4453-B679-BC454065B222}" name="Lower" dataDxfId="15"/>
    <tableColumn id="2" xr3:uid="{4C8C475B-44BE-4D66-96D4-24EDC8D2FDE2}" name="Upper" dataDxfId="14"/>
    <tableColumn id="3" xr3:uid="{C2CF2F37-F8EC-43C5-BB1A-40F3F4293DAC}" name="Blue" dataDxfId="13" dataCellStyle="Blue"/>
    <tableColumn id="4" xr3:uid="{65448F0C-31EF-4CAE-B825-712186EF8E29}" name="Bronze" dataDxfId="12" dataCellStyle="Bronze"/>
    <tableColumn id="5" xr3:uid="{50DA8696-F485-43D5-BD1F-433F94EC712E}" name="Silver" dataDxfId="11" dataCellStyle="Silver"/>
    <tableColumn id="6" xr3:uid="{D9FE27AD-9808-43A6-B9BF-5F1BAF5D78B0}" name="Gold" dataDxfId="10" dataCellStyle="Gold"/>
    <tableColumn id="7" xr3:uid="{9DC7BCD5-87F7-4BEB-9965-BF447806825D}" name="Diamond" dataDxfId="9"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3E3023-89B9-4F29-B55D-D429DA394505}" name="Table41316" displayName="Table41316" ref="M26:Q31" totalsRowShown="0" headerRowDxfId="8" headerRowBorderDxfId="6" tableBorderDxfId="7" totalsRowBorderDxfId="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ED11EC9-AD58-4F5D-A3BF-2F8F6D5282D0}" name="Lower" dataDxfId="4" dataCellStyle="Silver"/>
    <tableColumn id="2" xr3:uid="{F2569052-4C17-4127-9FBA-B31B3D522A94}" name="Upper" dataDxfId="3" dataCellStyle="Silver"/>
    <tableColumn id="3" xr3:uid="{65EFAAFB-D8DD-4A4F-AA56-CB3BBDFC28AD}" name="Category" dataDxfId="2" dataCellStyle="Silver"/>
    <tableColumn id="4" xr3:uid="{2CA1D7B4-D6E7-4D28-98FF-FE0259A7A85B}" name="Fuel %" dataDxfId="1" dataCellStyle="Silver"/>
    <tableColumn id="5" xr3:uid="{4CB4463C-CAB7-4F04-8814-E6A75BD3E2E6}" name="Color" dataDxfId="0"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91DD60-8F0D-4A00-BE27-FE334C07FAC0}" name="NightTimeDrive" displayName="NightTimeDrive" ref="E12:G14" totalsRowCount="1" headerRowDxfId="118" dataDxfId="117" totalsRowDxfId="116" headerRowBorderDxfId="114" tableBorderDxfId="115" totalsRowBorderDxfId="113">
  <autoFilter ref="E12:G13" xr:uid="{932FCD99-6FCF-4AE6-A66E-74A568E6D121}">
    <filterColumn colId="0" hiddenButton="1"/>
    <filterColumn colId="1" hiddenButton="1"/>
    <filterColumn colId="2" hiddenButton="1"/>
  </autoFilter>
  <tableColumns count="3">
    <tableColumn id="1" xr3:uid="{DC70D449-17F5-4122-A1BF-3B2E9767E577}" name="Penalty Weight" totalsRowLabel="Total" dataDxfId="111" totalsRowDxfId="112">
      <calculatedColumnFormula>2</calculatedColumnFormula>
    </tableColumn>
    <tableColumn id="2" xr3:uid="{C181C36A-8D62-47D8-8D26-3B259CBE4530}" name="Duration" totalsRowFunction="sum" dataDxfId="109" totalsRowDxfId="110"/>
    <tableColumn id="3" xr3:uid="{904077CA-AF98-4510-BEF4-9B248A3A20F5}" name="Points" totalsRowFunction="sum" dataDxfId="107" totalsRowDxfId="108">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5817D9-1883-492B-AB3F-F24E633A8C0A}" name="Table29" displayName="Table29" ref="L6:R13" totalsRowShown="0" headerRowDxfId="106" dataDxfId="105" headerRowBorderDxfId="103" tableBorderDxfId="104" totalsRowBorderDxfId="10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54ADDF-43E2-4F96-AA0A-08B95EEE5525}" name="Lower" dataDxfId="101"/>
    <tableColumn id="2" xr3:uid="{8E369D9F-A506-4BE7-9450-D6DF354C5B91}" name="Upper" dataDxfId="100"/>
    <tableColumn id="3" xr3:uid="{90C9EB12-15B2-4428-96D6-DE91D30E2889}" name="Blue" dataDxfId="99" dataCellStyle="Blue"/>
    <tableColumn id="4" xr3:uid="{B4A53663-1ECB-453B-B978-91EE1740911A}" name="Bronze" dataDxfId="98" dataCellStyle="Bronze"/>
    <tableColumn id="5" xr3:uid="{A8DB5A56-B069-4E83-866B-14EF2687BADA}" name="Silver" dataDxfId="97" dataCellStyle="Silver"/>
    <tableColumn id="6" xr3:uid="{4001DA99-4444-4282-9028-0B13BBB90400}" name="Gold" dataDxfId="96" dataCellStyle="Gold"/>
    <tableColumn id="7" xr3:uid="{BBFFC5AC-532E-41BE-B430-58B98A15C217}" name="Diamond" dataDxfId="95"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A18A49-3191-4A1B-9245-11E2443B1970}" name="Table4" displayName="Table4" ref="M26:Q31" totalsRowShown="0" headerRowDxfId="94" headerRowBorderDxfId="92" tableBorderDxfId="93" totalsRowBorderDxfId="9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9217B13-3B83-4FE5-88CE-31A352DB4072}" name="Lower" dataDxfId="90" dataCellStyle="Silver"/>
    <tableColumn id="2" xr3:uid="{85A2F208-22D3-439D-9DE4-1ECE40DC05B0}" name="Upper" dataDxfId="89" dataCellStyle="Silver"/>
    <tableColumn id="3" xr3:uid="{84A9C290-D556-4FE3-92BF-8EA0F1B50652}" name="Category" dataDxfId="88" dataCellStyle="Silver"/>
    <tableColumn id="4" xr3:uid="{DCE701AB-8DA8-49A4-9822-7012476D8245}" name="Fuel %" dataDxfId="87" dataCellStyle="Silver"/>
    <tableColumn id="5" xr3:uid="{9C1F6053-54F6-484A-9EAD-AC7FF701777F}" name="Color" dataDxfId="86"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E1FAFA-4CDE-4F06-804A-41746F5F5473}" name="NightTimeDrive11" displayName="NightTimeDrive11" ref="E12:G14" totalsRowCount="1" headerRowDxfId="75" dataDxfId="74" totalsRowDxfId="73" headerRowBorderDxfId="71" tableBorderDxfId="72" totalsRowBorderDxfId="70">
  <autoFilter ref="E12:G13" xr:uid="{932FCD99-6FCF-4AE6-A66E-74A568E6D121}">
    <filterColumn colId="0" hiddenButton="1"/>
    <filterColumn colId="1" hiddenButton="1"/>
    <filterColumn colId="2" hiddenButton="1"/>
  </autoFilter>
  <tableColumns count="3">
    <tableColumn id="1" xr3:uid="{735D4564-3A90-415B-B47E-5EA90825A97A}" name="Penalty Weight" totalsRowLabel="Total" dataDxfId="68" totalsRowDxfId="69">
      <calculatedColumnFormula>2</calculatedColumnFormula>
    </tableColumn>
    <tableColumn id="2" xr3:uid="{EEF150EB-580C-474F-8688-6A037448742C}" name="Duration" totalsRowFunction="sum" dataDxfId="66" totalsRowDxfId="67"/>
    <tableColumn id="3" xr3:uid="{5CEA56CD-422B-4282-AD7D-E4F69237A98B}" name="Points" totalsRowFunction="sum" dataDxfId="64" totalsRowDxfId="65">
      <calculatedColumnFormula>NightTimeDrive11[[#This Row],[Penalty Weight]]*NightTimeDrive11[[#This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027C31-F46F-4630-BA7C-A7D788214406}" name="Table2912" displayName="Table2912" ref="L6:R13" totalsRowShown="0" headerRowDxfId="63" dataDxfId="62" headerRowBorderDxfId="60" tableBorderDxfId="61" totalsRowBorderDxfId="5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276F9D3-B063-44DA-ADE6-1070BFDB3D35}" name="Lower" dataDxfId="58"/>
    <tableColumn id="2" xr3:uid="{A553EDA2-505F-4944-960E-813BAE0280E6}" name="Upper" dataDxfId="57"/>
    <tableColumn id="3" xr3:uid="{0D70A2B2-3135-468C-A321-4AEC2A2C9C11}" name="Blue" dataDxfId="56" dataCellStyle="Blue"/>
    <tableColumn id="4" xr3:uid="{E8B32CB2-909D-40E6-8289-BAEBC5F6C299}" name="Bronze" dataDxfId="55" dataCellStyle="Bronze"/>
    <tableColumn id="5" xr3:uid="{128F56E7-FA96-49D8-BA0E-6D47528F1475}" name="Silver" dataDxfId="54" dataCellStyle="Silver"/>
    <tableColumn id="6" xr3:uid="{54B51153-77EB-4AD5-A4B1-A65717A58F23}" name="Gold" dataDxfId="53" dataCellStyle="Gold"/>
    <tableColumn id="7" xr3:uid="{DCB5DC0A-9344-439A-829F-17C180815C46}" name="Diamond" dataDxfId="52"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3552F5-BA84-40EA-9705-39CDD98F00E4}" name="Table413" displayName="Table413" ref="M26:Q31" totalsRowShown="0" headerRowDxfId="51" headerRowBorderDxfId="49" tableBorderDxfId="50" totalsRowBorderDxfId="4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421B8BD1-6ECD-4E7F-B4CC-3E6B400A6616}" name="Lower" dataDxfId="47" dataCellStyle="Silver"/>
    <tableColumn id="2" xr3:uid="{AC79C6A7-9997-42DA-9554-F726645E1847}" name="Upper" dataDxfId="46" dataCellStyle="Silver"/>
    <tableColumn id="3" xr3:uid="{86277536-AE35-4170-B2EE-720D4049918D}" name="Category" dataDxfId="45" dataCellStyle="Silver"/>
    <tableColumn id="4" xr3:uid="{A9D36B79-51B1-4307-9F74-135ECAE6B10E}" name="Fuel %" dataDxfId="44" dataCellStyle="Silver"/>
    <tableColumn id="5" xr3:uid="{177AEE58-7FAC-4322-86D6-2E43CB79763D}" name="Color" dataDxfId="43"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F539-0250-415E-9699-09B43B836E74}">
  <sheetPr>
    <pageSetUpPr fitToPage="1"/>
  </sheetPr>
  <dimension ref="B2:AC50"/>
  <sheetViews>
    <sheetView tabSelected="1" zoomScaleNormal="100" workbookViewId="0">
      <selection activeCell="L1" sqref="L1"/>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24" t="str">
        <f ca="1">_xlfn.CONCAT("Drive Summary ",J18, " ",TEXT(TODAY(), "mmmm yyyy"))</f>
        <v>Drive Summary Stefan March 2025</v>
      </c>
      <c r="C2" s="24"/>
      <c r="D2" s="24"/>
      <c r="E2" s="24"/>
      <c r="F2" s="24"/>
      <c r="G2" s="24"/>
      <c r="H2" s="25"/>
    </row>
    <row r="3" spans="2:29" ht="14.45" customHeight="1" x14ac:dyDescent="0.25">
      <c r="B3" s="24"/>
      <c r="C3" s="24"/>
      <c r="D3" s="24"/>
      <c r="E3" s="24"/>
      <c r="F3" s="24"/>
      <c r="G3" s="24"/>
      <c r="H3" s="25"/>
    </row>
    <row r="5" spans="2:29" x14ac:dyDescent="0.25">
      <c r="B5" s="26" t="s">
        <v>30</v>
      </c>
      <c r="C5" s="27" t="s">
        <v>31</v>
      </c>
      <c r="D5"/>
      <c r="E5" s="26" t="str">
        <f ca="1">TEXT(TODAY(), "mmmm yyyy")</f>
        <v>March 2025</v>
      </c>
      <c r="F5" s="26" t="s">
        <v>1</v>
      </c>
      <c r="G5" s="28" t="s">
        <v>2</v>
      </c>
      <c r="I5" s="29" t="s">
        <v>28</v>
      </c>
      <c r="J5" s="29"/>
      <c r="L5" s="29" t="s">
        <v>11</v>
      </c>
      <c r="M5" s="29"/>
      <c r="N5" s="29"/>
      <c r="O5" s="29"/>
      <c r="P5" s="29"/>
      <c r="Q5" s="29"/>
      <c r="R5" s="29"/>
      <c r="AB5" s="23"/>
      <c r="AC5" s="23"/>
    </row>
    <row r="6" spans="2:29" x14ac:dyDescent="0.25">
      <c r="B6" s="1" t="s">
        <v>0</v>
      </c>
      <c r="C6" s="11">
        <f ca="1">MIN(1500, IF($C$13,G7,G6+G9))</f>
        <v>1500</v>
      </c>
      <c r="E6" s="1" t="s">
        <v>42</v>
      </c>
      <c r="F6" s="1">
        <v>500</v>
      </c>
      <c r="G6" s="30">
        <v>500</v>
      </c>
      <c r="I6" s="28" t="s">
        <v>30</v>
      </c>
      <c r="J6" s="28" t="s">
        <v>31</v>
      </c>
      <c r="L6" s="28" t="s">
        <v>5</v>
      </c>
      <c r="M6" s="28" t="s">
        <v>6</v>
      </c>
      <c r="N6" s="31" t="s">
        <v>10</v>
      </c>
      <c r="O6" s="32" t="s">
        <v>12</v>
      </c>
      <c r="P6" s="33" t="s">
        <v>15</v>
      </c>
      <c r="Q6" s="34" t="s">
        <v>17</v>
      </c>
      <c r="R6" s="35" t="s">
        <v>18</v>
      </c>
      <c r="AA6"/>
      <c r="AB6" s="17"/>
      <c r="AC6" s="17"/>
    </row>
    <row r="7" spans="2:29" x14ac:dyDescent="0.25">
      <c r="B7" s="1" t="s">
        <v>4</v>
      </c>
      <c r="C7" s="11">
        <f>J8</f>
        <v>300</v>
      </c>
      <c r="D7" s="5"/>
      <c r="E7" s="1" t="s">
        <v>43</v>
      </c>
      <c r="F7" s="11">
        <f ca="1">F6/J26*J25</f>
        <v>1409.090909090909</v>
      </c>
      <c r="G7" s="11">
        <f ca="1">G6/J26*J25</f>
        <v>1409.090909090909</v>
      </c>
      <c r="I7" s="11" t="s">
        <v>0</v>
      </c>
      <c r="J7" s="11">
        <v>300</v>
      </c>
      <c r="L7" s="21">
        <v>0</v>
      </c>
      <c r="M7" s="1">
        <v>299</v>
      </c>
      <c r="N7" s="36">
        <v>300</v>
      </c>
      <c r="O7" s="37">
        <v>300</v>
      </c>
      <c r="P7" s="38">
        <v>300</v>
      </c>
      <c r="Q7" s="39">
        <v>300</v>
      </c>
      <c r="R7" s="40">
        <v>300</v>
      </c>
      <c r="AB7" s="5"/>
    </row>
    <row r="8" spans="2:29" ht="15" customHeight="1" x14ac:dyDescent="0.25">
      <c r="B8" s="1" t="s">
        <v>9</v>
      </c>
      <c r="C8" s="11">
        <f>IF( AND( J9&lt;=J23+J19, J9&gt;=J23-J19 ), J9, J23)</f>
        <v>300</v>
      </c>
      <c r="E8" s="1" t="s">
        <v>14</v>
      </c>
      <c r="F8" s="10">
        <f ca="1">F6/J26</f>
        <v>45.454545454545453</v>
      </c>
      <c r="G8" s="10">
        <f ca="1">G6/J26</f>
        <v>45.454545454545453</v>
      </c>
      <c r="I8" s="41" t="s">
        <v>4</v>
      </c>
      <c r="J8" s="11">
        <v>300</v>
      </c>
      <c r="L8" s="21">
        <v>300</v>
      </c>
      <c r="M8" s="1">
        <v>599</v>
      </c>
      <c r="N8" s="36">
        <v>100</v>
      </c>
      <c r="O8" s="37">
        <v>150</v>
      </c>
      <c r="P8" s="38">
        <v>200</v>
      </c>
      <c r="Q8" s="39">
        <v>250</v>
      </c>
      <c r="R8" s="40">
        <v>300</v>
      </c>
    </row>
    <row r="9" spans="2:29" x14ac:dyDescent="0.25">
      <c r="B9" s="1" t="s">
        <v>11</v>
      </c>
      <c r="C9" s="11">
        <f>VLOOKUP(IF(C13,F7,F6),N17:P23,3)</f>
        <v>300</v>
      </c>
      <c r="E9" s="1" t="s">
        <v>21</v>
      </c>
      <c r="F9" s="11" t="str">
        <f ca="1">IF(J30&gt;=M13, "Unlimited", J30-F6)</f>
        <v>Unlimited</v>
      </c>
      <c r="G9" s="11">
        <f ca="1">50*J27 + IF(J25&lt;30,(30-J25)*G8,0)</f>
        <v>1000</v>
      </c>
      <c r="I9" s="41" t="s">
        <v>27</v>
      </c>
      <c r="J9" s="11">
        <v>220</v>
      </c>
      <c r="L9" s="21">
        <v>600</v>
      </c>
      <c r="M9" s="1">
        <v>899</v>
      </c>
      <c r="N9" s="36">
        <v>75</v>
      </c>
      <c r="O9" s="37">
        <v>100</v>
      </c>
      <c r="P9" s="38">
        <v>150</v>
      </c>
      <c r="Q9" s="39">
        <v>200</v>
      </c>
      <c r="R9" s="40">
        <v>300</v>
      </c>
    </row>
    <row r="10" spans="2:29" x14ac:dyDescent="0.25">
      <c r="B10" s="1" t="s">
        <v>13</v>
      </c>
      <c r="C10" s="11">
        <f>J12</f>
        <v>300</v>
      </c>
      <c r="E10" s="12"/>
      <c r="I10" s="41" t="s">
        <v>11</v>
      </c>
      <c r="J10" s="41">
        <v>300</v>
      </c>
      <c r="L10" s="21">
        <v>900</v>
      </c>
      <c r="M10" s="1">
        <v>1199</v>
      </c>
      <c r="N10" s="36">
        <v>50</v>
      </c>
      <c r="O10" s="37">
        <v>75</v>
      </c>
      <c r="P10" s="38">
        <v>100</v>
      </c>
      <c r="Q10" s="39">
        <v>175</v>
      </c>
      <c r="R10" s="40">
        <v>300</v>
      </c>
    </row>
    <row r="11" spans="2:29" x14ac:dyDescent="0.25">
      <c r="B11" s="1" t="s">
        <v>16</v>
      </c>
      <c r="C11" s="11">
        <f ca="1">SUM(C6:C10)</f>
        <v>2700</v>
      </c>
      <c r="E11" s="42" t="s">
        <v>27</v>
      </c>
      <c r="F11" s="43"/>
      <c r="G11" s="44"/>
      <c r="I11" s="41" t="s">
        <v>44</v>
      </c>
      <c r="J11" s="11">
        <v>800</v>
      </c>
      <c r="L11" s="21">
        <v>1200</v>
      </c>
      <c r="M11" s="1">
        <v>1499</v>
      </c>
      <c r="N11" s="36">
        <v>25</v>
      </c>
      <c r="O11" s="37">
        <v>50</v>
      </c>
      <c r="P11" s="38">
        <v>75</v>
      </c>
      <c r="Q11" s="39">
        <v>125</v>
      </c>
      <c r="R11" s="40">
        <v>300</v>
      </c>
      <c r="Z11"/>
    </row>
    <row r="12" spans="2:29" x14ac:dyDescent="0.25">
      <c r="B12" s="1" t="s">
        <v>19</v>
      </c>
      <c r="C12" s="1" t="str">
        <f ca="1">VLOOKUP(C11,M27:O31,3,TRUE)</f>
        <v>Diamond</v>
      </c>
      <c r="D12" s="5"/>
      <c r="E12" s="26" t="s">
        <v>45</v>
      </c>
      <c r="F12" s="27" t="s">
        <v>46</v>
      </c>
      <c r="G12" s="26" t="s">
        <v>2</v>
      </c>
      <c r="I12" s="41" t="s">
        <v>13</v>
      </c>
      <c r="J12" s="41">
        <v>300</v>
      </c>
      <c r="L12" s="21">
        <v>1500</v>
      </c>
      <c r="M12" s="1">
        <v>1799</v>
      </c>
      <c r="N12" s="36">
        <v>10</v>
      </c>
      <c r="O12" s="37">
        <v>25</v>
      </c>
      <c r="P12" s="38">
        <v>50</v>
      </c>
      <c r="Q12" s="39">
        <v>100</v>
      </c>
      <c r="R12" s="40">
        <v>250</v>
      </c>
      <c r="T12" s="4"/>
      <c r="Z12" s="17"/>
    </row>
    <row r="13" spans="2:29" x14ac:dyDescent="0.25">
      <c r="B13" s="1" t="s">
        <v>24</v>
      </c>
      <c r="C13" s="45" t="b">
        <v>0</v>
      </c>
      <c r="E13" s="1">
        <f>2</f>
        <v>2</v>
      </c>
      <c r="F13" s="1">
        <v>0</v>
      </c>
      <c r="G13" s="1">
        <f>NightTimeDrive1114[[#This Row],[Penalty Weight]]*NightTimeDrive1114[[#This Row],[Duration]]</f>
        <v>0</v>
      </c>
      <c r="I13" s="41" t="s">
        <v>20</v>
      </c>
      <c r="J13" s="41">
        <v>2000</v>
      </c>
      <c r="L13" s="22">
        <v>1800</v>
      </c>
      <c r="M13" s="20">
        <v>1800</v>
      </c>
      <c r="N13" s="46">
        <v>5</v>
      </c>
      <c r="O13" s="47">
        <v>10</v>
      </c>
      <c r="P13" s="48">
        <v>25</v>
      </c>
      <c r="Q13" s="49">
        <v>60</v>
      </c>
      <c r="R13" s="50">
        <v>100</v>
      </c>
      <c r="W13"/>
      <c r="Z13" s="17"/>
      <c r="AA13" s="5"/>
    </row>
    <row r="14" spans="2:29" x14ac:dyDescent="0.25">
      <c r="B14" s="1" t="s">
        <v>20</v>
      </c>
      <c r="C14" s="51">
        <f>J13</f>
        <v>2000</v>
      </c>
      <c r="E14" s="1" t="s">
        <v>47</v>
      </c>
      <c r="F14" s="1">
        <f>SUBTOTAL(109,NightTimeDrive1114[Duration])</f>
        <v>0</v>
      </c>
      <c r="G14" s="1">
        <f>SUBTOTAL(109,NightTimeDrive1114[Points])</f>
        <v>0</v>
      </c>
      <c r="I14" s="11" t="s">
        <v>37</v>
      </c>
      <c r="J14" s="11" t="s">
        <v>18</v>
      </c>
      <c r="T14"/>
      <c r="U14"/>
      <c r="V14"/>
      <c r="W14"/>
      <c r="X14"/>
    </row>
    <row r="15" spans="2:29" x14ac:dyDescent="0.25">
      <c r="B15" s="1" t="s">
        <v>23</v>
      </c>
      <c r="C15" s="52" t="str">
        <f ca="1">_xlfn.CONCAT("Đ",J31*VLOOKUP(C12,O26:P31,2,FALSE)*10)</f>
        <v>Đ10000</v>
      </c>
      <c r="D15" s="6"/>
      <c r="N15" s="42" t="str">
        <f>_xlfn.CONCAT("Distance Points for ",J14)</f>
        <v>Distance Points for Diamond</v>
      </c>
      <c r="O15" s="43"/>
      <c r="P15" s="44"/>
      <c r="T15"/>
      <c r="U15"/>
      <c r="V15" s="18"/>
      <c r="W15"/>
      <c r="X15"/>
      <c r="AA15" s="5"/>
      <c r="AB15" s="5"/>
    </row>
    <row r="16" spans="2:29" x14ac:dyDescent="0.25">
      <c r="B16" s="1" t="s">
        <v>48</v>
      </c>
      <c r="C16" s="51">
        <f ca="1">MAX(0,C11-C14)</f>
        <v>700</v>
      </c>
      <c r="I16" s="29" t="s">
        <v>38</v>
      </c>
      <c r="J16" s="29"/>
      <c r="N16" s="28" t="s">
        <v>5</v>
      </c>
      <c r="O16" s="28" t="s">
        <v>6</v>
      </c>
      <c r="P16" s="28" t="s">
        <v>2</v>
      </c>
      <c r="T16"/>
      <c r="U16"/>
      <c r="W16"/>
    </row>
    <row r="17" spans="2:28" ht="14.45" customHeight="1" x14ac:dyDescent="0.25">
      <c r="H17" s="16"/>
      <c r="I17" s="28" t="s">
        <v>30</v>
      </c>
      <c r="J17" s="28" t="s">
        <v>31</v>
      </c>
      <c r="N17" s="1" cm="1">
        <f t="array" ref="N17:N23">Table291215[Lower]</f>
        <v>0</v>
      </c>
      <c r="O17" s="1" cm="1">
        <f t="array" ref="O17:O23">Table291215[Upper]</f>
        <v>299</v>
      </c>
      <c r="P17" s="1" cm="1">
        <f t="array" ref="P17:P23">_xlfn.XLOOKUP(J14,Table291215[#Headers],Table291215[])</f>
        <v>300</v>
      </c>
      <c r="T17"/>
      <c r="U17"/>
      <c r="V17"/>
      <c r="W17"/>
    </row>
    <row r="18" spans="2:28" x14ac:dyDescent="0.25">
      <c r="H18" s="16"/>
      <c r="I18" s="1" t="s">
        <v>32</v>
      </c>
      <c r="J18" s="1" t="s">
        <v>22</v>
      </c>
      <c r="N18" s="1">
        <v>300</v>
      </c>
      <c r="O18" s="1">
        <v>599</v>
      </c>
      <c r="P18" s="1">
        <v>300</v>
      </c>
      <c r="T18"/>
      <c r="U18"/>
      <c r="V18"/>
      <c r="W18"/>
    </row>
    <row r="19" spans="2:28" x14ac:dyDescent="0.25">
      <c r="H19" s="16"/>
      <c r="I19" s="1" t="s">
        <v>33</v>
      </c>
      <c r="J19" s="1">
        <v>10</v>
      </c>
      <c r="N19" s="1">
        <v>600</v>
      </c>
      <c r="O19" s="1">
        <v>899</v>
      </c>
      <c r="P19" s="1">
        <v>300</v>
      </c>
      <c r="T19"/>
      <c r="U19"/>
      <c r="V19"/>
      <c r="W19"/>
    </row>
    <row r="20" spans="2:28" x14ac:dyDescent="0.25">
      <c r="D20" s="16"/>
      <c r="N20" s="1">
        <v>900</v>
      </c>
      <c r="O20" s="1">
        <v>1199</v>
      </c>
      <c r="P20" s="1">
        <v>300</v>
      </c>
      <c r="T20"/>
      <c r="V20"/>
      <c r="W20"/>
    </row>
    <row r="21" spans="2:28" x14ac:dyDescent="0.25">
      <c r="D21" s="16"/>
      <c r="I21" s="29" t="s">
        <v>29</v>
      </c>
      <c r="J21" s="29"/>
      <c r="N21" s="1">
        <v>1200</v>
      </c>
      <c r="O21" s="1">
        <v>1499</v>
      </c>
      <c r="P21" s="1">
        <v>300</v>
      </c>
      <c r="T21"/>
      <c r="U21"/>
      <c r="V21"/>
      <c r="W21"/>
      <c r="AA21" s="5"/>
      <c r="AB21" s="5"/>
    </row>
    <row r="22" spans="2:28" x14ac:dyDescent="0.25">
      <c r="D22" s="16"/>
      <c r="I22" s="28" t="s">
        <v>30</v>
      </c>
      <c r="J22" s="28" t="s">
        <v>31</v>
      </c>
      <c r="N22" s="1">
        <v>1500</v>
      </c>
      <c r="O22" s="1">
        <v>1799</v>
      </c>
      <c r="P22" s="1">
        <v>250</v>
      </c>
      <c r="AA22" s="5"/>
      <c r="AB22" s="5"/>
    </row>
    <row r="23" spans="2:28" x14ac:dyDescent="0.25">
      <c r="B23" s="16"/>
      <c r="C23" s="16"/>
      <c r="I23" s="19" t="s">
        <v>27</v>
      </c>
      <c r="J23" s="1">
        <f>MAX(0,300-NightTimeDrive1114[[#Totals],[Points]])</f>
        <v>300</v>
      </c>
      <c r="N23" s="1">
        <v>1800</v>
      </c>
      <c r="O23" s="1">
        <v>1800</v>
      </c>
      <c r="P23" s="1">
        <v>100</v>
      </c>
      <c r="T23"/>
      <c r="U23"/>
      <c r="V23"/>
      <c r="W23"/>
    </row>
    <row r="24" spans="2:28" x14ac:dyDescent="0.25">
      <c r="B24" s="16"/>
      <c r="C24" s="16"/>
      <c r="F24" s="12"/>
      <c r="G24" s="13"/>
      <c r="I24" s="1" t="s">
        <v>34</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29" t="s">
        <v>3</v>
      </c>
      <c r="N25" s="29"/>
      <c r="O25" s="29"/>
      <c r="P25" s="29"/>
      <c r="Q25" s="29"/>
      <c r="R25" s="3"/>
      <c r="T25"/>
      <c r="U25"/>
      <c r="V25" s="9"/>
      <c r="W25"/>
      <c r="X25"/>
    </row>
    <row r="26" spans="2:28" x14ac:dyDescent="0.25">
      <c r="E26" s="12"/>
      <c r="F26" s="14"/>
      <c r="G26" s="13"/>
      <c r="I26" s="1" t="s">
        <v>35</v>
      </c>
      <c r="J26" s="1">
        <f ca="1">DAY(TODAY())-1</f>
        <v>11</v>
      </c>
      <c r="M26" s="28" t="s">
        <v>5</v>
      </c>
      <c r="N26" s="28" t="s">
        <v>6</v>
      </c>
      <c r="O26" s="28" t="s">
        <v>7</v>
      </c>
      <c r="P26" s="28" t="s">
        <v>8</v>
      </c>
      <c r="Q26" s="28" t="s">
        <v>49</v>
      </c>
      <c r="V26" s="2"/>
    </row>
    <row r="27" spans="2:28" x14ac:dyDescent="0.25">
      <c r="E27" s="12"/>
      <c r="F27" s="14"/>
      <c r="G27" s="13"/>
      <c r="I27" s="1" t="s">
        <v>36</v>
      </c>
      <c r="J27" s="1">
        <f ca="1">J25-J26</f>
        <v>20</v>
      </c>
      <c r="M27" s="53">
        <v>0</v>
      </c>
      <c r="N27" s="36">
        <v>799</v>
      </c>
      <c r="O27" s="36" t="s">
        <v>10</v>
      </c>
      <c r="P27" s="54">
        <v>0.05</v>
      </c>
      <c r="Q27" s="55" t="s">
        <v>50</v>
      </c>
      <c r="T27" s="4"/>
      <c r="V27" s="2"/>
    </row>
    <row r="28" spans="2:28" x14ac:dyDescent="0.25">
      <c r="E28" s="12"/>
      <c r="F28" s="14"/>
      <c r="G28" s="13"/>
      <c r="I28" s="1" t="s">
        <v>39</v>
      </c>
      <c r="J28" s="11">
        <f ca="1">C11-VLOOKUP(C11,M27:O31,1,TRUE)</f>
        <v>200</v>
      </c>
      <c r="M28" s="56">
        <v>800</v>
      </c>
      <c r="N28" s="37">
        <v>1599</v>
      </c>
      <c r="O28" s="37" t="s">
        <v>12</v>
      </c>
      <c r="P28" s="57">
        <v>0.1</v>
      </c>
      <c r="Q28" s="58" t="s">
        <v>51</v>
      </c>
      <c r="T28" s="4"/>
      <c r="V28" s="2"/>
    </row>
    <row r="29" spans="2:28" x14ac:dyDescent="0.25">
      <c r="E29" s="12"/>
      <c r="F29" s="14"/>
      <c r="G29" s="13"/>
      <c r="I29" s="1" t="s">
        <v>40</v>
      </c>
      <c r="J29" s="11">
        <f ca="1">MAX(0,C9-J28)</f>
        <v>100</v>
      </c>
      <c r="M29" s="59">
        <v>1600</v>
      </c>
      <c r="N29" s="38">
        <v>2199</v>
      </c>
      <c r="O29" s="38" t="s">
        <v>15</v>
      </c>
      <c r="P29" s="60">
        <v>0.2</v>
      </c>
      <c r="Q29" s="61" t="s">
        <v>52</v>
      </c>
      <c r="T29" s="4"/>
      <c r="V29" s="2"/>
    </row>
    <row r="30" spans="2:28" x14ac:dyDescent="0.25">
      <c r="E30" s="12"/>
      <c r="F30" s="14"/>
      <c r="G30" s="13"/>
      <c r="I30" s="1" t="s">
        <v>41</v>
      </c>
      <c r="J30" s="1" cm="1">
        <f t="array" aca="1" ref="J30" ca="1">MAX(_xlfn._xlws.FILTER(_xlfn.ANCHORARRAY(O17),_xlfn.ANCHORARRAY( P17)&gt;=J29))</f>
        <v>1800</v>
      </c>
      <c r="M30" s="62">
        <v>2200</v>
      </c>
      <c r="N30" s="63">
        <v>2499</v>
      </c>
      <c r="O30" s="63" t="s">
        <v>17</v>
      </c>
      <c r="P30" s="64">
        <v>0.35</v>
      </c>
      <c r="Q30" s="65" t="s">
        <v>53</v>
      </c>
      <c r="T30" s="4"/>
      <c r="V30" s="2"/>
    </row>
    <row r="31" spans="2:28" x14ac:dyDescent="0.25">
      <c r="B31" s="2"/>
      <c r="E31" s="12"/>
      <c r="F31" s="14"/>
      <c r="G31" s="13"/>
      <c r="I31" s="1" t="s">
        <v>54</v>
      </c>
      <c r="J31" s="11">
        <f ca="1">MIN(C14,C11)</f>
        <v>2000</v>
      </c>
      <c r="M31" s="66">
        <v>2500</v>
      </c>
      <c r="N31" s="67">
        <v>3000</v>
      </c>
      <c r="O31" s="67" t="s">
        <v>18</v>
      </c>
      <c r="P31" s="68">
        <v>0.5</v>
      </c>
      <c r="Q31" s="69"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I16:J16"/>
    <mergeCell ref="I21:J21"/>
    <mergeCell ref="M25:Q25"/>
    <mergeCell ref="B2:G3"/>
    <mergeCell ref="I5:J5"/>
    <mergeCell ref="L5:R5"/>
    <mergeCell ref="AB5:AC5"/>
    <mergeCell ref="E11:G11"/>
    <mergeCell ref="N15:P15"/>
  </mergeCells>
  <conditionalFormatting sqref="B11:C12">
    <cfRule type="expression" dxfId="42" priority="1">
      <formula>$C$12="Blue"</formula>
    </cfRule>
    <cfRule type="expression" dxfId="41" priority="2">
      <formula>$C$12="Bronze"</formula>
    </cfRule>
    <cfRule type="expression" dxfId="40" priority="3">
      <formula>$C$12="Silver"</formula>
    </cfRule>
    <cfRule type="expression" dxfId="39" priority="4">
      <formula>$C$12="Gold"</formula>
    </cfRule>
    <cfRule type="expression" dxfId="38" priority="5">
      <formula>$C$12="Diamond"</formula>
    </cfRule>
  </conditionalFormatting>
  <conditionalFormatting sqref="P17:P23">
    <cfRule type="expression" dxfId="37" priority="6">
      <formula>$J$14="Blue"</formula>
    </cfRule>
    <cfRule type="expression" dxfId="36" priority="7">
      <formula>$J$14="Bronze"</formula>
    </cfRule>
    <cfRule type="expression" dxfId="35" priority="8">
      <formula>$J$14="Silver"</formula>
    </cfRule>
    <cfRule type="expression" dxfId="34" priority="9">
      <formula>$J$14="Gold"</formula>
    </cfRule>
    <cfRule type="expression" dxfId="33"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2B60514A-F1BD-4ADB-A95D-09E1CCF652F9}"/>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0580-2042-459B-AFBB-CAF4F016B905}">
  <sheetPr>
    <pageSetUpPr fitToPage="1"/>
  </sheetPr>
  <dimension ref="B2:AC50"/>
  <sheetViews>
    <sheetView topLeftCell="A3" zoomScaleNormal="100" workbookViewId="0">
      <selection activeCell="J19" sqref="J19"/>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24" t="str">
        <f ca="1">_xlfn.CONCAT("Drive Summary ",J18, " ",TEXT(TODAY(), "mmmm yyyy"))</f>
        <v>Drive Summary Christiaan March 2025</v>
      </c>
      <c r="C2" s="24"/>
      <c r="D2" s="24"/>
      <c r="E2" s="24"/>
      <c r="F2" s="24"/>
      <c r="G2" s="24"/>
      <c r="H2" s="25"/>
    </row>
    <row r="3" spans="2:29" ht="14.45" customHeight="1" x14ac:dyDescent="0.25">
      <c r="B3" s="24"/>
      <c r="C3" s="24"/>
      <c r="D3" s="24"/>
      <c r="E3" s="24"/>
      <c r="F3" s="24"/>
      <c r="G3" s="24"/>
      <c r="H3" s="25"/>
    </row>
    <row r="5" spans="2:29" x14ac:dyDescent="0.25">
      <c r="B5" s="26" t="s">
        <v>30</v>
      </c>
      <c r="C5" s="27" t="s">
        <v>31</v>
      </c>
      <c r="D5"/>
      <c r="E5" s="26" t="str">
        <f ca="1">TEXT(TODAY(), "mmmm yyyy")</f>
        <v>March 2025</v>
      </c>
      <c r="F5" s="26" t="s">
        <v>1</v>
      </c>
      <c r="G5" s="28" t="s">
        <v>2</v>
      </c>
      <c r="I5" s="29" t="s">
        <v>28</v>
      </c>
      <c r="J5" s="29"/>
      <c r="L5" s="29" t="s">
        <v>11</v>
      </c>
      <c r="M5" s="29"/>
      <c r="N5" s="29"/>
      <c r="O5" s="29"/>
      <c r="P5" s="29"/>
      <c r="Q5" s="29"/>
      <c r="R5" s="29"/>
      <c r="AB5" s="23"/>
      <c r="AC5" s="23"/>
    </row>
    <row r="6" spans="2:29" x14ac:dyDescent="0.25">
      <c r="B6" s="1" t="s">
        <v>0</v>
      </c>
      <c r="C6" s="11">
        <f ca="1">MIN(1500, IF($C$13,G7,G6+G9))</f>
        <v>1500</v>
      </c>
      <c r="E6" s="1" t="s">
        <v>42</v>
      </c>
      <c r="F6" s="1">
        <v>500</v>
      </c>
      <c r="G6" s="30">
        <v>500</v>
      </c>
      <c r="I6" s="28" t="s">
        <v>30</v>
      </c>
      <c r="J6" s="28" t="s">
        <v>31</v>
      </c>
      <c r="L6" s="28" t="s">
        <v>5</v>
      </c>
      <c r="M6" s="28" t="s">
        <v>6</v>
      </c>
      <c r="N6" s="31" t="s">
        <v>10</v>
      </c>
      <c r="O6" s="32" t="s">
        <v>12</v>
      </c>
      <c r="P6" s="33" t="s">
        <v>15</v>
      </c>
      <c r="Q6" s="34" t="s">
        <v>17</v>
      </c>
      <c r="R6" s="35" t="s">
        <v>18</v>
      </c>
      <c r="AA6"/>
      <c r="AB6" s="17"/>
      <c r="AC6" s="17"/>
    </row>
    <row r="7" spans="2:29" x14ac:dyDescent="0.25">
      <c r="B7" s="1" t="s">
        <v>4</v>
      </c>
      <c r="C7" s="11">
        <f>J8</f>
        <v>300</v>
      </c>
      <c r="D7" s="5"/>
      <c r="E7" s="1" t="s">
        <v>43</v>
      </c>
      <c r="F7" s="11">
        <f ca="1">F6/J26*J25</f>
        <v>1409.090909090909</v>
      </c>
      <c r="G7" s="11">
        <f ca="1">G6/J26*J25</f>
        <v>1409.090909090909</v>
      </c>
      <c r="I7" s="11" t="s">
        <v>0</v>
      </c>
      <c r="J7" s="11">
        <v>300</v>
      </c>
      <c r="L7" s="21">
        <v>0</v>
      </c>
      <c r="M7" s="1">
        <v>299</v>
      </c>
      <c r="N7" s="36">
        <v>300</v>
      </c>
      <c r="O7" s="37">
        <v>300</v>
      </c>
      <c r="P7" s="38">
        <v>300</v>
      </c>
      <c r="Q7" s="39">
        <v>300</v>
      </c>
      <c r="R7" s="40">
        <v>300</v>
      </c>
      <c r="AB7" s="5"/>
    </row>
    <row r="8" spans="2:29" ht="15" customHeight="1" x14ac:dyDescent="0.25">
      <c r="B8" s="1" t="s">
        <v>9</v>
      </c>
      <c r="C8" s="11">
        <f>IF( AND( J9&lt;=J23+J19, J9&gt;=J23-J19 ), J9, J23)</f>
        <v>300</v>
      </c>
      <c r="E8" s="1" t="s">
        <v>14</v>
      </c>
      <c r="F8" s="10">
        <f ca="1">F6/J26</f>
        <v>45.454545454545453</v>
      </c>
      <c r="G8" s="10">
        <f ca="1">G6/J26</f>
        <v>45.454545454545453</v>
      </c>
      <c r="I8" s="41" t="s">
        <v>4</v>
      </c>
      <c r="J8" s="11">
        <v>300</v>
      </c>
      <c r="L8" s="21">
        <v>300</v>
      </c>
      <c r="M8" s="1">
        <v>599</v>
      </c>
      <c r="N8" s="36">
        <v>100</v>
      </c>
      <c r="O8" s="37">
        <v>150</v>
      </c>
      <c r="P8" s="38">
        <v>200</v>
      </c>
      <c r="Q8" s="39">
        <v>250</v>
      </c>
      <c r="R8" s="40">
        <v>300</v>
      </c>
    </row>
    <row r="9" spans="2:29" x14ac:dyDescent="0.25">
      <c r="B9" s="1" t="s">
        <v>11</v>
      </c>
      <c r="C9" s="11">
        <f>VLOOKUP(IF(C13,F7,F6),N17:P23,3)</f>
        <v>100</v>
      </c>
      <c r="E9" s="1" t="s">
        <v>21</v>
      </c>
      <c r="F9" s="11">
        <f ca="1">IF(J30&gt;=M13, "Unlimited", J30-F6)</f>
        <v>99</v>
      </c>
      <c r="G9" s="11">
        <f ca="1">50*J27 + IF(J25&lt;30,(30-J25)*G8,0)</f>
        <v>1000</v>
      </c>
      <c r="I9" s="41" t="s">
        <v>27</v>
      </c>
      <c r="J9" s="11">
        <v>220</v>
      </c>
      <c r="L9" s="21">
        <v>600</v>
      </c>
      <c r="M9" s="1">
        <v>899</v>
      </c>
      <c r="N9" s="36">
        <v>75</v>
      </c>
      <c r="O9" s="37">
        <v>100</v>
      </c>
      <c r="P9" s="38">
        <v>150</v>
      </c>
      <c r="Q9" s="39">
        <v>200</v>
      </c>
      <c r="R9" s="40">
        <v>300</v>
      </c>
    </row>
    <row r="10" spans="2:29" x14ac:dyDescent="0.25">
      <c r="B10" s="1" t="s">
        <v>13</v>
      </c>
      <c r="C10" s="11">
        <f>J12</f>
        <v>300</v>
      </c>
      <c r="E10" s="12"/>
      <c r="I10" s="41" t="s">
        <v>11</v>
      </c>
      <c r="J10" s="41">
        <v>300</v>
      </c>
      <c r="L10" s="21">
        <v>900</v>
      </c>
      <c r="M10" s="1">
        <v>1199</v>
      </c>
      <c r="N10" s="36">
        <v>50</v>
      </c>
      <c r="O10" s="37">
        <v>75</v>
      </c>
      <c r="P10" s="38">
        <v>100</v>
      </c>
      <c r="Q10" s="39">
        <v>175</v>
      </c>
      <c r="R10" s="40">
        <v>300</v>
      </c>
    </row>
    <row r="11" spans="2:29" x14ac:dyDescent="0.25">
      <c r="B11" s="1" t="s">
        <v>16</v>
      </c>
      <c r="C11" s="11">
        <f ca="1">SUM(C6:C10)</f>
        <v>2500</v>
      </c>
      <c r="E11" s="42" t="s">
        <v>27</v>
      </c>
      <c r="F11" s="43"/>
      <c r="G11" s="44"/>
      <c r="I11" s="41" t="s">
        <v>44</v>
      </c>
      <c r="J11" s="11">
        <v>800</v>
      </c>
      <c r="L11" s="21">
        <v>1200</v>
      </c>
      <c r="M11" s="1">
        <v>1499</v>
      </c>
      <c r="N11" s="36">
        <v>25</v>
      </c>
      <c r="O11" s="37">
        <v>50</v>
      </c>
      <c r="P11" s="38">
        <v>75</v>
      </c>
      <c r="Q11" s="39">
        <v>125</v>
      </c>
      <c r="R11" s="40">
        <v>300</v>
      </c>
      <c r="Z11"/>
    </row>
    <row r="12" spans="2:29" x14ac:dyDescent="0.25">
      <c r="B12" s="1" t="s">
        <v>19</v>
      </c>
      <c r="C12" s="1" t="str">
        <f ca="1">VLOOKUP(C11,M27:O31,3,TRUE)</f>
        <v>Diamond</v>
      </c>
      <c r="D12" s="5"/>
      <c r="E12" s="26" t="s">
        <v>45</v>
      </c>
      <c r="F12" s="27" t="s">
        <v>46</v>
      </c>
      <c r="G12" s="26" t="s">
        <v>2</v>
      </c>
      <c r="I12" s="41" t="s">
        <v>13</v>
      </c>
      <c r="J12" s="41">
        <v>300</v>
      </c>
      <c r="L12" s="21">
        <v>1500</v>
      </c>
      <c r="M12" s="1">
        <v>1799</v>
      </c>
      <c r="N12" s="36">
        <v>10</v>
      </c>
      <c r="O12" s="37">
        <v>25</v>
      </c>
      <c r="P12" s="38">
        <v>50</v>
      </c>
      <c r="Q12" s="39">
        <v>100</v>
      </c>
      <c r="R12" s="40">
        <v>250</v>
      </c>
      <c r="T12" s="4"/>
      <c r="Z12" s="17"/>
    </row>
    <row r="13" spans="2:29" x14ac:dyDescent="0.25">
      <c r="B13" s="1" t="s">
        <v>24</v>
      </c>
      <c r="C13" s="45" t="b">
        <v>0</v>
      </c>
      <c r="E13" s="1">
        <f>2</f>
        <v>2</v>
      </c>
      <c r="F13" s="1">
        <v>0</v>
      </c>
      <c r="G13" s="1">
        <f>NightTimeDrive[[#This Row],[Penalty Weight]]*NightTimeDrive[[#This Row],[Duration]]</f>
        <v>0</v>
      </c>
      <c r="I13" s="41" t="s">
        <v>20</v>
      </c>
      <c r="J13" s="41">
        <v>2000</v>
      </c>
      <c r="L13" s="22">
        <v>1800</v>
      </c>
      <c r="M13" s="20">
        <v>1800</v>
      </c>
      <c r="N13" s="46">
        <v>5</v>
      </c>
      <c r="O13" s="47">
        <v>10</v>
      </c>
      <c r="P13" s="48">
        <v>25</v>
      </c>
      <c r="Q13" s="49">
        <v>60</v>
      </c>
      <c r="R13" s="50">
        <v>100</v>
      </c>
      <c r="W13"/>
      <c r="Z13" s="17"/>
      <c r="AA13" s="5"/>
    </row>
    <row r="14" spans="2:29" x14ac:dyDescent="0.25">
      <c r="B14" s="1" t="s">
        <v>20</v>
      </c>
      <c r="C14" s="51">
        <f>J13</f>
        <v>2000</v>
      </c>
      <c r="E14" s="1" t="s">
        <v>47</v>
      </c>
      <c r="F14" s="1">
        <f>SUBTOTAL(109,NightTimeDrive[Duration])</f>
        <v>0</v>
      </c>
      <c r="G14" s="1">
        <f>SUBTOTAL(109,NightTimeDrive[Points])</f>
        <v>0</v>
      </c>
      <c r="I14" s="11" t="s">
        <v>37</v>
      </c>
      <c r="J14" s="11" t="s">
        <v>10</v>
      </c>
      <c r="T14"/>
      <c r="U14"/>
      <c r="V14"/>
      <c r="W14"/>
      <c r="X14"/>
    </row>
    <row r="15" spans="2:29" x14ac:dyDescent="0.25">
      <c r="B15" s="1" t="s">
        <v>23</v>
      </c>
      <c r="C15" s="52" t="str">
        <f ca="1">_xlfn.CONCAT("Đ",J31*VLOOKUP(C12,O26:P31,2,FALSE)*10)</f>
        <v>Đ10000</v>
      </c>
      <c r="D15" s="6"/>
      <c r="N15" s="42" t="str">
        <f>_xlfn.CONCAT("Distance Points for ",J14)</f>
        <v>Distance Points for Blue</v>
      </c>
      <c r="O15" s="43"/>
      <c r="P15" s="44"/>
      <c r="T15"/>
      <c r="U15"/>
      <c r="V15" s="18"/>
      <c r="W15"/>
      <c r="X15"/>
      <c r="AA15" s="5"/>
      <c r="AB15" s="5"/>
    </row>
    <row r="16" spans="2:29" x14ac:dyDescent="0.25">
      <c r="B16" s="1" t="s">
        <v>48</v>
      </c>
      <c r="C16" s="51">
        <f ca="1">MAX(0,C11-C14)</f>
        <v>500</v>
      </c>
      <c r="I16" s="29" t="s">
        <v>38</v>
      </c>
      <c r="J16" s="29"/>
      <c r="N16" s="28" t="s">
        <v>5</v>
      </c>
      <c r="O16" s="28" t="s">
        <v>6</v>
      </c>
      <c r="P16" s="28" t="s">
        <v>2</v>
      </c>
      <c r="T16"/>
      <c r="U16"/>
      <c r="W16"/>
    </row>
    <row r="17" spans="2:28" ht="14.45" customHeight="1" x14ac:dyDescent="0.25">
      <c r="H17" s="16"/>
      <c r="I17" s="28" t="s">
        <v>30</v>
      </c>
      <c r="J17" s="28" t="s">
        <v>31</v>
      </c>
      <c r="N17" s="1" cm="1">
        <f t="array" ref="N17:N23">Table29[Lower]</f>
        <v>0</v>
      </c>
      <c r="O17" s="1" cm="1">
        <f t="array" ref="O17:O23">Table29[Upper]</f>
        <v>299</v>
      </c>
      <c r="P17" s="1" cm="1">
        <f t="array" ref="P17:P23">_xlfn.XLOOKUP(J14,Table29[#Headers],Table29[])</f>
        <v>300</v>
      </c>
      <c r="T17"/>
      <c r="U17"/>
      <c r="V17"/>
      <c r="W17"/>
    </row>
    <row r="18" spans="2:28" x14ac:dyDescent="0.25">
      <c r="H18" s="16"/>
      <c r="I18" s="1" t="s">
        <v>32</v>
      </c>
      <c r="J18" s="1" t="s">
        <v>25</v>
      </c>
      <c r="N18" s="1">
        <v>300</v>
      </c>
      <c r="O18" s="1">
        <v>599</v>
      </c>
      <c r="P18" s="1">
        <v>100</v>
      </c>
      <c r="T18"/>
      <c r="U18"/>
      <c r="V18"/>
      <c r="W18"/>
    </row>
    <row r="19" spans="2:28" x14ac:dyDescent="0.25">
      <c r="H19" s="16"/>
      <c r="I19" s="1" t="s">
        <v>33</v>
      </c>
      <c r="J19" s="1">
        <v>10</v>
      </c>
      <c r="N19" s="1">
        <v>600</v>
      </c>
      <c r="O19" s="1">
        <v>899</v>
      </c>
      <c r="P19" s="1">
        <v>75</v>
      </c>
      <c r="T19"/>
      <c r="U19"/>
      <c r="V19"/>
      <c r="W19"/>
    </row>
    <row r="20" spans="2:28" x14ac:dyDescent="0.25">
      <c r="D20" s="16"/>
      <c r="N20" s="1">
        <v>900</v>
      </c>
      <c r="O20" s="1">
        <v>1199</v>
      </c>
      <c r="P20" s="1">
        <v>50</v>
      </c>
      <c r="T20"/>
      <c r="V20"/>
      <c r="W20"/>
    </row>
    <row r="21" spans="2:28" x14ac:dyDescent="0.25">
      <c r="D21" s="16"/>
      <c r="I21" s="29" t="s">
        <v>29</v>
      </c>
      <c r="J21" s="29"/>
      <c r="N21" s="1">
        <v>1200</v>
      </c>
      <c r="O21" s="1">
        <v>1499</v>
      </c>
      <c r="P21" s="1">
        <v>25</v>
      </c>
      <c r="T21"/>
      <c r="U21"/>
      <c r="V21"/>
      <c r="W21"/>
      <c r="AA21" s="5"/>
      <c r="AB21" s="5"/>
    </row>
    <row r="22" spans="2:28" x14ac:dyDescent="0.25">
      <c r="D22" s="16"/>
      <c r="I22" s="28" t="s">
        <v>30</v>
      </c>
      <c r="J22" s="28" t="s">
        <v>31</v>
      </c>
      <c r="N22" s="1">
        <v>1500</v>
      </c>
      <c r="O22" s="1">
        <v>1799</v>
      </c>
      <c r="P22" s="1">
        <v>10</v>
      </c>
      <c r="AA22" s="5"/>
      <c r="AB22" s="5"/>
    </row>
    <row r="23" spans="2:28" x14ac:dyDescent="0.25">
      <c r="B23" s="16"/>
      <c r="C23" s="16"/>
      <c r="I23" s="19" t="s">
        <v>27</v>
      </c>
      <c r="J23" s="1">
        <f>MAX(0,300-NightTimeDrive[[#Totals],[Points]])</f>
        <v>300</v>
      </c>
      <c r="N23" s="1">
        <v>1800</v>
      </c>
      <c r="O23" s="1">
        <v>1800</v>
      </c>
      <c r="P23" s="1">
        <v>5</v>
      </c>
      <c r="T23"/>
      <c r="U23"/>
      <c r="V23"/>
      <c r="W23"/>
    </row>
    <row r="24" spans="2:28" x14ac:dyDescent="0.25">
      <c r="B24" s="16"/>
      <c r="C24" s="16"/>
      <c r="F24" s="12"/>
      <c r="G24" s="13"/>
      <c r="I24" s="1" t="s">
        <v>34</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29" t="s">
        <v>3</v>
      </c>
      <c r="N25" s="29"/>
      <c r="O25" s="29"/>
      <c r="P25" s="29"/>
      <c r="Q25" s="29"/>
      <c r="R25" s="3"/>
      <c r="T25"/>
      <c r="U25"/>
      <c r="V25" s="9"/>
      <c r="W25"/>
      <c r="X25"/>
    </row>
    <row r="26" spans="2:28" x14ac:dyDescent="0.25">
      <c r="E26" s="12"/>
      <c r="F26" s="14"/>
      <c r="G26" s="13"/>
      <c r="I26" s="1" t="s">
        <v>35</v>
      </c>
      <c r="J26" s="1">
        <f ca="1">DAY(TODAY())-1</f>
        <v>11</v>
      </c>
      <c r="M26" s="28" t="s">
        <v>5</v>
      </c>
      <c r="N26" s="28" t="s">
        <v>6</v>
      </c>
      <c r="O26" s="28" t="s">
        <v>7</v>
      </c>
      <c r="P26" s="28" t="s">
        <v>8</v>
      </c>
      <c r="Q26" s="28" t="s">
        <v>49</v>
      </c>
      <c r="V26" s="2"/>
    </row>
    <row r="27" spans="2:28" x14ac:dyDescent="0.25">
      <c r="E27" s="12"/>
      <c r="F27" s="14"/>
      <c r="G27" s="13"/>
      <c r="I27" s="1" t="s">
        <v>36</v>
      </c>
      <c r="J27" s="1">
        <f ca="1">J25-J26</f>
        <v>20</v>
      </c>
      <c r="M27" s="53">
        <v>0</v>
      </c>
      <c r="N27" s="36">
        <v>799</v>
      </c>
      <c r="O27" s="36" t="s">
        <v>10</v>
      </c>
      <c r="P27" s="54">
        <v>0.05</v>
      </c>
      <c r="Q27" s="55" t="s">
        <v>50</v>
      </c>
      <c r="T27" s="4"/>
      <c r="V27" s="2"/>
    </row>
    <row r="28" spans="2:28" x14ac:dyDescent="0.25">
      <c r="E28" s="12"/>
      <c r="F28" s="14"/>
      <c r="G28" s="13"/>
      <c r="I28" s="1" t="s">
        <v>39</v>
      </c>
      <c r="J28" s="11">
        <f ca="1">C11-VLOOKUP(C11,M27:O31,1,TRUE)</f>
        <v>0</v>
      </c>
      <c r="M28" s="56">
        <v>800</v>
      </c>
      <c r="N28" s="37">
        <v>1599</v>
      </c>
      <c r="O28" s="37" t="s">
        <v>12</v>
      </c>
      <c r="P28" s="57">
        <v>0.1</v>
      </c>
      <c r="Q28" s="58" t="s">
        <v>51</v>
      </c>
      <c r="T28" s="4"/>
      <c r="V28" s="2"/>
    </row>
    <row r="29" spans="2:28" x14ac:dyDescent="0.25">
      <c r="E29" s="12"/>
      <c r="F29" s="14"/>
      <c r="G29" s="13"/>
      <c r="I29" s="1" t="s">
        <v>40</v>
      </c>
      <c r="J29" s="11">
        <f ca="1">MAX(0,C9-J28)</f>
        <v>100</v>
      </c>
      <c r="M29" s="59">
        <v>1600</v>
      </c>
      <c r="N29" s="38">
        <v>2199</v>
      </c>
      <c r="O29" s="38" t="s">
        <v>15</v>
      </c>
      <c r="P29" s="60">
        <v>0.2</v>
      </c>
      <c r="Q29" s="61" t="s">
        <v>52</v>
      </c>
      <c r="T29" s="4"/>
      <c r="V29" s="2"/>
    </row>
    <row r="30" spans="2:28" x14ac:dyDescent="0.25">
      <c r="E30" s="12"/>
      <c r="F30" s="14"/>
      <c r="G30" s="13"/>
      <c r="I30" s="1" t="s">
        <v>41</v>
      </c>
      <c r="J30" s="1" cm="1">
        <f t="array" aca="1" ref="J30" ca="1">MAX(_xlfn._xlws.FILTER(_xlfn.ANCHORARRAY(O17),_xlfn.ANCHORARRAY( P17)&gt;=J29))</f>
        <v>599</v>
      </c>
      <c r="M30" s="62">
        <v>2200</v>
      </c>
      <c r="N30" s="63">
        <v>2499</v>
      </c>
      <c r="O30" s="63" t="s">
        <v>17</v>
      </c>
      <c r="P30" s="64">
        <v>0.35</v>
      </c>
      <c r="Q30" s="65" t="s">
        <v>53</v>
      </c>
      <c r="T30" s="4"/>
      <c r="V30" s="2"/>
    </row>
    <row r="31" spans="2:28" x14ac:dyDescent="0.25">
      <c r="B31" s="2"/>
      <c r="E31" s="12"/>
      <c r="F31" s="14"/>
      <c r="G31" s="13"/>
      <c r="I31" s="1" t="s">
        <v>54</v>
      </c>
      <c r="J31" s="11">
        <f ca="1">MIN(C14,C11)</f>
        <v>2000</v>
      </c>
      <c r="M31" s="66">
        <v>2500</v>
      </c>
      <c r="N31" s="67">
        <v>3000</v>
      </c>
      <c r="O31" s="67" t="s">
        <v>18</v>
      </c>
      <c r="P31" s="68">
        <v>0.5</v>
      </c>
      <c r="Q31" s="69"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I16:J16"/>
    <mergeCell ref="I21:J21"/>
    <mergeCell ref="M25:Q25"/>
    <mergeCell ref="B2:G3"/>
    <mergeCell ref="I5:J5"/>
    <mergeCell ref="L5:R5"/>
    <mergeCell ref="AB5:AC5"/>
    <mergeCell ref="E11:G11"/>
    <mergeCell ref="N15:P15"/>
  </mergeCells>
  <conditionalFormatting sqref="B11:C12">
    <cfRule type="expression" dxfId="128" priority="1">
      <formula>$C$12="Blue"</formula>
    </cfRule>
    <cfRule type="expression" dxfId="127" priority="2">
      <formula>$C$12="Bronze"</formula>
    </cfRule>
    <cfRule type="expression" dxfId="126" priority="3">
      <formula>$C$12="Silver"</formula>
    </cfRule>
    <cfRule type="expression" dxfId="125" priority="4">
      <formula>$C$12="Gold"</formula>
    </cfRule>
    <cfRule type="expression" dxfId="124" priority="5">
      <formula>$C$12="Diamond"</formula>
    </cfRule>
  </conditionalFormatting>
  <conditionalFormatting sqref="P17:P23">
    <cfRule type="expression" dxfId="123" priority="6">
      <formula>$J$14="Blue"</formula>
    </cfRule>
    <cfRule type="expression" dxfId="122" priority="7">
      <formula>$J$14="Bronze"</formula>
    </cfRule>
    <cfRule type="expression" dxfId="121" priority="8">
      <formula>$J$14="Silver"</formula>
    </cfRule>
    <cfRule type="expression" dxfId="120" priority="9">
      <formula>$J$14="Gold"</formula>
    </cfRule>
    <cfRule type="expression" dxfId="119"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13C58BC-B924-4E29-B64B-0ABFCF12F8E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C9EA-15F8-43BD-831E-AED1A6EDB8FC}">
  <sheetPr>
    <pageSetUpPr fitToPage="1"/>
  </sheetPr>
  <dimension ref="B2:AC50"/>
  <sheetViews>
    <sheetView zoomScaleNormal="100" workbookViewId="0">
      <selection activeCell="J19" sqref="J19"/>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24" t="str">
        <f ca="1">_xlfn.CONCAT("Drive Summary ",J18, " ",TEXT(TODAY(), "mmmm yyyy"))</f>
        <v>Drive Summary Derrick March 2025</v>
      </c>
      <c r="C2" s="24"/>
      <c r="D2" s="24"/>
      <c r="E2" s="24"/>
      <c r="F2" s="24"/>
      <c r="G2" s="24"/>
      <c r="H2" s="25"/>
    </row>
    <row r="3" spans="2:29" ht="14.45" customHeight="1" x14ac:dyDescent="0.25">
      <c r="B3" s="24"/>
      <c r="C3" s="24"/>
      <c r="D3" s="24"/>
      <c r="E3" s="24"/>
      <c r="F3" s="24"/>
      <c r="G3" s="24"/>
      <c r="H3" s="25"/>
    </row>
    <row r="5" spans="2:29" x14ac:dyDescent="0.25">
      <c r="B5" s="26" t="s">
        <v>30</v>
      </c>
      <c r="C5" s="27" t="s">
        <v>31</v>
      </c>
      <c r="D5"/>
      <c r="E5" s="26" t="str">
        <f ca="1">TEXT(TODAY(), "mmmm yyyy")</f>
        <v>March 2025</v>
      </c>
      <c r="F5" s="26" t="s">
        <v>1</v>
      </c>
      <c r="G5" s="28" t="s">
        <v>2</v>
      </c>
      <c r="I5" s="29" t="s">
        <v>28</v>
      </c>
      <c r="J5" s="29"/>
      <c r="L5" s="29" t="s">
        <v>11</v>
      </c>
      <c r="M5" s="29"/>
      <c r="N5" s="29"/>
      <c r="O5" s="29"/>
      <c r="P5" s="29"/>
      <c r="Q5" s="29"/>
      <c r="R5" s="29"/>
      <c r="AB5" s="23"/>
      <c r="AC5" s="23"/>
    </row>
    <row r="6" spans="2:29" x14ac:dyDescent="0.25">
      <c r="B6" s="1" t="s">
        <v>0</v>
      </c>
      <c r="C6" s="11">
        <f ca="1">MIN(1500, IF($C$13,G7,G6+G9))</f>
        <v>1500</v>
      </c>
      <c r="E6" s="1" t="s">
        <v>42</v>
      </c>
      <c r="F6" s="1">
        <v>500</v>
      </c>
      <c r="G6" s="30">
        <v>500</v>
      </c>
      <c r="I6" s="28" t="s">
        <v>30</v>
      </c>
      <c r="J6" s="28" t="s">
        <v>31</v>
      </c>
      <c r="L6" s="28" t="s">
        <v>5</v>
      </c>
      <c r="M6" s="28" t="s">
        <v>6</v>
      </c>
      <c r="N6" s="31" t="s">
        <v>10</v>
      </c>
      <c r="O6" s="32" t="s">
        <v>12</v>
      </c>
      <c r="P6" s="33" t="s">
        <v>15</v>
      </c>
      <c r="Q6" s="34" t="s">
        <v>17</v>
      </c>
      <c r="R6" s="35" t="s">
        <v>18</v>
      </c>
      <c r="AA6"/>
      <c r="AB6" s="17"/>
      <c r="AC6" s="17"/>
    </row>
    <row r="7" spans="2:29" x14ac:dyDescent="0.25">
      <c r="B7" s="1" t="s">
        <v>4</v>
      </c>
      <c r="C7" s="11">
        <f>J8</f>
        <v>300</v>
      </c>
      <c r="D7" s="5"/>
      <c r="E7" s="1" t="s">
        <v>43</v>
      </c>
      <c r="F7" s="11">
        <f ca="1">F6/J26*J25</f>
        <v>1409.090909090909</v>
      </c>
      <c r="G7" s="11">
        <f ca="1">G6/J26*J25</f>
        <v>1409.090909090909</v>
      </c>
      <c r="I7" s="11" t="s">
        <v>0</v>
      </c>
      <c r="J7" s="11">
        <v>300</v>
      </c>
      <c r="L7" s="21">
        <v>0</v>
      </c>
      <c r="M7" s="1">
        <v>299</v>
      </c>
      <c r="N7" s="36">
        <v>300</v>
      </c>
      <c r="O7" s="37">
        <v>300</v>
      </c>
      <c r="P7" s="38">
        <v>300</v>
      </c>
      <c r="Q7" s="39">
        <v>300</v>
      </c>
      <c r="R7" s="40">
        <v>300</v>
      </c>
      <c r="AB7" s="5"/>
    </row>
    <row r="8" spans="2:29" ht="15" customHeight="1" x14ac:dyDescent="0.25">
      <c r="B8" s="1" t="s">
        <v>9</v>
      </c>
      <c r="C8" s="11">
        <f>IF( AND( J9&lt;=J23+J19, J9&gt;=J23-J19 ), J9, J23)</f>
        <v>300</v>
      </c>
      <c r="E8" s="1" t="s">
        <v>14</v>
      </c>
      <c r="F8" s="10">
        <f ca="1">F6/J26</f>
        <v>45.454545454545453</v>
      </c>
      <c r="G8" s="10">
        <f ca="1">G6/J26</f>
        <v>45.454545454545453</v>
      </c>
      <c r="I8" s="41" t="s">
        <v>4</v>
      </c>
      <c r="J8" s="11">
        <v>300</v>
      </c>
      <c r="L8" s="21">
        <v>300</v>
      </c>
      <c r="M8" s="1">
        <v>599</v>
      </c>
      <c r="N8" s="36">
        <v>100</v>
      </c>
      <c r="O8" s="37">
        <v>150</v>
      </c>
      <c r="P8" s="38">
        <v>200</v>
      </c>
      <c r="Q8" s="39">
        <v>250</v>
      </c>
      <c r="R8" s="40">
        <v>300</v>
      </c>
    </row>
    <row r="9" spans="2:29" x14ac:dyDescent="0.25">
      <c r="B9" s="1" t="s">
        <v>11</v>
      </c>
      <c r="C9" s="11">
        <f>VLOOKUP(IF(C13,F7,F6),N17:P23,3)</f>
        <v>100</v>
      </c>
      <c r="E9" s="1" t="s">
        <v>21</v>
      </c>
      <c r="F9" s="11">
        <f ca="1">IF(J30&gt;=M13, "Unlimited", J30-F6)</f>
        <v>99</v>
      </c>
      <c r="G9" s="11">
        <f ca="1">50*J27 + IF(J25&lt;30,(30-J25)*G8,0)</f>
        <v>1000</v>
      </c>
      <c r="I9" s="41" t="s">
        <v>27</v>
      </c>
      <c r="J9" s="11">
        <v>220</v>
      </c>
      <c r="L9" s="21">
        <v>600</v>
      </c>
      <c r="M9" s="1">
        <v>899</v>
      </c>
      <c r="N9" s="36">
        <v>75</v>
      </c>
      <c r="O9" s="37">
        <v>100</v>
      </c>
      <c r="P9" s="38">
        <v>150</v>
      </c>
      <c r="Q9" s="39">
        <v>200</v>
      </c>
      <c r="R9" s="40">
        <v>300</v>
      </c>
    </row>
    <row r="10" spans="2:29" x14ac:dyDescent="0.25">
      <c r="B10" s="1" t="s">
        <v>13</v>
      </c>
      <c r="C10" s="11">
        <f>J12</f>
        <v>300</v>
      </c>
      <c r="E10" s="12"/>
      <c r="I10" s="41" t="s">
        <v>11</v>
      </c>
      <c r="J10" s="41">
        <v>300</v>
      </c>
      <c r="L10" s="21">
        <v>900</v>
      </c>
      <c r="M10" s="1">
        <v>1199</v>
      </c>
      <c r="N10" s="36">
        <v>50</v>
      </c>
      <c r="O10" s="37">
        <v>75</v>
      </c>
      <c r="P10" s="38">
        <v>100</v>
      </c>
      <c r="Q10" s="39">
        <v>175</v>
      </c>
      <c r="R10" s="40">
        <v>300</v>
      </c>
    </row>
    <row r="11" spans="2:29" x14ac:dyDescent="0.25">
      <c r="B11" s="1" t="s">
        <v>16</v>
      </c>
      <c r="C11" s="11">
        <f ca="1">SUM(C6:C10)</f>
        <v>2500</v>
      </c>
      <c r="E11" s="42" t="s">
        <v>27</v>
      </c>
      <c r="F11" s="43"/>
      <c r="G11" s="44"/>
      <c r="I11" s="41" t="s">
        <v>44</v>
      </c>
      <c r="J11" s="11">
        <v>800</v>
      </c>
      <c r="L11" s="21">
        <v>1200</v>
      </c>
      <c r="M11" s="1">
        <v>1499</v>
      </c>
      <c r="N11" s="36">
        <v>25</v>
      </c>
      <c r="O11" s="37">
        <v>50</v>
      </c>
      <c r="P11" s="38">
        <v>75</v>
      </c>
      <c r="Q11" s="39">
        <v>125</v>
      </c>
      <c r="R11" s="40">
        <v>300</v>
      </c>
      <c r="Z11"/>
    </row>
    <row r="12" spans="2:29" x14ac:dyDescent="0.25">
      <c r="B12" s="1" t="s">
        <v>19</v>
      </c>
      <c r="C12" s="1" t="str">
        <f ca="1">VLOOKUP(C11,M27:O31,3,TRUE)</f>
        <v>Diamond</v>
      </c>
      <c r="D12" s="5"/>
      <c r="E12" s="26" t="s">
        <v>45</v>
      </c>
      <c r="F12" s="27" t="s">
        <v>46</v>
      </c>
      <c r="G12" s="26" t="s">
        <v>2</v>
      </c>
      <c r="I12" s="41" t="s">
        <v>13</v>
      </c>
      <c r="J12" s="41">
        <v>300</v>
      </c>
      <c r="L12" s="21">
        <v>1500</v>
      </c>
      <c r="M12" s="1">
        <v>1799</v>
      </c>
      <c r="N12" s="36">
        <v>10</v>
      </c>
      <c r="O12" s="37">
        <v>25</v>
      </c>
      <c r="P12" s="38">
        <v>50</v>
      </c>
      <c r="Q12" s="39">
        <v>100</v>
      </c>
      <c r="R12" s="40">
        <v>250</v>
      </c>
      <c r="T12" s="4"/>
      <c r="Z12" s="17"/>
    </row>
    <row r="13" spans="2:29" x14ac:dyDescent="0.25">
      <c r="B13" s="1" t="s">
        <v>24</v>
      </c>
      <c r="C13" s="45" t="b">
        <v>0</v>
      </c>
      <c r="E13" s="1">
        <f>2</f>
        <v>2</v>
      </c>
      <c r="F13" s="1">
        <v>0</v>
      </c>
      <c r="G13" s="1">
        <f>NightTimeDrive11[[#This Row],[Penalty Weight]]*NightTimeDrive11[[#This Row],[Duration]]</f>
        <v>0</v>
      </c>
      <c r="I13" s="41" t="s">
        <v>20</v>
      </c>
      <c r="J13" s="41">
        <v>2000</v>
      </c>
      <c r="L13" s="22">
        <v>1800</v>
      </c>
      <c r="M13" s="20">
        <v>1800</v>
      </c>
      <c r="N13" s="46">
        <v>5</v>
      </c>
      <c r="O13" s="47">
        <v>10</v>
      </c>
      <c r="P13" s="48">
        <v>25</v>
      </c>
      <c r="Q13" s="49">
        <v>60</v>
      </c>
      <c r="R13" s="50">
        <v>100</v>
      </c>
      <c r="W13"/>
      <c r="Z13" s="17"/>
      <c r="AA13" s="5"/>
    </row>
    <row r="14" spans="2:29" x14ac:dyDescent="0.25">
      <c r="B14" s="1" t="s">
        <v>20</v>
      </c>
      <c r="C14" s="51">
        <f>J13</f>
        <v>2000</v>
      </c>
      <c r="E14" s="1" t="s">
        <v>47</v>
      </c>
      <c r="F14" s="1">
        <f>SUBTOTAL(109,NightTimeDrive11[Duration])</f>
        <v>0</v>
      </c>
      <c r="G14" s="1">
        <f>SUBTOTAL(109,NightTimeDrive11[Points])</f>
        <v>0</v>
      </c>
      <c r="I14" s="11" t="s">
        <v>37</v>
      </c>
      <c r="J14" s="11" t="s">
        <v>10</v>
      </c>
      <c r="T14"/>
      <c r="U14"/>
      <c r="V14"/>
      <c r="W14"/>
      <c r="X14"/>
    </row>
    <row r="15" spans="2:29" x14ac:dyDescent="0.25">
      <c r="B15" s="1" t="s">
        <v>23</v>
      </c>
      <c r="C15" s="52" t="str">
        <f ca="1">_xlfn.CONCAT("Đ",J31*VLOOKUP(C12,O26:P31,2,FALSE)*10)</f>
        <v>Đ10000</v>
      </c>
      <c r="D15" s="6"/>
      <c r="N15" s="42" t="str">
        <f>_xlfn.CONCAT("Distance Points for ",J14)</f>
        <v>Distance Points for Blue</v>
      </c>
      <c r="O15" s="43"/>
      <c r="P15" s="44"/>
      <c r="T15"/>
      <c r="U15"/>
      <c r="V15" s="18"/>
      <c r="W15"/>
      <c r="X15"/>
      <c r="AA15" s="5"/>
      <c r="AB15" s="5"/>
    </row>
    <row r="16" spans="2:29" x14ac:dyDescent="0.25">
      <c r="B16" s="1" t="s">
        <v>48</v>
      </c>
      <c r="C16" s="51">
        <f ca="1">MAX(0,C11-C14)</f>
        <v>500</v>
      </c>
      <c r="I16" s="29" t="s">
        <v>38</v>
      </c>
      <c r="J16" s="29"/>
      <c r="N16" s="28" t="s">
        <v>5</v>
      </c>
      <c r="O16" s="28" t="s">
        <v>6</v>
      </c>
      <c r="P16" s="28" t="s">
        <v>2</v>
      </c>
      <c r="T16"/>
      <c r="U16"/>
      <c r="W16"/>
    </row>
    <row r="17" spans="2:28" ht="14.45" customHeight="1" x14ac:dyDescent="0.25">
      <c r="H17" s="16"/>
      <c r="I17" s="28" t="s">
        <v>30</v>
      </c>
      <c r="J17" s="28" t="s">
        <v>31</v>
      </c>
      <c r="N17" s="1" cm="1">
        <f t="array" ref="N17:N23">Table2912[Lower]</f>
        <v>0</v>
      </c>
      <c r="O17" s="1" cm="1">
        <f t="array" ref="O17:O23">Table2912[Upper]</f>
        <v>299</v>
      </c>
      <c r="P17" s="1" cm="1">
        <f t="array" ref="P17:P23">_xlfn.XLOOKUP(J14,Table2912[#Headers],Table2912[])</f>
        <v>300</v>
      </c>
      <c r="T17"/>
      <c r="U17"/>
      <c r="V17"/>
      <c r="W17"/>
    </row>
    <row r="18" spans="2:28" x14ac:dyDescent="0.25">
      <c r="H18" s="16"/>
      <c r="I18" s="1" t="s">
        <v>32</v>
      </c>
      <c r="J18" s="1" t="s">
        <v>26</v>
      </c>
      <c r="N18" s="1">
        <v>300</v>
      </c>
      <c r="O18" s="1">
        <v>599</v>
      </c>
      <c r="P18" s="1">
        <v>100</v>
      </c>
      <c r="T18"/>
      <c r="U18"/>
      <c r="V18"/>
      <c r="W18"/>
    </row>
    <row r="19" spans="2:28" x14ac:dyDescent="0.25">
      <c r="H19" s="16"/>
      <c r="I19" s="1" t="s">
        <v>33</v>
      </c>
      <c r="J19" s="1">
        <v>10</v>
      </c>
      <c r="N19" s="1">
        <v>600</v>
      </c>
      <c r="O19" s="1">
        <v>899</v>
      </c>
      <c r="P19" s="1">
        <v>75</v>
      </c>
      <c r="T19"/>
      <c r="U19"/>
      <c r="V19"/>
      <c r="W19"/>
    </row>
    <row r="20" spans="2:28" x14ac:dyDescent="0.25">
      <c r="D20" s="16"/>
      <c r="N20" s="1">
        <v>900</v>
      </c>
      <c r="O20" s="1">
        <v>1199</v>
      </c>
      <c r="P20" s="1">
        <v>50</v>
      </c>
      <c r="T20"/>
      <c r="V20"/>
      <c r="W20"/>
    </row>
    <row r="21" spans="2:28" x14ac:dyDescent="0.25">
      <c r="D21" s="16"/>
      <c r="I21" s="29" t="s">
        <v>29</v>
      </c>
      <c r="J21" s="29"/>
      <c r="N21" s="1">
        <v>1200</v>
      </c>
      <c r="O21" s="1">
        <v>1499</v>
      </c>
      <c r="P21" s="1">
        <v>25</v>
      </c>
      <c r="T21"/>
      <c r="U21"/>
      <c r="V21"/>
      <c r="W21"/>
      <c r="AA21" s="5"/>
      <c r="AB21" s="5"/>
    </row>
    <row r="22" spans="2:28" x14ac:dyDescent="0.25">
      <c r="D22" s="16"/>
      <c r="I22" s="28" t="s">
        <v>30</v>
      </c>
      <c r="J22" s="28" t="s">
        <v>31</v>
      </c>
      <c r="N22" s="1">
        <v>1500</v>
      </c>
      <c r="O22" s="1">
        <v>1799</v>
      </c>
      <c r="P22" s="1">
        <v>10</v>
      </c>
      <c r="AA22" s="5"/>
      <c r="AB22" s="5"/>
    </row>
    <row r="23" spans="2:28" x14ac:dyDescent="0.25">
      <c r="B23" s="16"/>
      <c r="C23" s="16"/>
      <c r="I23" s="19" t="s">
        <v>27</v>
      </c>
      <c r="J23" s="1">
        <f>MAX(0,300-NightTimeDrive11[[#Totals],[Points]])</f>
        <v>300</v>
      </c>
      <c r="N23" s="1">
        <v>1800</v>
      </c>
      <c r="O23" s="1">
        <v>1800</v>
      </c>
      <c r="P23" s="1">
        <v>5</v>
      </c>
      <c r="T23"/>
      <c r="U23"/>
      <c r="V23"/>
      <c r="W23"/>
    </row>
    <row r="24" spans="2:28" x14ac:dyDescent="0.25">
      <c r="B24" s="16"/>
      <c r="C24" s="16"/>
      <c r="F24" s="12"/>
      <c r="G24" s="13"/>
      <c r="I24" s="1" t="s">
        <v>34</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29" t="s">
        <v>3</v>
      </c>
      <c r="N25" s="29"/>
      <c r="O25" s="29"/>
      <c r="P25" s="29"/>
      <c r="Q25" s="29"/>
      <c r="R25" s="3"/>
      <c r="T25"/>
      <c r="U25"/>
      <c r="V25" s="9"/>
      <c r="W25"/>
      <c r="X25"/>
    </row>
    <row r="26" spans="2:28" x14ac:dyDescent="0.25">
      <c r="E26" s="12"/>
      <c r="F26" s="14"/>
      <c r="G26" s="13"/>
      <c r="I26" s="1" t="s">
        <v>35</v>
      </c>
      <c r="J26" s="1">
        <f ca="1">DAY(TODAY())-1</f>
        <v>11</v>
      </c>
      <c r="M26" s="28" t="s">
        <v>5</v>
      </c>
      <c r="N26" s="28" t="s">
        <v>6</v>
      </c>
      <c r="O26" s="28" t="s">
        <v>7</v>
      </c>
      <c r="P26" s="28" t="s">
        <v>8</v>
      </c>
      <c r="Q26" s="28" t="s">
        <v>49</v>
      </c>
      <c r="V26" s="2"/>
    </row>
    <row r="27" spans="2:28" x14ac:dyDescent="0.25">
      <c r="E27" s="12"/>
      <c r="F27" s="14"/>
      <c r="G27" s="13"/>
      <c r="I27" s="1" t="s">
        <v>36</v>
      </c>
      <c r="J27" s="1">
        <f ca="1">J25-J26</f>
        <v>20</v>
      </c>
      <c r="M27" s="53">
        <v>0</v>
      </c>
      <c r="N27" s="36">
        <v>799</v>
      </c>
      <c r="O27" s="36" t="s">
        <v>10</v>
      </c>
      <c r="P27" s="54">
        <v>0.05</v>
      </c>
      <c r="Q27" s="55" t="s">
        <v>50</v>
      </c>
      <c r="T27" s="4"/>
      <c r="V27" s="2"/>
    </row>
    <row r="28" spans="2:28" x14ac:dyDescent="0.25">
      <c r="E28" s="12"/>
      <c r="F28" s="14"/>
      <c r="G28" s="13"/>
      <c r="I28" s="1" t="s">
        <v>39</v>
      </c>
      <c r="J28" s="11">
        <f ca="1">C11-VLOOKUP(C11,M27:O31,1,TRUE)</f>
        <v>0</v>
      </c>
      <c r="M28" s="56">
        <v>800</v>
      </c>
      <c r="N28" s="37">
        <v>1599</v>
      </c>
      <c r="O28" s="37" t="s">
        <v>12</v>
      </c>
      <c r="P28" s="57">
        <v>0.1</v>
      </c>
      <c r="Q28" s="58" t="s">
        <v>51</v>
      </c>
      <c r="T28" s="4"/>
      <c r="V28" s="2"/>
    </row>
    <row r="29" spans="2:28" x14ac:dyDescent="0.25">
      <c r="E29" s="12"/>
      <c r="F29" s="14"/>
      <c r="G29" s="13"/>
      <c r="I29" s="1" t="s">
        <v>40</v>
      </c>
      <c r="J29" s="11">
        <f ca="1">MAX(0,C9-J28)</f>
        <v>100</v>
      </c>
      <c r="M29" s="59">
        <v>1600</v>
      </c>
      <c r="N29" s="38">
        <v>2199</v>
      </c>
      <c r="O29" s="38" t="s">
        <v>15</v>
      </c>
      <c r="P29" s="60">
        <v>0.2</v>
      </c>
      <c r="Q29" s="61" t="s">
        <v>52</v>
      </c>
      <c r="T29" s="4"/>
      <c r="V29" s="2"/>
    </row>
    <row r="30" spans="2:28" x14ac:dyDescent="0.25">
      <c r="E30" s="12"/>
      <c r="F30" s="14"/>
      <c r="G30" s="13"/>
      <c r="I30" s="1" t="s">
        <v>41</v>
      </c>
      <c r="J30" s="1" cm="1">
        <f t="array" aca="1" ref="J30" ca="1">MAX(_xlfn._xlws.FILTER(_xlfn.ANCHORARRAY(O17),_xlfn.ANCHORARRAY( P17)&gt;=J29))</f>
        <v>599</v>
      </c>
      <c r="M30" s="62">
        <v>2200</v>
      </c>
      <c r="N30" s="63">
        <v>2499</v>
      </c>
      <c r="O30" s="63" t="s">
        <v>17</v>
      </c>
      <c r="P30" s="64">
        <v>0.35</v>
      </c>
      <c r="Q30" s="65" t="s">
        <v>53</v>
      </c>
      <c r="T30" s="4"/>
      <c r="V30" s="2"/>
    </row>
    <row r="31" spans="2:28" x14ac:dyDescent="0.25">
      <c r="B31" s="2"/>
      <c r="E31" s="12"/>
      <c r="F31" s="14"/>
      <c r="G31" s="13"/>
      <c r="I31" s="1" t="s">
        <v>54</v>
      </c>
      <c r="J31" s="11">
        <f ca="1">MIN(C14,C11)</f>
        <v>2000</v>
      </c>
      <c r="M31" s="66">
        <v>2500</v>
      </c>
      <c r="N31" s="67">
        <v>3000</v>
      </c>
      <c r="O31" s="67" t="s">
        <v>18</v>
      </c>
      <c r="P31" s="68">
        <v>0.5</v>
      </c>
      <c r="Q31" s="69" t="s">
        <v>55</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I16:J16"/>
    <mergeCell ref="I21:J21"/>
    <mergeCell ref="M25:Q25"/>
    <mergeCell ref="B2:G3"/>
    <mergeCell ref="I5:J5"/>
    <mergeCell ref="L5:R5"/>
    <mergeCell ref="AB5:AC5"/>
    <mergeCell ref="E11:G11"/>
    <mergeCell ref="N15:P15"/>
  </mergeCells>
  <conditionalFormatting sqref="B11:C12">
    <cfRule type="expression" dxfId="85" priority="1">
      <formula>$C$12="Blue"</formula>
    </cfRule>
    <cfRule type="expression" dxfId="84" priority="2">
      <formula>$C$12="Bronze"</formula>
    </cfRule>
    <cfRule type="expression" dxfId="83" priority="3">
      <formula>$C$12="Silver"</formula>
    </cfRule>
    <cfRule type="expression" dxfId="82" priority="4">
      <formula>$C$12="Gold"</formula>
    </cfRule>
    <cfRule type="expression" dxfId="81" priority="5">
      <formula>$C$12="Diamond"</formula>
    </cfRule>
  </conditionalFormatting>
  <conditionalFormatting sqref="P17:P23">
    <cfRule type="expression" dxfId="80" priority="6">
      <formula>$J$14="Blue"</formula>
    </cfRule>
    <cfRule type="expression" dxfId="79" priority="7">
      <formula>$J$14="Bronze"</formula>
    </cfRule>
    <cfRule type="expression" dxfId="78" priority="8">
      <formula>$J$14="Silver"</formula>
    </cfRule>
    <cfRule type="expression" dxfId="77" priority="9">
      <formula>$J$14="Gold"</formula>
    </cfRule>
    <cfRule type="expression" dxfId="76"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E72BB58-1177-473B-BF7A-A98C86835AA3}"/>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2025-03-12T17:01:33Z</dcterms:modified>
  <cp:category/>
  <cp:contentStatus/>
</cp:coreProperties>
</file>