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2187" documentId="13_ncr:1_{F7269803-218D-4718-B04F-3CDC29A5C001}" xr6:coauthVersionLast="47" xr6:coauthVersionMax="47" xr10:uidLastSave="{9F01280F-2503-4CEC-879E-8DC80148473B}"/>
  <bookViews>
    <workbookView xWindow="-120" yWindow="-120" windowWidth="20730" windowHeight="11040" activeTab="1" xr2:uid="{B12B6E18-E294-4985-A977-422328ADD677}"/>
  </bookViews>
  <sheets>
    <sheet name="DEV" sheetId="8" r:id="rId1"/>
    <sheet name="QA" sheetId="7" r:id="rId2"/>
  </sheets>
  <definedNames>
    <definedName name="Username" localSheetId="0">DEV!$J$22</definedName>
    <definedName name="Username">QA!$J$22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6" i="8" l="1"/>
  <c r="J25" i="8"/>
  <c r="I25" i="8"/>
  <c r="P17" i="8" a="1"/>
  <c r="P17" i="8" s="1"/>
  <c r="O17" i="8"/>
  <c r="O17" i="8" a="1"/>
  <c r="N17" i="8"/>
  <c r="N17" i="8" a="1"/>
  <c r="N15" i="8"/>
  <c r="F14" i="8"/>
  <c r="C14" i="8"/>
  <c r="E13" i="8"/>
  <c r="G13" i="8" s="1"/>
  <c r="G14" i="8" s="1"/>
  <c r="J23" i="8" s="1"/>
  <c r="C10" i="8"/>
  <c r="C7" i="8"/>
  <c r="E5" i="8"/>
  <c r="B2" i="8"/>
  <c r="E13" i="7"/>
  <c r="G13" i="7" s="1"/>
  <c r="B2" i="7"/>
  <c r="F14" i="7"/>
  <c r="P17" i="7" a="1"/>
  <c r="P17" i="7" s="1"/>
  <c r="C14" i="7"/>
  <c r="C10" i="7"/>
  <c r="C7" i="7"/>
  <c r="J27" i="8" l="1"/>
  <c r="G9" i="8" s="1"/>
  <c r="J24" i="8"/>
  <c r="C8" i="8"/>
  <c r="F7" i="8"/>
  <c r="C9" i="8" s="1"/>
  <c r="G7" i="8"/>
  <c r="F8" i="8"/>
  <c r="G8" i="8"/>
  <c r="G14" i="7"/>
  <c r="J23" i="7" s="1"/>
  <c r="O17" i="7" a="1"/>
  <c r="O17" i="7" s="1"/>
  <c r="N17" i="7" a="1"/>
  <c r="N17" i="7" s="1"/>
  <c r="N15" i="7"/>
  <c r="I25" i="7"/>
  <c r="C6" i="8" l="1"/>
  <c r="C11" i="8" s="1"/>
  <c r="J28" i="8" s="1"/>
  <c r="J29" i="8" s="1"/>
  <c r="J30" i="8" s="1" a="1"/>
  <c r="J30" i="8" s="1"/>
  <c r="F9" i="8" s="1"/>
  <c r="E5" i="7"/>
  <c r="J26" i="7"/>
  <c r="F8" i="7" s="1"/>
  <c r="J25" i="7"/>
  <c r="C12" i="8" l="1"/>
  <c r="J31" i="8"/>
  <c r="C16" i="8"/>
  <c r="C8" i="7"/>
  <c r="J24" i="7"/>
  <c r="G8" i="7"/>
  <c r="J27" i="7"/>
  <c r="G9" i="7" s="1"/>
  <c r="F7" i="7"/>
  <c r="C9" i="7" s="1"/>
  <c r="G7" i="7"/>
  <c r="C15" i="8" l="1"/>
  <c r="C6" i="7"/>
  <c r="C11" i="7" s="1"/>
  <c r="C16" i="7" l="1"/>
  <c r="J31" i="7" l="1"/>
  <c r="J28" i="7"/>
  <c r="J29" i="7" s="1"/>
  <c r="J30" i="7" s="1" a="1"/>
  <c r="J30" i="7" s="1"/>
  <c r="F9" i="7" s="1"/>
  <c r="C12" i="7"/>
  <c r="C15"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<sst xmlns="http://schemas.openxmlformats.org/spreadsheetml/2006/main" count="160" uniqueCount="54">
  <si>
    <t>Fuel Cash Back in Miles</t>
  </si>
  <si>
    <t>Qualifying Fuel Spend</t>
  </si>
  <si>
    <t>Vitality Drive Status</t>
  </si>
  <si>
    <t>Diamond</t>
  </si>
  <si>
    <t>Accumulated Points</t>
  </si>
  <si>
    <t>Gold</t>
  </si>
  <si>
    <t>MultiPoint Check</t>
  </si>
  <si>
    <t>Silver</t>
  </si>
  <si>
    <t>Distance Points</t>
  </si>
  <si>
    <t>Bronze</t>
  </si>
  <si>
    <t>Night Time Driving</t>
  </si>
  <si>
    <t>Blue</t>
  </si>
  <si>
    <t>Claim Free Years</t>
  </si>
  <si>
    <t>Fuel %</t>
  </si>
  <si>
    <t>Category</t>
  </si>
  <si>
    <t>Points</t>
  </si>
  <si>
    <t>Upper</t>
  </si>
  <si>
    <t>Lower</t>
  </si>
  <si>
    <t>Driving Profile</t>
  </si>
  <si>
    <t>Distance</t>
  </si>
  <si>
    <t>Predict Status</t>
  </si>
  <si>
    <t>Remaining</t>
  </si>
  <si>
    <t>Driving Status</t>
  </si>
  <si>
    <t>Daily Average</t>
  </si>
  <si>
    <t>Night Time Drive</t>
  </si>
  <si>
    <t>Extracted Data</t>
  </si>
  <si>
    <t>Value</t>
  </si>
  <si>
    <t>Calculated Data</t>
  </si>
  <si>
    <t>Stefan</t>
  </si>
  <si>
    <t>Username</t>
  </si>
  <si>
    <t>Description</t>
  </si>
  <si>
    <t>Night Extr or Calc</t>
  </si>
  <si>
    <t>Night Pts Tolerance</t>
  </si>
  <si>
    <t>Days Past</t>
  </si>
  <si>
    <t>Days Left</t>
  </si>
  <si>
    <t>Last Month's Status</t>
  </si>
  <si>
    <t>Distance Upper Limit</t>
  </si>
  <si>
    <t>Config Data</t>
  </si>
  <si>
    <t>Rem Dist Points</t>
  </si>
  <si>
    <t>Rem - Dist</t>
  </si>
  <si>
    <t>#D9B3FF</t>
  </si>
  <si>
    <t>#FFD966</t>
  </si>
  <si>
    <t>#DBDBDB</t>
  </si>
  <si>
    <t>#F4B084</t>
  </si>
  <si>
    <t>#8EA9DB</t>
  </si>
  <si>
    <t>Color</t>
  </si>
  <si>
    <t>Remaining Fuel Spend</t>
  </si>
  <si>
    <t>End of Month</t>
  </si>
  <si>
    <t>Month to Date</t>
  </si>
  <si>
    <t>Duration</t>
  </si>
  <si>
    <t>Distance Kilometers</t>
  </si>
  <si>
    <t>Total</t>
  </si>
  <si>
    <t>Penalty Weight</t>
  </si>
  <si>
    <t>Min Fuel or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</si>
</sst>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7"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11"/>
      <color theme="0"/>
      <name val="Calibri"/>
      <family val="2"/>
      <scheme val="minor"/>
    </font>
    <font>
      <sz val="10"/>
      <color theme="1"/>
      <name val="72 Monospace"/>
      <family val="3"/>
    </font>
    <font>
      <sz val="20"/>
      <color theme="1"/>
      <name val="Calibri"/>
      <family val="2"/>
      <scheme val="minor"/>
    </font>
  </fonts>
  <fills count="10">
    <fill>
      <patternFill patternType="none"/>
    </fill>
    <fill>
      <patternFill patternType="gray125"/>
    </fill>
    <fill>
      <patternFill patternType="solid">
        <fgColor theme="7"/>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39994506668294322"/>
        <bgColor indexed="64"/>
      </patternFill>
    </fill>
    <fill>
      <patternFill patternType="solid">
        <fgColor theme="7" tint="0.39994506668294322"/>
        <bgColor indexed="64"/>
      </patternFill>
    </fill>
    <fill>
      <patternFill patternType="solid">
        <fgColor rgb="FFD9B3FF"/>
        <bgColor indexed="64"/>
      </patternFill>
    </fill>
    <fill>
      <patternFill patternType="solid">
        <fgColor theme="6" tint="0.59996337778862885"/>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9">
    <xf numFmtId="0" fontId="0" fillId="0" borderId="0"/>
    <xf numFmtId="0" fontId="1" fillId="5" borderId="1" applyNumberFormat="0" applyBorder="0" applyAlignment="0" applyProtection="0">
      <alignment horizontal="center" vertical="center"/>
    </xf>
    <xf numFmtId="0" fontId="1" fillId="8" borderId="1" applyNumberFormat="0" applyBorder="0" applyAlignment="0" applyProtection="0">
      <alignment horizontal="center" vertical="center"/>
    </xf>
    <xf numFmtId="0" fontId="4" fillId="2" borderId="0" applyNumberFormat="0" applyBorder="0" applyAlignment="0" applyProtection="0"/>
    <xf numFmtId="0" fontId="1" fillId="7" borderId="1" applyNumberFormat="0" applyFont="0" applyBorder="0" applyAlignment="0" applyProtection="0">
      <alignment horizontal="center" vertical="center"/>
    </xf>
    <xf numFmtId="0" fontId="1" fillId="6" borderId="1"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3" borderId="0" applyNumberFormat="0" applyFont="0" applyBorder="0" applyAlignment="0" applyProtection="0">
      <alignment horizontal="center" vertical="center"/>
    </xf>
    <xf numFmtId="0" fontId="1" fillId="8" borderId="0" applyNumberFormat="0" applyFont="0" applyBorder="0" applyAlignment="0" applyProtection="0"/>
  </cellStyleXfs>
  <cellXfs count="70">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0" fontId="0" fillId="0" borderId="0" xfId="0" quotePrefix="1" applyAlignment="1">
      <alignment horizontal="center" vertical="center"/>
    </xf>
    <xf numFmtId="14" fontId="0" fillId="0" borderId="0" xfId="0" applyNumberFormat="1"/>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2" fillId="0" borderId="0" xfId="0" applyFont="1" applyAlignment="1">
      <alignment horizontal="center" vertical="center"/>
    </xf>
    <xf numFmtId="2" fontId="2" fillId="0" borderId="0" xfId="0" applyNumberFormat="1" applyFont="1" applyAlignment="1">
      <alignment horizontal="center" vertical="center"/>
    </xf>
    <xf numFmtId="1" fontId="2" fillId="0" borderId="0" xfId="0" applyNumberFormat="1" applyFont="1" applyAlignment="1">
      <alignment horizontal="center" vertical="center"/>
    </xf>
    <xf numFmtId="0" fontId="0" fillId="0" borderId="0" xfId="0" applyAlignment="1">
      <alignment wrapText="1"/>
    </xf>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1" fillId="7" borderId="8" xfId="4" applyBorder="1" applyAlignment="1">
      <alignment horizontal="center" vertical="center"/>
    </xf>
    <xf numFmtId="0" fontId="1" fillId="7" borderId="2" xfId="4" applyBorder="1" applyAlignment="1">
      <alignment horizontal="center" vertical="center"/>
    </xf>
    <xf numFmtId="0" fontId="1" fillId="7" borderId="6" xfId="4" applyBorder="1" applyAlignment="1">
      <alignment horizontal="center" vertical="center"/>
    </xf>
    <xf numFmtId="0" fontId="1" fillId="6" borderId="1" xfId="5" applyBorder="1" applyAlignment="1">
      <alignment horizontal="center" vertical="center"/>
    </xf>
    <xf numFmtId="9" fontId="1" fillId="6" borderId="1" xfId="5" applyNumberFormat="1" applyBorder="1" applyAlignment="1">
      <alignment horizontal="center" vertical="center"/>
    </xf>
    <xf numFmtId="0" fontId="0" fillId="3" borderId="1" xfId="7" applyFont="1" applyBorder="1" applyAlignment="1">
      <alignment horizontal="center" vertical="center"/>
    </xf>
    <xf numFmtId="9" fontId="0" fillId="3" borderId="1" xfId="7" applyNumberFormat="1" applyFont="1" applyBorder="1" applyAlignment="1">
      <alignment horizontal="center" vertical="center"/>
    </xf>
    <xf numFmtId="0" fontId="0" fillId="4" borderId="1" xfId="6" applyFont="1" applyBorder="1" applyAlignment="1">
      <alignment horizontal="center" vertical="center"/>
    </xf>
    <xf numFmtId="9" fontId="0" fillId="4" borderId="1" xfId="6" applyNumberFormat="1" applyFont="1" applyBorder="1" applyAlignment="1">
      <alignment horizontal="center" vertical="center"/>
    </xf>
    <xf numFmtId="0" fontId="0" fillId="8" borderId="1" xfId="8" applyFont="1" applyBorder="1" applyAlignment="1">
      <alignment horizontal="center" vertical="center"/>
    </xf>
    <xf numFmtId="9" fontId="0" fillId="8" borderId="1" xfId="8" applyNumberFormat="1" applyFont="1" applyBorder="1" applyAlignment="1">
      <alignment horizontal="center" vertical="center"/>
    </xf>
    <xf numFmtId="0" fontId="0" fillId="6" borderId="7" xfId="5" applyFont="1" applyBorder="1" applyAlignment="1">
      <alignment horizontal="center" vertical="center"/>
    </xf>
    <xf numFmtId="0" fontId="0" fillId="6" borderId="1" xfId="5" applyFont="1" applyBorder="1" applyAlignment="1">
      <alignment horizontal="center" vertical="center"/>
    </xf>
    <xf numFmtId="0" fontId="0" fillId="6" borderId="5" xfId="5" applyFont="1" applyBorder="1" applyAlignment="1">
      <alignment horizontal="center" vertical="center"/>
    </xf>
    <xf numFmtId="0" fontId="0" fillId="8" borderId="7" xfId="8" applyFont="1" applyBorder="1" applyAlignment="1">
      <alignment horizontal="center" vertical="center"/>
    </xf>
    <xf numFmtId="0" fontId="0" fillId="4" borderId="7" xfId="6" applyFont="1" applyBorder="1" applyAlignment="1">
      <alignment horizontal="center" vertical="center"/>
    </xf>
    <xf numFmtId="0" fontId="0" fillId="4" borderId="5" xfId="6" applyFont="1" applyBorder="1" applyAlignment="1">
      <alignment horizontal="center" vertical="center"/>
    </xf>
    <xf numFmtId="0" fontId="0" fillId="8" borderId="5" xfId="8" applyFont="1" applyBorder="1" applyAlignment="1">
      <alignment horizontal="center" vertical="center"/>
    </xf>
    <xf numFmtId="0" fontId="0" fillId="3" borderId="7" xfId="7" applyFont="1" applyBorder="1" applyAlignment="1">
      <alignment horizontal="center" vertical="center"/>
    </xf>
    <xf numFmtId="0" fontId="0" fillId="3" borderId="5" xfId="7" applyFont="1" applyBorder="1" applyAlignment="1">
      <alignment horizontal="center" vertical="center"/>
    </xf>
    <xf numFmtId="166" fontId="0" fillId="0" borderId="1"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1" fontId="0" fillId="0" borderId="5" xfId="0" applyNumberFormat="1" applyBorder="1" applyAlignment="1">
      <alignment horizontal="center" vertical="center"/>
    </xf>
    <xf numFmtId="0" fontId="3" fillId="0" borderId="0" xfId="0" applyFont="1" applyAlignment="1">
      <alignment vertical="center"/>
    </xf>
    <xf numFmtId="0" fontId="0" fillId="3" borderId="3" xfId="7" applyFont="1" applyBorder="1" applyAlignment="1">
      <alignment horizontal="center" vertical="center"/>
    </xf>
    <xf numFmtId="0" fontId="0" fillId="4" borderId="3" xfId="6" applyFont="1" applyBorder="1" applyAlignment="1">
      <alignment horizontal="center" vertical="center"/>
    </xf>
    <xf numFmtId="0" fontId="0" fillId="8" borderId="3" xfId="8" applyFont="1" applyBorder="1" applyAlignment="1">
      <alignment horizontal="center" vertical="center"/>
    </xf>
    <xf numFmtId="0" fontId="1" fillId="6" borderId="3" xfId="5" applyBorder="1" applyAlignment="1">
      <alignment horizontal="center" vertical="center"/>
    </xf>
    <xf numFmtId="0" fontId="1" fillId="7" borderId="9" xfId="4" applyBorder="1" applyAlignment="1">
      <alignment horizontal="center" vertical="center"/>
    </xf>
    <xf numFmtId="0" fontId="1" fillId="7" borderId="5" xfId="4" applyBorder="1" applyAlignment="1">
      <alignment horizontal="center" vertical="center"/>
    </xf>
    <xf numFmtId="9" fontId="1" fillId="7" borderId="5" xfId="4" applyNumberFormat="1" applyBorder="1" applyAlignment="1">
      <alignment horizontal="center" vertical="center"/>
    </xf>
    <xf numFmtId="9" fontId="5" fillId="3" borderId="2" xfId="7" applyNumberFormat="1" applyFont="1" applyBorder="1" applyAlignment="1">
      <alignment horizontal="center" vertical="center"/>
    </xf>
    <xf numFmtId="9" fontId="5" fillId="4" borderId="2" xfId="6" applyNumberFormat="1" applyFont="1" applyBorder="1" applyAlignment="1">
      <alignment horizontal="center" vertical="center"/>
    </xf>
    <xf numFmtId="9" fontId="5" fillId="8" borderId="2" xfId="8" applyNumberFormat="1" applyFont="1" applyBorder="1" applyAlignment="1">
      <alignment horizontal="center" vertical="center"/>
    </xf>
    <xf numFmtId="9" fontId="5" fillId="6" borderId="2" xfId="5" applyNumberFormat="1" applyFont="1" applyBorder="1" applyAlignment="1">
      <alignment horizontal="center" vertical="center"/>
    </xf>
    <xf numFmtId="9" fontId="5" fillId="7" borderId="6" xfId="4" applyNumberFormat="1" applyFont="1" applyBorder="1" applyAlignment="1">
      <alignment horizontal="center" vertical="center"/>
    </xf>
    <xf numFmtId="167" fontId="0" fillId="0" borderId="1" xfId="0" applyNumberFormat="1" applyBorder="1" applyAlignment="1">
      <alignment horizontal="center" vertical="center"/>
    </xf>
    <xf numFmtId="1" fontId="0" fillId="0" borderId="7" xfId="0" applyNumberFormat="1" applyBorder="1" applyAlignment="1">
      <alignment horizontal="center" vertical="center"/>
    </xf>
    <xf numFmtId="0" fontId="0" fillId="9" borderId="6" xfId="0" applyFill="1" applyBorder="1" applyAlignment="1">
      <alignment horizontal="center" vertical="center"/>
    </xf>
    <xf numFmtId="0" fontId="0" fillId="9" borderId="5" xfId="0" applyFill="1" applyBorder="1" applyAlignment="1">
      <alignment horizontal="center" vertical="center"/>
    </xf>
    <xf numFmtId="0" fontId="0" fillId="9" borderId="1" xfId="0" applyFill="1" applyBorder="1" applyAlignment="1">
      <alignment horizontal="center" vertical="center"/>
    </xf>
    <xf numFmtId="0" fontId="0" fillId="0" borderId="0" xfId="0" applyAlignment="1">
      <alignment horizontal="center" vertical="center"/>
    </xf>
    <xf numFmtId="0" fontId="0" fillId="9" borderId="2" xfId="0" applyFill="1" applyBorder="1" applyAlignment="1">
      <alignment horizontal="center" vertical="center"/>
    </xf>
    <xf numFmtId="0" fontId="0" fillId="9" borderId="4" xfId="0" applyFill="1" applyBorder="1" applyAlignment="1">
      <alignment horizontal="center" vertical="center"/>
    </xf>
    <xf numFmtId="0" fontId="0" fillId="9" borderId="3" xfId="0" applyFill="1" applyBorder="1" applyAlignment="1">
      <alignment horizontal="center" vertical="center"/>
    </xf>
    <xf numFmtId="0" fontId="0" fillId="9" borderId="1" xfId="0" applyFill="1" applyBorder="1" applyAlignment="1">
      <alignment horizontal="center" vertical="center"/>
    </xf>
    <xf numFmtId="0" fontId="6" fillId="0" borderId="0" xfId="0" applyFont="1" applyAlignment="1">
      <alignment horizontal="center" vertical="center"/>
    </xf>
  </cellXfs>
  <cellStyles count="9">
    <cellStyle name="Accent4" xfId="3" builtinId="41" customBuiltin="1"/>
    <cellStyle name="Blue" xfId="7" xr:uid="{E912B0DD-4F25-429A-A7CF-28E17D13FF3E}"/>
    <cellStyle name="Bronze" xfId="6" xr:uid="{FB75478B-E7AD-4FC7-BB0B-4D67AC02DAE5}"/>
    <cellStyle name="Calculation" xfId="2" builtinId="22" customBuiltin="1"/>
    <cellStyle name="Diamond" xfId="4" xr:uid="{EA3E02B0-354F-4516-99B3-F8757878F5B1}"/>
    <cellStyle name="Gold" xfId="5" xr:uid="{E00110AA-F906-45FF-A4A7-EFA664692B0D}"/>
    <cellStyle name="Normal" xfId="0" builtinId="0"/>
    <cellStyle name="Percent" xfId="1" builtinId="5" customBuiltin="1"/>
    <cellStyle name="Silver" xfId="8" xr:uid="{680A1B4F-1213-4B73-8DCC-846FF00C6411}"/>
  </cellStyles>
  <dxfs count="87">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indexed="64"/>
        </top>
      </border>
    </dxf>
    <dxf>
      <font>
        <b val="0"/>
      </font>
      <border diagonalUp="0" diagonalDown="0">
        <left style="thin">
          <color indexed="64"/>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s>
  <tableStyles count="1" defaultTableStyle="TableStyleMedium2" defaultPivotStyle="PivotStyleLight16">
    <tableStyle name="Table Style 1" pivot="0" count="1" xr9:uid="{6816E4B5-3A62-4F29-9CCF-2FA42321C8A7}">
      <tableStyleElement type="wholeTable" dxfId="86"/>
    </tableStyle>
  </tableStyles>
  <colors>
    <mruColors>
      <color rgb="FFFFD966"/>
      <color rgb="FFDBDBDB"/>
      <color rgb="FFF4B084"/>
      <color rgb="FF8EA9DB"/>
      <color rgb="FFD9B3FF"/>
      <color rgb="FFFED9FF"/>
      <color rgb="FFCC99FF"/>
      <color rgb="FFEDC1FF"/>
      <color rgb="FFE6D7FD"/>
      <color rgb="FFC29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1.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0B9C54-07E5-411F-A3F8-2FEB98D430C8}" name="NightTimeDrive4" displayName="NightTimeDrive4" ref="E12:G14" totalsRowCount="1" headerRowDxfId="85" dataDxfId="83" totalsRowDxfId="81" headerRowBorderDxfId="84" tableBorderDxfId="82" totalsRowBorderDxfId="80">
  <autoFilter ref="E12:G13" xr:uid="{932FCD99-6FCF-4AE6-A66E-74A568E6D121}">
    <filterColumn colId="0" hiddenButton="1"/>
    <filterColumn colId="1" hiddenButton="1"/>
    <filterColumn colId="2" hiddenButton="1"/>
  </autoFilter>
  <tableColumns count="3">
    <tableColumn id="1" xr3:uid="{83FCEC2D-CE07-489F-A80C-D15F830FC277}" name="Penalty Weight" totalsRowLabel="Total" dataDxfId="79" totalsRowDxfId="78">
      <calculatedColumnFormula>2</calculatedColumnFormula>
    </tableColumn>
    <tableColumn id="2" xr3:uid="{9659D235-976A-429C-8826-CA280CD8D100}" name="Duration" totalsRowFunction="sum" dataDxfId="77" totalsRowDxfId="76"/>
    <tableColumn id="3" xr3:uid="{0E347952-B37C-47D1-955E-A566B0D54530}" name="Points" totalsRowFunction="sum" dataDxfId="75" totalsRowDxfId="74">
      <calculatedColumnFormula>NightTimeDrive4[[#This Row],[Penalty Weight]]*NightTimeDrive4[[#This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57220C-B055-4ACA-8C70-CDE1689B0062}" name="Table26" displayName="Table26" ref="L6:R13" totalsRowShown="0" headerRowDxfId="73" dataDxfId="71" headerRowBorderDxfId="72" tableBorderDxfId="70" totalsRowBorderDxfId="69">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851F747-8EBC-443E-B91F-E637DA6CB00E}" name="Lower" dataDxfId="68"/>
    <tableColumn id="2" xr3:uid="{6EDA6E23-5CAB-4005-B8C8-94D172E07ADC}" name="Upper" dataDxfId="67"/>
    <tableColumn id="3" xr3:uid="{21540083-7009-4830-810C-338420E98924}" name="Blue" dataDxfId="66" dataCellStyle="Blue"/>
    <tableColumn id="4" xr3:uid="{37BD7E30-FC31-437C-9788-EE06E8342571}" name="Bronze" dataDxfId="65" dataCellStyle="Bronze"/>
    <tableColumn id="5" xr3:uid="{993B3C93-6924-4EDE-B69A-9B6B419D529B}" name="Silver" dataDxfId="64" dataCellStyle="Silver"/>
    <tableColumn id="6" xr3:uid="{51466CFD-8C08-431D-8A27-8DB7098A4A8D}" name="Gold" dataDxfId="63" dataCellStyle="Gold"/>
    <tableColumn id="7" xr3:uid="{22BAC3FF-B5A5-482C-B4C3-18074C0B5F8E}" name="Diamond" dataDxfId="62"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9E9A07-CDA3-469D-BA74-8D9093380EBE}" name="Table47" displayName="Table47" ref="M26:Q31" totalsRowShown="0" headerRowDxfId="61" headerRowBorderDxfId="60" tableBorderDxfId="59" totalsRowBorderDxfId="58">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723E7076-E52A-486F-B81C-1624F9850641}" name="Lower" dataDxfId="57" dataCellStyle="Silver"/>
    <tableColumn id="2" xr3:uid="{F8305681-9A5A-405F-9709-B460907A7C0B}" name="Upper" dataDxfId="56" dataCellStyle="Silver"/>
    <tableColumn id="3" xr3:uid="{9BDF1B2A-8F32-4B40-88A3-1A1313675864}" name="Category" dataDxfId="55" dataCellStyle="Silver"/>
    <tableColumn id="4" xr3:uid="{8476A790-CD92-49EA-83EB-A4E261838E33}" name="Fuel %" dataDxfId="54" dataCellStyle="Silver"/>
    <tableColumn id="5" xr3:uid="{4EAE04FE-A1CD-441C-A62A-4EE77FDE935E}" name="Color" dataDxfId="53"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2FCD99-6FCF-4AE6-A66E-74A568E6D121}" name="NightTimeDrive" displayName="NightTimeDrive" ref="E12:G14" totalsRowCount="1" headerRowDxfId="52" dataDxfId="50" totalsRowDxfId="48" headerRowBorderDxfId="51" tableBorderDxfId="49" totalsRowBorderDxfId="47">
  <autoFilter ref="E12:G13" xr:uid="{932FCD99-6FCF-4AE6-A66E-74A568E6D121}">
    <filterColumn colId="0" hiddenButton="1"/>
    <filterColumn colId="1" hiddenButton="1"/>
    <filterColumn colId="2" hiddenButton="1"/>
  </autoFilter>
  <tableColumns count="3">
    <tableColumn id="1" xr3:uid="{9EB75FFC-DA63-4FB2-9EDD-0F3F85DD3EDF}" name="Penalty Weight" totalsRowLabel="Total" dataDxfId="46" totalsRowDxfId="45">
      <calculatedColumnFormula>2</calculatedColumnFormula>
    </tableColumn>
    <tableColumn id="2" xr3:uid="{0F4B0F6D-D478-4EAB-BC51-738227841C7E}" name="Duration" totalsRowFunction="sum" dataDxfId="44" totalsRowDxfId="43"/>
    <tableColumn id="3" xr3:uid="{D036702C-BFE2-431B-BA16-57324E902955}" name="Points" totalsRowFunction="sum" dataDxfId="42" totalsRowDxfId="41">
      <calculatedColumnFormula>NightTimeDrive[[#This Row],[Penalty Weight]]*NightTimeDrive[[#This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11F3DC-4D15-4380-B07D-61D2F4291EE8}" name="Table2" displayName="Table2" ref="L6:R13" totalsRowShown="0" headerRowDxfId="40" dataDxfId="38" headerRowBorderDxfId="39" tableBorderDxfId="37" totalsRowBorderDxfId="3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7CAC795-E571-47E4-824E-016D041A5D00}" name="Lower" dataDxfId="35"/>
    <tableColumn id="2" xr3:uid="{582822E9-3DEB-4508-AA7B-DD7A6A2BB156}" name="Upper" dataDxfId="34"/>
    <tableColumn id="3" xr3:uid="{003DDF9D-C1E4-4FD2-9601-690C9D687E6C}" name="Blue" dataDxfId="33" dataCellStyle="Blue"/>
    <tableColumn id="4" xr3:uid="{14CD9C7F-BAB0-475F-BA55-23A1510F9B02}" name="Bronze" dataDxfId="32" dataCellStyle="Bronze"/>
    <tableColumn id="5" xr3:uid="{6E16B529-049D-4870-9F01-54E881E3AD80}" name="Silver" dataDxfId="31" dataCellStyle="Silver"/>
    <tableColumn id="6" xr3:uid="{D851F32A-6D40-41EC-9D8C-3904177A2CC4}" name="Gold" dataDxfId="30" dataCellStyle="Gold"/>
    <tableColumn id="7" xr3:uid="{F6586344-39BA-4E77-A4BF-62456CE19804}" name="Diamond" dataDxfId="29"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26E8D9-5FBB-4486-917F-B1866C4C6343}" name="Table4" displayName="Table4" ref="M26:Q31" totalsRowShown="0" headerRowDxfId="28" headerRowBorderDxfId="27" tableBorderDxfId="26" totalsRowBorderDxfId="2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7E543C72-509E-4CC1-B467-4147DEFE80E2}" name="Lower" dataDxfId="24" dataCellStyle="Silver"/>
    <tableColumn id="2" xr3:uid="{672D12DF-ABAE-4A96-826C-E4DFD9145E87}" name="Upper" dataDxfId="23" dataCellStyle="Silver"/>
    <tableColumn id="3" xr3:uid="{3001823F-5E72-44F2-BFA5-209D0DADB119}" name="Category" dataDxfId="22" dataCellStyle="Silver"/>
    <tableColumn id="4" xr3:uid="{2A479DF4-255B-42AA-A4F2-BFE484176B4A}" name="Fuel %" dataDxfId="21" dataCellStyle="Silver"/>
    <tableColumn id="5" xr3:uid="{D9F8E309-8F02-40B8-BF4C-066818BCA09F}" name="Color" dataDxfId="2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76116-3E49-4D03-8099-7DBD24D4509F}">
  <dimension ref="B2:AC50"/>
  <sheetViews>
    <sheetView zoomScaleNormal="100" workbookViewId="0">
      <selection activeCell="E18" sqref="E18"/>
    </sheetView>
  </sheetViews>
  <sheetFormatPr defaultColWidth="8.85546875" defaultRowHeight="15" x14ac:dyDescent="0.25"/>
  <cols>
    <col min="1" max="1" width="2.7109375" style="4" customWidth="1"/>
    <col min="2" max="2" width="25.140625" style="4" bestFit="1" customWidth="1"/>
    <col min="3" max="3" width="9.7109375" style="4" customWidth="1"/>
    <col min="4" max="4" width="2.7109375" style="4" customWidth="1"/>
    <col min="5" max="5" width="16.140625" customWidth="1"/>
    <col min="6" max="6" width="11.140625" style="4" bestFit="1" customWidth="1"/>
    <col min="7" max="7" width="9.7109375" style="4" customWidth="1"/>
    <col min="8" max="8" width="2.7109375" style="4" customWidth="1"/>
    <col min="9" max="9" width="22.42578125" style="4" bestFit="1" customWidth="1"/>
    <col min="10" max="10" width="10.42578125" style="4" bestFit="1" customWidth="1"/>
    <col min="11" max="11" width="2.7109375" style="4" customWidth="1"/>
    <col min="12" max="14" width="9.7109375" style="4" customWidth="1"/>
    <col min="15" max="15" width="10.5703125" style="4" customWidth="1"/>
    <col min="16" max="17" width="9.7109375" style="4" customWidth="1"/>
    <col min="18" max="18" width="11.42578125" style="4" customWidth="1"/>
    <col min="19" max="19" width="2.7109375" style="4" customWidth="1"/>
    <col min="20" max="20" width="9.7109375" style="7" customWidth="1"/>
    <col min="21" max="23" width="9.7109375" style="4" customWidth="1"/>
    <col min="24" max="24" width="8.85546875" style="4" customWidth="1"/>
    <col min="25" max="25" width="8.85546875" style="4"/>
    <col min="26" max="26" width="8.85546875" style="4" customWidth="1"/>
    <col min="27" max="16384" width="8.85546875" style="4"/>
  </cols>
  <sheetData>
    <row r="2" spans="2:29" ht="14.45" customHeight="1" x14ac:dyDescent="0.25">
      <c r="B2" s="69" t="str">
        <f ca="1">_xlfn.CONCAT("Drive Summary ",J18, " ",TEXT(TODAY(), "mmmm yyyy"))</f>
        <v>Drive Summary Stefan March 2025</v>
      </c>
      <c r="C2" s="69"/>
      <c r="D2" s="69"/>
      <c r="E2" s="69"/>
      <c r="F2" s="69"/>
      <c r="G2" s="69"/>
      <c r="H2" s="46"/>
    </row>
    <row r="3" spans="2:29" ht="14.45" customHeight="1" x14ac:dyDescent="0.25">
      <c r="B3" s="69"/>
      <c r="C3" s="69"/>
      <c r="D3" s="69"/>
      <c r="E3" s="69"/>
      <c r="F3" s="69"/>
      <c r="G3" s="69"/>
      <c r="H3" s="46"/>
    </row>
    <row r="5" spans="2:29" x14ac:dyDescent="0.25">
      <c r="B5" s="61" t="s">
        <v>30</v>
      </c>
      <c r="C5" s="62" t="s">
        <v>26</v>
      </c>
      <c r="D5"/>
      <c r="E5" s="61" t="str">
        <f ca="1">TEXT(TODAY(), "mmmm yyyy")</f>
        <v>March 2025</v>
      </c>
      <c r="F5" s="61" t="s">
        <v>19</v>
      </c>
      <c r="G5" s="63" t="s">
        <v>15</v>
      </c>
      <c r="I5" s="68" t="s">
        <v>25</v>
      </c>
      <c r="J5" s="68"/>
      <c r="L5" s="68" t="s">
        <v>8</v>
      </c>
      <c r="M5" s="68"/>
      <c r="N5" s="68"/>
      <c r="O5" s="68"/>
      <c r="P5" s="68"/>
      <c r="Q5" s="68"/>
      <c r="R5" s="68"/>
      <c r="AB5" s="64"/>
      <c r="AC5" s="64"/>
    </row>
    <row r="6" spans="2:29" x14ac:dyDescent="0.25">
      <c r="B6" s="1" t="s">
        <v>18</v>
      </c>
      <c r="C6" s="11">
        <f ca="1">MIN(1500, IF($C$13,G7,G6+G9))</f>
        <v>1500</v>
      </c>
      <c r="E6" s="1" t="s">
        <v>48</v>
      </c>
      <c r="F6" s="1">
        <v>500</v>
      </c>
      <c r="G6" s="60">
        <v>500</v>
      </c>
      <c r="I6" s="63" t="s">
        <v>30</v>
      </c>
      <c r="J6" s="63" t="s">
        <v>26</v>
      </c>
      <c r="L6" s="63" t="s">
        <v>17</v>
      </c>
      <c r="M6" s="63" t="s">
        <v>16</v>
      </c>
      <c r="N6" s="41" t="s">
        <v>11</v>
      </c>
      <c r="O6" s="38" t="s">
        <v>9</v>
      </c>
      <c r="P6" s="37" t="s">
        <v>7</v>
      </c>
      <c r="Q6" s="34" t="s">
        <v>5</v>
      </c>
      <c r="R6" s="23" t="s">
        <v>3</v>
      </c>
      <c r="AA6"/>
      <c r="AB6" s="17"/>
      <c r="AC6" s="17"/>
    </row>
    <row r="7" spans="2:29" x14ac:dyDescent="0.25">
      <c r="B7" s="1" t="s">
        <v>12</v>
      </c>
      <c r="C7" s="11">
        <f>J8</f>
        <v>300</v>
      </c>
      <c r="D7" s="5"/>
      <c r="E7" s="1" t="s">
        <v>47</v>
      </c>
      <c r="F7" s="11">
        <f ca="1">F6/J26*J25</f>
        <v>1409.090909090909</v>
      </c>
      <c r="G7" s="11">
        <f ca="1">G6/J26*J25</f>
        <v>1409.090909090909</v>
      </c>
      <c r="I7" s="11" t="s">
        <v>18</v>
      </c>
      <c r="J7" s="11">
        <v>300</v>
      </c>
      <c r="L7" s="21">
        <v>0</v>
      </c>
      <c r="M7" s="1">
        <v>299</v>
      </c>
      <c r="N7" s="28">
        <v>300</v>
      </c>
      <c r="O7" s="30">
        <v>300</v>
      </c>
      <c r="P7" s="32">
        <v>300</v>
      </c>
      <c r="Q7" s="35">
        <v>300</v>
      </c>
      <c r="R7" s="24">
        <v>300</v>
      </c>
      <c r="AB7" s="5"/>
    </row>
    <row r="8" spans="2:29" ht="15" customHeight="1" x14ac:dyDescent="0.25">
      <c r="B8" s="1" t="s">
        <v>10</v>
      </c>
      <c r="C8" s="11">
        <f>IF( AND( J9&lt;=J23+J19, J9&gt;=J23-J19 ), J9, J23)</f>
        <v>300</v>
      </c>
      <c r="E8" s="1" t="s">
        <v>23</v>
      </c>
      <c r="F8" s="10">
        <f ca="1">F6/J26</f>
        <v>45.454545454545453</v>
      </c>
      <c r="G8" s="10">
        <f ca="1">G6/J26</f>
        <v>45.454545454545453</v>
      </c>
      <c r="I8" s="45" t="s">
        <v>12</v>
      </c>
      <c r="J8" s="11">
        <v>300</v>
      </c>
      <c r="L8" s="21">
        <v>300</v>
      </c>
      <c r="M8" s="1">
        <v>599</v>
      </c>
      <c r="N8" s="28">
        <v>100</v>
      </c>
      <c r="O8" s="30">
        <v>150</v>
      </c>
      <c r="P8" s="32">
        <v>200</v>
      </c>
      <c r="Q8" s="35">
        <v>250</v>
      </c>
      <c r="R8" s="24">
        <v>300</v>
      </c>
    </row>
    <row r="9" spans="2:29" x14ac:dyDescent="0.25">
      <c r="B9" s="1" t="s">
        <v>8</v>
      </c>
      <c r="C9" s="11">
        <f>VLOOKUP(IF(C13,F7,F6),N17:P23,3)</f>
        <v>300</v>
      </c>
      <c r="E9" s="1" t="s">
        <v>21</v>
      </c>
      <c r="F9" s="11" t="str">
        <f ca="1">IF(J30&gt;=M13, "Unlimited", J30-F6)</f>
        <v>Unlimited</v>
      </c>
      <c r="G9" s="11">
        <f ca="1">50*J27 + IF(J25&lt;30,(30-J25)*G8,0)</f>
        <v>1000</v>
      </c>
      <c r="I9" s="45" t="s">
        <v>24</v>
      </c>
      <c r="J9" s="11">
        <v>220</v>
      </c>
      <c r="L9" s="21">
        <v>600</v>
      </c>
      <c r="M9" s="1">
        <v>899</v>
      </c>
      <c r="N9" s="28">
        <v>75</v>
      </c>
      <c r="O9" s="30">
        <v>100</v>
      </c>
      <c r="P9" s="32">
        <v>150</v>
      </c>
      <c r="Q9" s="35">
        <v>200</v>
      </c>
      <c r="R9" s="24">
        <v>300</v>
      </c>
    </row>
    <row r="10" spans="2:29" x14ac:dyDescent="0.25">
      <c r="B10" s="1" t="s">
        <v>6</v>
      </c>
      <c r="C10" s="11">
        <f>J12</f>
        <v>300</v>
      </c>
      <c r="E10" s="12"/>
      <c r="I10" s="45" t="s">
        <v>8</v>
      </c>
      <c r="J10" s="45">
        <v>300</v>
      </c>
      <c r="L10" s="21">
        <v>900</v>
      </c>
      <c r="M10" s="1">
        <v>1199</v>
      </c>
      <c r="N10" s="28">
        <v>50</v>
      </c>
      <c r="O10" s="30">
        <v>75</v>
      </c>
      <c r="P10" s="32">
        <v>100</v>
      </c>
      <c r="Q10" s="35">
        <v>175</v>
      </c>
      <c r="R10" s="24">
        <v>300</v>
      </c>
    </row>
    <row r="11" spans="2:29" x14ac:dyDescent="0.25">
      <c r="B11" s="1" t="s">
        <v>4</v>
      </c>
      <c r="C11" s="11">
        <f ca="1">SUM(C6:C10)</f>
        <v>2700</v>
      </c>
      <c r="E11" s="65" t="s">
        <v>24</v>
      </c>
      <c r="F11" s="66"/>
      <c r="G11" s="67"/>
      <c r="I11" s="45" t="s">
        <v>50</v>
      </c>
      <c r="J11" s="11">
        <v>800</v>
      </c>
      <c r="L11" s="21">
        <v>1200</v>
      </c>
      <c r="M11" s="1">
        <v>1499</v>
      </c>
      <c r="N11" s="28">
        <v>25</v>
      </c>
      <c r="O11" s="30">
        <v>50</v>
      </c>
      <c r="P11" s="32">
        <v>75</v>
      </c>
      <c r="Q11" s="35">
        <v>125</v>
      </c>
      <c r="R11" s="24">
        <v>300</v>
      </c>
      <c r="Z11"/>
    </row>
    <row r="12" spans="2:29" x14ac:dyDescent="0.25">
      <c r="B12" s="1" t="s">
        <v>2</v>
      </c>
      <c r="C12" s="1" t="str">
        <f ca="1">VLOOKUP(C11,M27:O31,3,TRUE)</f>
        <v>Diamond</v>
      </c>
      <c r="D12" s="5"/>
      <c r="E12" s="61" t="s">
        <v>52</v>
      </c>
      <c r="F12" s="62" t="s">
        <v>49</v>
      </c>
      <c r="G12" s="61" t="s">
        <v>15</v>
      </c>
      <c r="I12" s="45" t="s">
        <v>6</v>
      </c>
      <c r="J12" s="45">
        <v>300</v>
      </c>
      <c r="L12" s="21">
        <v>1500</v>
      </c>
      <c r="M12" s="1">
        <v>1799</v>
      </c>
      <c r="N12" s="28">
        <v>10</v>
      </c>
      <c r="O12" s="30">
        <v>25</v>
      </c>
      <c r="P12" s="32">
        <v>50</v>
      </c>
      <c r="Q12" s="35">
        <v>100</v>
      </c>
      <c r="R12" s="24">
        <v>250</v>
      </c>
      <c r="T12" s="4"/>
      <c r="Z12" s="17"/>
    </row>
    <row r="13" spans="2:29" x14ac:dyDescent="0.25">
      <c r="B13" s="1" t="s">
        <v>20</v>
      </c>
      <c r="C13" s="44" t="b">
        <v>0</v>
      </c>
      <c r="E13" s="1">
        <f>2</f>
        <v>2</v>
      </c>
      <c r="F13" s="1">
        <v>0</v>
      </c>
      <c r="G13" s="1">
        <f>NightTimeDrive4[[#This Row],[Penalty Weight]]*NightTimeDrive4[[#This Row],[Duration]]</f>
        <v>0</v>
      </c>
      <c r="I13" s="45" t="s">
        <v>1</v>
      </c>
      <c r="J13" s="45">
        <v>2000</v>
      </c>
      <c r="L13" s="22">
        <v>1800</v>
      </c>
      <c r="M13" s="20">
        <v>1800</v>
      </c>
      <c r="N13" s="42">
        <v>5</v>
      </c>
      <c r="O13" s="39">
        <v>10</v>
      </c>
      <c r="P13" s="40">
        <v>25</v>
      </c>
      <c r="Q13" s="36">
        <v>60</v>
      </c>
      <c r="R13" s="25">
        <v>100</v>
      </c>
      <c r="W13"/>
      <c r="Z13" s="17"/>
      <c r="AA13" s="5"/>
    </row>
    <row r="14" spans="2:29" x14ac:dyDescent="0.25">
      <c r="B14" s="1" t="s">
        <v>1</v>
      </c>
      <c r="C14" s="43">
        <f>J13</f>
        <v>2000</v>
      </c>
      <c r="E14" s="1" t="s">
        <v>51</v>
      </c>
      <c r="F14" s="1">
        <f>SUBTOTAL(109,NightTimeDrive4[Duration])</f>
        <v>0</v>
      </c>
      <c r="G14" s="1">
        <f>SUBTOTAL(109,NightTimeDrive4[Points])</f>
        <v>0</v>
      </c>
      <c r="I14" s="11" t="s">
        <v>35</v>
      </c>
      <c r="J14" s="11" t="s">
        <v>3</v>
      </c>
      <c r="T14"/>
      <c r="U14"/>
      <c r="V14"/>
      <c r="W14"/>
      <c r="X14"/>
    </row>
    <row r="15" spans="2:29" x14ac:dyDescent="0.25">
      <c r="B15" s="1" t="s">
        <v>0</v>
      </c>
      <c r="C15" s="59" t="str">
        <f ca="1">_xlfn.CONCAT("Đ",J31*VLOOKUP(C12,O26:P31,2,FALSE)*10)</f>
        <v>Đ10000</v>
      </c>
      <c r="D15" s="6"/>
      <c r="N15" s="65" t="str">
        <f>_xlfn.CONCAT("Distance Points for ",J14)</f>
        <v>Distance Points for Diamond</v>
      </c>
      <c r="O15" s="66"/>
      <c r="P15" s="67"/>
      <c r="T15"/>
      <c r="U15"/>
      <c r="V15" s="18"/>
      <c r="W15"/>
      <c r="X15"/>
      <c r="AA15" s="5"/>
      <c r="AB15" s="5"/>
    </row>
    <row r="16" spans="2:29" x14ac:dyDescent="0.25">
      <c r="B16" s="1" t="s">
        <v>46</v>
      </c>
      <c r="C16" s="43">
        <f ca="1">MAX(0,C11-C14)</f>
        <v>700</v>
      </c>
      <c r="I16" s="68" t="s">
        <v>37</v>
      </c>
      <c r="J16" s="68"/>
      <c r="N16" s="63" t="s">
        <v>17</v>
      </c>
      <c r="O16" s="63" t="s">
        <v>16</v>
      </c>
      <c r="P16" s="63" t="s">
        <v>15</v>
      </c>
      <c r="T16"/>
      <c r="U16"/>
      <c r="W16"/>
    </row>
    <row r="17" spans="2:28" ht="14.45" customHeight="1" x14ac:dyDescent="0.25">
      <c r="H17" s="16"/>
      <c r="I17" s="63" t="s">
        <v>30</v>
      </c>
      <c r="J17" s="63" t="s">
        <v>26</v>
      </c>
      <c r="N17" s="1" cm="1">
        <f t="array" ref="N17:N23">Table26[Lower]</f>
        <v>0</v>
      </c>
      <c r="O17" s="1" cm="1">
        <f t="array" ref="O17:O23">Table26[Upper]</f>
        <v>299</v>
      </c>
      <c r="P17" s="1" cm="1">
        <f t="array" ref="P17:P23">_xlfn.XLOOKUP(J14,Table26[#Headers],Table26[])</f>
        <v>300</v>
      </c>
      <c r="T17"/>
      <c r="U17"/>
      <c r="V17"/>
      <c r="W17"/>
    </row>
    <row r="18" spans="2:28" x14ac:dyDescent="0.25">
      <c r="H18" s="16"/>
      <c r="I18" s="1" t="s">
        <v>29</v>
      </c>
      <c r="J18" s="1" t="s">
        <v>28</v>
      </c>
      <c r="N18" s="1">
        <v>300</v>
      </c>
      <c r="O18" s="1">
        <v>599</v>
      </c>
      <c r="P18" s="1">
        <v>300</v>
      </c>
      <c r="T18"/>
      <c r="U18"/>
      <c r="V18"/>
      <c r="W18"/>
    </row>
    <row r="19" spans="2:28" x14ac:dyDescent="0.25">
      <c r="H19" s="16"/>
      <c r="I19" s="1" t="s">
        <v>32</v>
      </c>
      <c r="J19" s="1">
        <v>10</v>
      </c>
      <c r="N19" s="1">
        <v>600</v>
      </c>
      <c r="O19" s="1">
        <v>899</v>
      </c>
      <c r="P19" s="1">
        <v>300</v>
      </c>
      <c r="T19"/>
      <c r="U19"/>
      <c r="V19"/>
      <c r="W19"/>
    </row>
    <row r="20" spans="2:28" x14ac:dyDescent="0.25">
      <c r="D20" s="16"/>
      <c r="N20" s="1">
        <v>900</v>
      </c>
      <c r="O20" s="1">
        <v>1199</v>
      </c>
      <c r="P20" s="1">
        <v>300</v>
      </c>
      <c r="T20"/>
      <c r="V20"/>
      <c r="W20"/>
    </row>
    <row r="21" spans="2:28" x14ac:dyDescent="0.25">
      <c r="D21" s="16"/>
      <c r="I21" s="68" t="s">
        <v>27</v>
      </c>
      <c r="J21" s="68"/>
      <c r="N21" s="1">
        <v>1200</v>
      </c>
      <c r="O21" s="1">
        <v>1499</v>
      </c>
      <c r="P21" s="1">
        <v>300</v>
      </c>
      <c r="T21"/>
      <c r="U21"/>
      <c r="V21"/>
      <c r="W21"/>
      <c r="AA21" s="5"/>
      <c r="AB21" s="5"/>
    </row>
    <row r="22" spans="2:28" x14ac:dyDescent="0.25">
      <c r="D22" s="16"/>
      <c r="I22" s="63" t="s">
        <v>30</v>
      </c>
      <c r="J22" s="63" t="s">
        <v>26</v>
      </c>
      <c r="N22" s="1">
        <v>1500</v>
      </c>
      <c r="O22" s="1">
        <v>1799</v>
      </c>
      <c r="P22" s="1">
        <v>250</v>
      </c>
      <c r="AA22" s="5"/>
      <c r="AB22" s="5"/>
    </row>
    <row r="23" spans="2:28" x14ac:dyDescent="0.25">
      <c r="B23" s="16"/>
      <c r="C23" s="16"/>
      <c r="I23" s="19" t="s">
        <v>24</v>
      </c>
      <c r="J23" s="1">
        <f>MAX(0,300-NightTimeDrive4[[#Totals],[Points]])</f>
        <v>300</v>
      </c>
      <c r="N23" s="1">
        <v>1800</v>
      </c>
      <c r="O23" s="1">
        <v>1800</v>
      </c>
      <c r="P23" s="1">
        <v>100</v>
      </c>
      <c r="T23"/>
      <c r="U23"/>
      <c r="V23"/>
      <c r="W23"/>
    </row>
    <row r="24" spans="2:28" x14ac:dyDescent="0.25">
      <c r="B24" s="16"/>
      <c r="C24" s="16"/>
      <c r="F24" s="12"/>
      <c r="G24" s="13"/>
      <c r="I24" s="1" t="s">
        <v>31</v>
      </c>
      <c r="J24" s="1" t="str">
        <f>IF( AND( J9&lt;=J23+J19, J9&gt;=J23-J19 ), "Extract", "Calculate")</f>
        <v>Calculate</v>
      </c>
      <c r="T24"/>
      <c r="U24"/>
      <c r="V24" s="9"/>
      <c r="W24"/>
    </row>
    <row r="25" spans="2:28" x14ac:dyDescent="0.25">
      <c r="E25" s="12"/>
      <c r="F25" s="14"/>
      <c r="G25" s="13"/>
      <c r="I25" s="1" t="str">
        <f ca="1">_xlfn.CONCAT("Days ",TEXT(TODAY(), "mmm yyyy"))</f>
        <v>Days Mar 2025</v>
      </c>
      <c r="J25" s="1">
        <f ca="1">DAY(EOMONTH(TODAY(), 0))</f>
        <v>31</v>
      </c>
      <c r="M25" s="68" t="s">
        <v>22</v>
      </c>
      <c r="N25" s="68"/>
      <c r="O25" s="68"/>
      <c r="P25" s="68"/>
      <c r="Q25" s="68"/>
      <c r="R25" s="3"/>
      <c r="T25"/>
      <c r="U25"/>
      <c r="V25" s="9"/>
      <c r="W25"/>
      <c r="X25"/>
    </row>
    <row r="26" spans="2:28" x14ac:dyDescent="0.25">
      <c r="E26" s="12"/>
      <c r="F26" s="14"/>
      <c r="G26" s="13"/>
      <c r="I26" s="1" t="s">
        <v>33</v>
      </c>
      <c r="J26" s="1">
        <f ca="1">DAY(TODAY())-1</f>
        <v>11</v>
      </c>
      <c r="M26" s="63" t="s">
        <v>17</v>
      </c>
      <c r="N26" s="63" t="s">
        <v>16</v>
      </c>
      <c r="O26" s="63" t="s">
        <v>14</v>
      </c>
      <c r="P26" s="63" t="s">
        <v>13</v>
      </c>
      <c r="Q26" s="63" t="s">
        <v>45</v>
      </c>
      <c r="V26" s="2"/>
    </row>
    <row r="27" spans="2:28" x14ac:dyDescent="0.25">
      <c r="E27" s="12"/>
      <c r="F27" s="14"/>
      <c r="G27" s="13"/>
      <c r="I27" s="1" t="s">
        <v>34</v>
      </c>
      <c r="J27" s="1">
        <f ca="1">J25-J26</f>
        <v>20</v>
      </c>
      <c r="M27" s="47">
        <v>0</v>
      </c>
      <c r="N27" s="28">
        <v>799</v>
      </c>
      <c r="O27" s="28" t="s">
        <v>11</v>
      </c>
      <c r="P27" s="29">
        <v>0.05</v>
      </c>
      <c r="Q27" s="54" t="s">
        <v>44</v>
      </c>
      <c r="T27" s="4"/>
      <c r="V27" s="2"/>
    </row>
    <row r="28" spans="2:28" x14ac:dyDescent="0.25">
      <c r="E28" s="12"/>
      <c r="F28" s="14"/>
      <c r="G28" s="13"/>
      <c r="I28" s="1" t="s">
        <v>38</v>
      </c>
      <c r="J28" s="11">
        <f ca="1">C11-VLOOKUP(C11,M27:O31,1,TRUE)</f>
        <v>200</v>
      </c>
      <c r="M28" s="48">
        <v>800</v>
      </c>
      <c r="N28" s="30">
        <v>1599</v>
      </c>
      <c r="O28" s="30" t="s">
        <v>9</v>
      </c>
      <c r="P28" s="31">
        <v>0.1</v>
      </c>
      <c r="Q28" s="55" t="s">
        <v>43</v>
      </c>
      <c r="T28" s="4"/>
      <c r="V28" s="2"/>
    </row>
    <row r="29" spans="2:28" x14ac:dyDescent="0.25">
      <c r="E29" s="12"/>
      <c r="F29" s="14"/>
      <c r="G29" s="13"/>
      <c r="I29" s="1" t="s">
        <v>39</v>
      </c>
      <c r="J29" s="11">
        <f ca="1">MAX(0,C9-J28)</f>
        <v>100</v>
      </c>
      <c r="M29" s="49">
        <v>1600</v>
      </c>
      <c r="N29" s="32">
        <v>2199</v>
      </c>
      <c r="O29" s="32" t="s">
        <v>7</v>
      </c>
      <c r="P29" s="33">
        <v>0.2</v>
      </c>
      <c r="Q29" s="56" t="s">
        <v>42</v>
      </c>
      <c r="T29" s="4"/>
      <c r="V29" s="2"/>
    </row>
    <row r="30" spans="2:28" x14ac:dyDescent="0.25">
      <c r="E30" s="12"/>
      <c r="F30" s="14"/>
      <c r="G30" s="13"/>
      <c r="I30" s="1" t="s">
        <v>36</v>
      </c>
      <c r="J30" s="1" cm="1">
        <f t="array" aca="1" ref="J30" ca="1">MAX(_xlfn._xlws.FILTER(_xlfn.ANCHORARRAY(O17),_xlfn.ANCHORARRAY( P17)&gt;=J29))</f>
        <v>1800</v>
      </c>
      <c r="M30" s="50">
        <v>2200</v>
      </c>
      <c r="N30" s="26">
        <v>2499</v>
      </c>
      <c r="O30" s="26" t="s">
        <v>5</v>
      </c>
      <c r="P30" s="27">
        <v>0.35</v>
      </c>
      <c r="Q30" s="57" t="s">
        <v>41</v>
      </c>
      <c r="T30" s="4"/>
      <c r="V30" s="2"/>
    </row>
    <row r="31" spans="2:28" x14ac:dyDescent="0.25">
      <c r="B31" s="2"/>
      <c r="E31" s="12"/>
      <c r="F31" s="14"/>
      <c r="G31" s="13"/>
      <c r="I31" s="1" t="s">
        <v>53</v>
      </c>
      <c r="J31" s="11">
        <f ca="1">MIN(C14,C11)</f>
        <v>2000</v>
      </c>
      <c r="M31" s="51">
        <v>2500</v>
      </c>
      <c r="N31" s="52">
        <v>3000</v>
      </c>
      <c r="O31" s="52" t="s">
        <v>3</v>
      </c>
      <c r="P31" s="53">
        <v>0.5</v>
      </c>
      <c r="Q31" s="58" t="s">
        <v>40</v>
      </c>
      <c r="T31" s="4"/>
      <c r="V31" s="2"/>
    </row>
    <row r="32" spans="2:28" x14ac:dyDescent="0.25">
      <c r="E32" s="12"/>
      <c r="F32" s="14"/>
      <c r="G32" s="15"/>
      <c r="T32" s="4"/>
      <c r="V32" s="2"/>
    </row>
    <row r="33" spans="2:22" x14ac:dyDescent="0.25">
      <c r="E33" s="12"/>
      <c r="F33" s="3"/>
      <c r="T33" s="4"/>
      <c r="V33" s="2"/>
    </row>
    <row r="34" spans="2:22" x14ac:dyDescent="0.25">
      <c r="I34" s="8"/>
      <c r="J34" s="8"/>
      <c r="T34" s="4"/>
    </row>
    <row r="35" spans="2:22" x14ac:dyDescent="0.25">
      <c r="T35" s="4"/>
    </row>
    <row r="36" spans="2:22" x14ac:dyDescent="0.25">
      <c r="T36" s="4"/>
    </row>
    <row r="37" spans="2:22" x14ac:dyDescent="0.25">
      <c r="T37" s="4"/>
    </row>
    <row r="38" spans="2:22" x14ac:dyDescent="0.25">
      <c r="T38" s="4"/>
    </row>
    <row r="39" spans="2:22" x14ac:dyDescent="0.25">
      <c r="T39" s="4"/>
    </row>
    <row r="41" spans="2:22" x14ac:dyDescent="0.25">
      <c r="H41" s="8"/>
      <c r="K41" s="8"/>
      <c r="T41" s="4"/>
    </row>
    <row r="42" spans="2:22" x14ac:dyDescent="0.25">
      <c r="T42" s="4"/>
    </row>
    <row r="43" spans="2:22" x14ac:dyDescent="0.25">
      <c r="T43" s="4"/>
    </row>
    <row r="44" spans="2:22" x14ac:dyDescent="0.25">
      <c r="B44" s="8"/>
      <c r="T44" s="4"/>
    </row>
    <row r="45" spans="2:22" x14ac:dyDescent="0.25">
      <c r="T45" s="4"/>
    </row>
    <row r="46" spans="2:22" x14ac:dyDescent="0.25">
      <c r="T46" s="4"/>
    </row>
    <row r="47" spans="2:22" x14ac:dyDescent="0.25">
      <c r="T47" s="4"/>
    </row>
    <row r="48" spans="2:22" x14ac:dyDescent="0.25">
      <c r="T48" s="4"/>
    </row>
    <row r="49" spans="20:20" x14ac:dyDescent="0.25">
      <c r="T49" s="4"/>
    </row>
    <row r="50" spans="20:20" x14ac:dyDescent="0.25">
      <c r="T50" s="4"/>
    </row>
  </sheetData>
  <protectedRanges>
    <protectedRange sqref="F6:G6 C7:C8 C10 C16 C14" name="RequiresInput_1"/>
  </protectedRanges>
  <dataConsolidate/>
  <mergeCells count="9">
    <mergeCell ref="M25:Q25"/>
    <mergeCell ref="B2:G3"/>
    <mergeCell ref="I5:J5"/>
    <mergeCell ref="L5:R5"/>
    <mergeCell ref="AB5:AC5"/>
    <mergeCell ref="E11:G11"/>
    <mergeCell ref="N15:P15"/>
    <mergeCell ref="I16:J16"/>
    <mergeCell ref="I21:J21"/>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$J$14="Blue"</formula>
    </cfRule>
    <cfRule type="expression" dxfId="13" priority="7">
      <formula>$J$14="Bronze"</formula>
    </cfRule>
    <cfRule type="expression" dxfId="12" priority="8">
      <formula>$J$14="Silver"</formula>
    </cfRule>
    <cfRule type="expression" dxfId="11" priority="9">
      <formula>$J$14="Gold"</formula>
    </cfRule>
    <cfRule type="expression" dxfId="1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8AAAA5B3-8AF1-4610-B9A9-9CA637A97759}"/>
  </dataValidations>
  <pageMargins left="0.25" right="0.25"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4709A-74D0-4036-8F01-6701E294D256}">
  <sheetPr>
    <pageSetUpPr fitToPage="1"/>
  </sheetPr>
  <dimension ref="B2:AC50"/>
  <sheetViews>
    <sheetView tabSelected="1" topLeftCell="A3" zoomScaleNormal="100" workbookViewId="0">
      <selection activeCell="E17" sqref="E17"/>
    </sheetView>
  </sheetViews>
  <sheetFormatPr defaultColWidth="8.85546875" defaultRowHeight="15" x14ac:dyDescent="0.25"/>
  <cols>
    <col min="1" max="1" width="2.7109375" style="4" customWidth="1"/>
    <col min="2" max="2" width="25.140625" style="4" bestFit="1" customWidth="1"/>
    <col min="3" max="3" width="9.7109375" style="4" customWidth="1"/>
    <col min="4" max="4" width="2.7109375" style="4" customWidth="1"/>
    <col min="5" max="5" width="16.140625" customWidth="1"/>
    <col min="6" max="6" width="11.140625" style="4" bestFit="1" customWidth="1"/>
    <col min="7" max="7" width="9.7109375" style="4" customWidth="1"/>
    <col min="8" max="8" width="2.7109375" style="4" customWidth="1"/>
    <col min="9" max="9" width="22.42578125" style="4" bestFit="1" customWidth="1"/>
    <col min="10" max="10" width="10.42578125" style="4" bestFit="1" customWidth="1"/>
    <col min="11" max="11" width="2.7109375" style="4" customWidth="1"/>
    <col min="12" max="14" width="9.7109375" style="4" customWidth="1"/>
    <col min="15" max="15" width="10.5703125" style="4" customWidth="1"/>
    <col min="16" max="17" width="9.7109375" style="4" customWidth="1"/>
    <col min="18" max="18" width="11.42578125" style="4" customWidth="1"/>
    <col min="19" max="19" width="2.7109375" style="4" customWidth="1"/>
    <col min="20" max="20" width="9.7109375" style="7" customWidth="1"/>
    <col min="21" max="23" width="9.7109375" style="4" customWidth="1"/>
    <col min="24" max="24" width="8.85546875" style="4" customWidth="1"/>
    <col min="25" max="25" width="8.85546875" style="4"/>
    <col min="26" max="26" width="8.85546875" style="4" customWidth="1"/>
    <col min="27" max="16384" width="8.85546875" style="4"/>
  </cols>
  <sheetData>
    <row r="2" spans="2:29" ht="14.45" customHeight="1" x14ac:dyDescent="0.25">
      <c r="B2" s="69" t="str">
        <f ca="1">_xlfn.CONCAT("Drive Summary ",J18, " ",TEXT(TODAY(), "mmmm yyyy"))</f>
        <v>Drive Summary Stefan March 2025</v>
      </c>
      <c r="C2" s="69"/>
      <c r="D2" s="69"/>
      <c r="E2" s="69"/>
      <c r="F2" s="69"/>
      <c r="G2" s="69"/>
      <c r="H2" s="46"/>
    </row>
    <row r="3" spans="2:29" ht="14.45" customHeight="1" x14ac:dyDescent="0.25">
      <c r="B3" s="69"/>
      <c r="C3" s="69"/>
      <c r="D3" s="69"/>
      <c r="E3" s="69"/>
      <c r="F3" s="69"/>
      <c r="G3" s="69"/>
      <c r="H3" s="46"/>
    </row>
    <row r="5" spans="2:29" x14ac:dyDescent="0.25">
      <c r="B5" s="61" t="s">
        <v>30</v>
      </c>
      <c r="C5" s="62" t="s">
        <v>26</v>
      </c>
      <c r="D5"/>
      <c r="E5" s="61" t="str">
        <f ca="1">TEXT(TODAY(), "mmmm yyyy")</f>
        <v>March 2025</v>
      </c>
      <c r="F5" s="61" t="s">
        <v>19</v>
      </c>
      <c r="G5" s="63" t="s">
        <v>15</v>
      </c>
      <c r="I5" s="68" t="s">
        <v>25</v>
      </c>
      <c r="J5" s="68"/>
      <c r="L5" s="68" t="s">
        <v>8</v>
      </c>
      <c r="M5" s="68"/>
      <c r="N5" s="68"/>
      <c r="O5" s="68"/>
      <c r="P5" s="68"/>
      <c r="Q5" s="68"/>
      <c r="R5" s="68"/>
      <c r="AB5" s="64"/>
      <c r="AC5" s="64"/>
    </row>
    <row r="6" spans="2:29" x14ac:dyDescent="0.25">
      <c r="B6" s="1" t="s">
        <v>18</v>
      </c>
      <c r="C6" s="11">
        <f ca="1">MIN(1500, IF($C$13,G7,G6+G9))</f>
        <v>1500</v>
      </c>
      <c r="E6" s="1" t="s">
        <v>48</v>
      </c>
      <c r="F6" s="1">
        <v>500</v>
      </c>
      <c r="G6" s="60">
        <v>500</v>
      </c>
      <c r="I6" s="63" t="s">
        <v>30</v>
      </c>
      <c r="J6" s="63" t="s">
        <v>26</v>
      </c>
      <c r="L6" s="63" t="s">
        <v>17</v>
      </c>
      <c r="M6" s="63" t="s">
        <v>16</v>
      </c>
      <c r="N6" s="41" t="s">
        <v>11</v>
      </c>
      <c r="O6" s="38" t="s">
        <v>9</v>
      </c>
      <c r="P6" s="37" t="s">
        <v>7</v>
      </c>
      <c r="Q6" s="34" t="s">
        <v>5</v>
      </c>
      <c r="R6" s="23" t="s">
        <v>3</v>
      </c>
      <c r="AA6"/>
      <c r="AB6" s="17"/>
      <c r="AC6" s="17"/>
    </row>
    <row r="7" spans="2:29" x14ac:dyDescent="0.25">
      <c r="B7" s="1" t="s">
        <v>12</v>
      </c>
      <c r="C7" s="11">
        <f>J8</f>
        <v>300</v>
      </c>
      <c r="D7" s="5"/>
      <c r="E7" s="1" t="s">
        <v>47</v>
      </c>
      <c r="F7" s="11">
        <f ca="1">F6/J26*J25</f>
        <v>1409.090909090909</v>
      </c>
      <c r="G7" s="11">
        <f ca="1">G6/J26*J25</f>
        <v>1409.090909090909</v>
      </c>
      <c r="I7" s="11" t="s">
        <v>18</v>
      </c>
      <c r="J7" s="11">
        <v>300</v>
      </c>
      <c r="L7" s="21">
        <v>0</v>
      </c>
      <c r="M7" s="1">
        <v>299</v>
      </c>
      <c r="N7" s="28">
        <v>300</v>
      </c>
      <c r="O7" s="30">
        <v>300</v>
      </c>
      <c r="P7" s="32">
        <v>300</v>
      </c>
      <c r="Q7" s="35">
        <v>300</v>
      </c>
      <c r="R7" s="24">
        <v>300</v>
      </c>
      <c r="AB7" s="5"/>
    </row>
    <row r="8" spans="2:29" ht="15" customHeight="1" x14ac:dyDescent="0.25">
      <c r="B8" s="1" t="s">
        <v>10</v>
      </c>
      <c r="C8" s="11">
        <f>IF( AND( J9&lt;=J23+J19, J9&gt;=J23-J19 ), J9, J23)</f>
        <v>300</v>
      </c>
      <c r="E8" s="1" t="s">
        <v>23</v>
      </c>
      <c r="F8" s="10">
        <f ca="1">F6/J26</f>
        <v>45.454545454545453</v>
      </c>
      <c r="G8" s="10">
        <f ca="1">G6/J26</f>
        <v>45.454545454545453</v>
      </c>
      <c r="I8" s="45" t="s">
        <v>12</v>
      </c>
      <c r="J8" s="11">
        <v>300</v>
      </c>
      <c r="L8" s="21">
        <v>300</v>
      </c>
      <c r="M8" s="1">
        <v>599</v>
      </c>
      <c r="N8" s="28">
        <v>100</v>
      </c>
      <c r="O8" s="30">
        <v>150</v>
      </c>
      <c r="P8" s="32">
        <v>200</v>
      </c>
      <c r="Q8" s="35">
        <v>250</v>
      </c>
      <c r="R8" s="24">
        <v>300</v>
      </c>
    </row>
    <row r="9" spans="2:29" x14ac:dyDescent="0.25">
      <c r="B9" s="1" t="s">
        <v>8</v>
      </c>
      <c r="C9" s="11">
        <f>VLOOKUP(IF(C13,F7,F6),N17:P23,3)</f>
        <v>100</v>
      </c>
      <c r="E9" s="1" t="s">
        <v>21</v>
      </c>
      <c r="F9" s="11">
        <f ca="1">IF(J30&gt;=M13, "Unlimited", J30-F6)</f>
        <v>99</v>
      </c>
      <c r="G9" s="11">
        <f ca="1">50*J27 + IF(J25&lt;30,(30-J25)*G8,0)</f>
        <v>1000</v>
      </c>
      <c r="I9" s="45" t="s">
        <v>24</v>
      </c>
      <c r="J9" s="11">
        <v>220</v>
      </c>
      <c r="L9" s="21">
        <v>600</v>
      </c>
      <c r="M9" s="1">
        <v>899</v>
      </c>
      <c r="N9" s="28">
        <v>75</v>
      </c>
      <c r="O9" s="30">
        <v>100</v>
      </c>
      <c r="P9" s="32">
        <v>150</v>
      </c>
      <c r="Q9" s="35">
        <v>200</v>
      </c>
      <c r="R9" s="24">
        <v>300</v>
      </c>
    </row>
    <row r="10" spans="2:29" x14ac:dyDescent="0.25">
      <c r="B10" s="1" t="s">
        <v>6</v>
      </c>
      <c r="C10" s="11">
        <f>J12</f>
        <v>300</v>
      </c>
      <c r="E10" s="12"/>
      <c r="I10" s="45" t="s">
        <v>8</v>
      </c>
      <c r="J10" s="45">
        <v>300</v>
      </c>
      <c r="L10" s="21">
        <v>900</v>
      </c>
      <c r="M10" s="1">
        <v>1199</v>
      </c>
      <c r="N10" s="28">
        <v>50</v>
      </c>
      <c r="O10" s="30">
        <v>75</v>
      </c>
      <c r="P10" s="32">
        <v>100</v>
      </c>
      <c r="Q10" s="35">
        <v>175</v>
      </c>
      <c r="R10" s="24">
        <v>300</v>
      </c>
    </row>
    <row r="11" spans="2:29" x14ac:dyDescent="0.25">
      <c r="B11" s="1" t="s">
        <v>4</v>
      </c>
      <c r="C11" s="11">
        <f ca="1">SUM(C6:C10)</f>
        <v>2500</v>
      </c>
      <c r="E11" s="65" t="s">
        <v>24</v>
      </c>
      <c r="F11" s="66"/>
      <c r="G11" s="67"/>
      <c r="I11" s="45" t="s">
        <v>50</v>
      </c>
      <c r="J11" s="11">
        <v>800</v>
      </c>
      <c r="L11" s="21">
        <v>1200</v>
      </c>
      <c r="M11" s="1">
        <v>1499</v>
      </c>
      <c r="N11" s="28">
        <v>25</v>
      </c>
      <c r="O11" s="30">
        <v>50</v>
      </c>
      <c r="P11" s="32">
        <v>75</v>
      </c>
      <c r="Q11" s="35">
        <v>125</v>
      </c>
      <c r="R11" s="24">
        <v>300</v>
      </c>
      <c r="Z11"/>
    </row>
    <row r="12" spans="2:29" x14ac:dyDescent="0.25">
      <c r="B12" s="1" t="s">
        <v>2</v>
      </c>
      <c r="C12" s="1" t="str">
        <f ca="1">VLOOKUP(C11,M27:O31,3,TRUE)</f>
        <v>Diamond</v>
      </c>
      <c r="D12" s="5"/>
      <c r="E12" s="61" t="s">
        <v>52</v>
      </c>
      <c r="F12" s="62" t="s">
        <v>49</v>
      </c>
      <c r="G12" s="61" t="s">
        <v>15</v>
      </c>
      <c r="I12" s="45" t="s">
        <v>6</v>
      </c>
      <c r="J12" s="45">
        <v>300</v>
      </c>
      <c r="L12" s="21">
        <v>1500</v>
      </c>
      <c r="M12" s="1">
        <v>1799</v>
      </c>
      <c r="N12" s="28">
        <v>10</v>
      </c>
      <c r="O12" s="30">
        <v>25</v>
      </c>
      <c r="P12" s="32">
        <v>50</v>
      </c>
      <c r="Q12" s="35">
        <v>100</v>
      </c>
      <c r="R12" s="24">
        <v>250</v>
      </c>
      <c r="T12" s="4"/>
      <c r="Z12" s="17"/>
    </row>
    <row r="13" spans="2:29" x14ac:dyDescent="0.25">
      <c r="B13" s="1" t="s">
        <v>20</v>
      </c>
      <c r="C13" s="44" t="b">
        <v>0</v>
      </c>
      <c r="E13" s="1">
        <f>2</f>
        <v>2</v>
      </c>
      <c r="F13" s="1">
        <v>0</v>
      </c>
      <c r="G13" s="1">
        <f>NightTimeDrive[[#This Row],[Penalty Weight]]*NightTimeDrive[[#This Row],[Duration]]</f>
        <v>0</v>
      </c>
      <c r="I13" s="45" t="s">
        <v>1</v>
      </c>
      <c r="J13" s="45">
        <v>2000</v>
      </c>
      <c r="L13" s="22">
        <v>1800</v>
      </c>
      <c r="M13" s="20">
        <v>1800</v>
      </c>
      <c r="N13" s="42">
        <v>5</v>
      </c>
      <c r="O13" s="39">
        <v>10</v>
      </c>
      <c r="P13" s="40">
        <v>25</v>
      </c>
      <c r="Q13" s="36">
        <v>60</v>
      </c>
      <c r="R13" s="25">
        <v>100</v>
      </c>
      <c r="W13"/>
      <c r="Z13" s="17"/>
      <c r="AA13" s="5"/>
    </row>
    <row r="14" spans="2:29" x14ac:dyDescent="0.25">
      <c r="B14" s="1" t="s">
        <v>1</v>
      </c>
      <c r="C14" s="43">
        <f>J13</f>
        <v>2000</v>
      </c>
      <c r="E14" s="1" t="s">
        <v>51</v>
      </c>
      <c r="F14" s="1">
        <f>SUBTOTAL(109,NightTimeDrive[Duration])</f>
        <v>0</v>
      </c>
      <c r="G14" s="1">
        <f>SUBTOTAL(109,NightTimeDrive[Points])</f>
        <v>0</v>
      </c>
      <c r="I14" s="11" t="s">
        <v>35</v>
      </c>
      <c r="J14" s="11" t="s">
        <v>11</v>
      </c>
      <c r="T14"/>
      <c r="U14"/>
      <c r="V14"/>
      <c r="W14"/>
      <c r="X14"/>
    </row>
    <row r="15" spans="2:29" x14ac:dyDescent="0.25">
      <c r="B15" s="1" t="s">
        <v>0</v>
      </c>
      <c r="C15" s="59" t="str">
        <f ca="1">_xlfn.CONCAT("Đ",J31*VLOOKUP(C12,O26:P31,2,FALSE)*10)</f>
        <v>Đ10000</v>
      </c>
      <c r="D15" s="6"/>
      <c r="N15" s="65" t="str">
        <f>_xlfn.CONCAT("Distance Points for ",J14)</f>
        <v>Distance Points for Blue</v>
      </c>
      <c r="O15" s="66"/>
      <c r="P15" s="67"/>
      <c r="T15"/>
      <c r="U15"/>
      <c r="V15" s="18"/>
      <c r="W15"/>
      <c r="X15"/>
      <c r="AA15" s="5"/>
      <c r="AB15" s="5"/>
    </row>
    <row r="16" spans="2:29" x14ac:dyDescent="0.25">
      <c r="B16" s="1" t="s">
        <v>46</v>
      </c>
      <c r="C16" s="43">
        <f ca="1">MAX(0,C11-C14)</f>
        <v>500</v>
      </c>
      <c r="I16" s="68" t="s">
        <v>37</v>
      </c>
      <c r="J16" s="68"/>
      <c r="N16" s="63" t="s">
        <v>17</v>
      </c>
      <c r="O16" s="63" t="s">
        <v>16</v>
      </c>
      <c r="P16" s="63" t="s">
        <v>15</v>
      </c>
      <c r="T16"/>
      <c r="U16"/>
      <c r="W16"/>
    </row>
    <row r="17" spans="2:28" ht="14.45" customHeight="1" x14ac:dyDescent="0.25">
      <c r="H17" s="16"/>
      <c r="I17" s="63" t="s">
        <v>30</v>
      </c>
      <c r="J17" s="63" t="s">
        <v>26</v>
      </c>
      <c r="N17" s="1" cm="1">
        <f t="array" ref="N17:N23">Table2[Lower]</f>
        <v>0</v>
      </c>
      <c r="O17" s="1" cm="1">
        <f t="array" ref="O17:O23">Table2[Upper]</f>
        <v>299</v>
      </c>
      <c r="P17" s="1" cm="1">
        <f t="array" ref="P17:P23">_xlfn.XLOOKUP(J14,Table2[#Headers],Table2[])</f>
        <v>300</v>
      </c>
      <c r="T17"/>
      <c r="U17"/>
      <c r="V17"/>
      <c r="W17"/>
    </row>
    <row r="18" spans="2:28" x14ac:dyDescent="0.25">
      <c r="H18" s="16"/>
      <c r="I18" s="1" t="s">
        <v>29</v>
      </c>
      <c r="J18" s="1" t="s">
        <v>28</v>
      </c>
      <c r="N18" s="1">
        <v>300</v>
      </c>
      <c r="O18" s="1">
        <v>599</v>
      </c>
      <c r="P18" s="1">
        <v>100</v>
      </c>
      <c r="T18"/>
      <c r="U18"/>
      <c r="V18"/>
      <c r="W18"/>
    </row>
    <row r="19" spans="2:28" x14ac:dyDescent="0.25">
      <c r="H19" s="16"/>
      <c r="I19" s="1" t="s">
        <v>32</v>
      </c>
      <c r="J19" s="1">
        <v>10</v>
      </c>
      <c r="N19" s="1">
        <v>600</v>
      </c>
      <c r="O19" s="1">
        <v>899</v>
      </c>
      <c r="P19" s="1">
        <v>75</v>
      </c>
      <c r="T19"/>
      <c r="U19"/>
      <c r="V19"/>
      <c r="W19"/>
    </row>
    <row r="20" spans="2:28" x14ac:dyDescent="0.25">
      <c r="D20" s="16"/>
      <c r="N20" s="1">
        <v>900</v>
      </c>
      <c r="O20" s="1">
        <v>1199</v>
      </c>
      <c r="P20" s="1">
        <v>50</v>
      </c>
      <c r="T20"/>
      <c r="V20"/>
      <c r="W20"/>
    </row>
    <row r="21" spans="2:28" x14ac:dyDescent="0.25">
      <c r="D21" s="16"/>
      <c r="I21" s="68" t="s">
        <v>27</v>
      </c>
      <c r="J21" s="68"/>
      <c r="N21" s="1">
        <v>1200</v>
      </c>
      <c r="O21" s="1">
        <v>1499</v>
      </c>
      <c r="P21" s="1">
        <v>25</v>
      </c>
      <c r="T21"/>
      <c r="U21"/>
      <c r="V21"/>
      <c r="W21"/>
      <c r="AA21" s="5"/>
      <c r="AB21" s="5"/>
    </row>
    <row r="22" spans="2:28" x14ac:dyDescent="0.25">
      <c r="D22" s="16"/>
      <c r="I22" s="63" t="s">
        <v>30</v>
      </c>
      <c r="J22" s="63" t="s">
        <v>26</v>
      </c>
      <c r="N22" s="1">
        <v>1500</v>
      </c>
      <c r="O22" s="1">
        <v>1799</v>
      </c>
      <c r="P22" s="1">
        <v>10</v>
      </c>
      <c r="AA22" s="5"/>
      <c r="AB22" s="5"/>
    </row>
    <row r="23" spans="2:28" x14ac:dyDescent="0.25">
      <c r="B23" s="16"/>
      <c r="C23" s="16"/>
      <c r="I23" s="19" t="s">
        <v>24</v>
      </c>
      <c r="J23" s="1">
        <f>MAX(0,300-NightTimeDrive[[#Totals],[Points]])</f>
        <v>300</v>
      </c>
      <c r="N23" s="1">
        <v>1800</v>
      </c>
      <c r="O23" s="1">
        <v>1800</v>
      </c>
      <c r="P23" s="1">
        <v>5</v>
      </c>
      <c r="T23"/>
      <c r="U23"/>
      <c r="V23"/>
      <c r="W23"/>
    </row>
    <row r="24" spans="2:28" x14ac:dyDescent="0.25">
      <c r="B24" s="16"/>
      <c r="C24" s="16"/>
      <c r="F24" s="12"/>
      <c r="G24" s="13"/>
      <c r="I24" s="1" t="s">
        <v>31</v>
      </c>
      <c r="J24" s="1" t="str">
        <f>IF( AND( J9&lt;=J23+J19, J9&gt;=J23-J19 ), "Extract", "Calculate")</f>
        <v>Calculate</v>
      </c>
      <c r="T24"/>
      <c r="U24"/>
      <c r="V24" s="9"/>
      <c r="W24"/>
    </row>
    <row r="25" spans="2:28" x14ac:dyDescent="0.25">
      <c r="E25" s="12"/>
      <c r="F25" s="14"/>
      <c r="G25" s="13"/>
      <c r="I25" s="1" t="str">
        <f ca="1">_xlfn.CONCAT("Days ",TEXT(TODAY(), "mmm yyyy"))</f>
        <v>Days Mar 2025</v>
      </c>
      <c r="J25" s="1">
        <f ca="1">DAY(EOMONTH(TODAY(), 0))</f>
        <v>31</v>
      </c>
      <c r="M25" s="68" t="s">
        <v>22</v>
      </c>
      <c r="N25" s="68"/>
      <c r="O25" s="68"/>
      <c r="P25" s="68"/>
      <c r="Q25" s="68"/>
      <c r="R25" s="3"/>
      <c r="T25"/>
      <c r="U25"/>
      <c r="V25" s="9"/>
      <c r="W25"/>
      <c r="X25"/>
    </row>
    <row r="26" spans="2:28" x14ac:dyDescent="0.25">
      <c r="E26" s="12"/>
      <c r="F26" s="14"/>
      <c r="G26" s="13"/>
      <c r="I26" s="1" t="s">
        <v>33</v>
      </c>
      <c r="J26" s="1">
        <f ca="1">DAY(TODAY())-1</f>
        <v>11</v>
      </c>
      <c r="M26" s="63" t="s">
        <v>17</v>
      </c>
      <c r="N26" s="63" t="s">
        <v>16</v>
      </c>
      <c r="O26" s="63" t="s">
        <v>14</v>
      </c>
      <c r="P26" s="63" t="s">
        <v>13</v>
      </c>
      <c r="Q26" s="63" t="s">
        <v>45</v>
      </c>
      <c r="V26" s="2"/>
    </row>
    <row r="27" spans="2:28" x14ac:dyDescent="0.25">
      <c r="E27" s="12"/>
      <c r="F27" s="14"/>
      <c r="G27" s="13"/>
      <c r="I27" s="1" t="s">
        <v>34</v>
      </c>
      <c r="J27" s="1">
        <f ca="1">J25-J26</f>
        <v>20</v>
      </c>
      <c r="M27" s="47">
        <v>0</v>
      </c>
      <c r="N27" s="28">
        <v>799</v>
      </c>
      <c r="O27" s="28" t="s">
        <v>11</v>
      </c>
      <c r="P27" s="29">
        <v>0.05</v>
      </c>
      <c r="Q27" s="54" t="s">
        <v>44</v>
      </c>
      <c r="T27" s="4"/>
      <c r="V27" s="2"/>
    </row>
    <row r="28" spans="2:28" x14ac:dyDescent="0.25">
      <c r="E28" s="12"/>
      <c r="F28" s="14"/>
      <c r="G28" s="13"/>
      <c r="I28" s="1" t="s">
        <v>38</v>
      </c>
      <c r="J28" s="11">
        <f ca="1">C11-VLOOKUP(C11,M27:O31,1,TRUE)</f>
        <v>0</v>
      </c>
      <c r="M28" s="48">
        <v>800</v>
      </c>
      <c r="N28" s="30">
        <v>1599</v>
      </c>
      <c r="O28" s="30" t="s">
        <v>9</v>
      </c>
      <c r="P28" s="31">
        <v>0.1</v>
      </c>
      <c r="Q28" s="55" t="s">
        <v>43</v>
      </c>
      <c r="T28" s="4"/>
      <c r="V28" s="2"/>
    </row>
    <row r="29" spans="2:28" x14ac:dyDescent="0.25">
      <c r="E29" s="12"/>
      <c r="F29" s="14"/>
      <c r="G29" s="13"/>
      <c r="I29" s="1" t="s">
        <v>39</v>
      </c>
      <c r="J29" s="11">
        <f ca="1">MAX(0,C9-J28)</f>
        <v>100</v>
      </c>
      <c r="M29" s="49">
        <v>1600</v>
      </c>
      <c r="N29" s="32">
        <v>2199</v>
      </c>
      <c r="O29" s="32" t="s">
        <v>7</v>
      </c>
      <c r="P29" s="33">
        <v>0.2</v>
      </c>
      <c r="Q29" s="56" t="s">
        <v>42</v>
      </c>
      <c r="T29" s="4"/>
      <c r="V29" s="2"/>
    </row>
    <row r="30" spans="2:28" x14ac:dyDescent="0.25">
      <c r="E30" s="12"/>
      <c r="F30" s="14"/>
      <c r="G30" s="13"/>
      <c r="I30" s="1" t="s">
        <v>36</v>
      </c>
      <c r="J30" s="1" cm="1">
        <f t="array" aca="1" ref="J30" ca="1">MAX(_xlfn._xlws.FILTER(_xlfn.ANCHORARRAY(O17),_xlfn.ANCHORARRAY( P17)&gt;=J29))</f>
        <v>599</v>
      </c>
      <c r="M30" s="50">
        <v>2200</v>
      </c>
      <c r="N30" s="26">
        <v>2499</v>
      </c>
      <c r="O30" s="26" t="s">
        <v>5</v>
      </c>
      <c r="P30" s="27">
        <v>0.35</v>
      </c>
      <c r="Q30" s="57" t="s">
        <v>41</v>
      </c>
      <c r="T30" s="4"/>
      <c r="V30" s="2"/>
    </row>
    <row r="31" spans="2:28" x14ac:dyDescent="0.25">
      <c r="B31" s="2"/>
      <c r="E31" s="12"/>
      <c r="F31" s="14"/>
      <c r="G31" s="13"/>
      <c r="I31" s="1" t="s">
        <v>53</v>
      </c>
      <c r="J31" s="11">
        <f ca="1">MIN(C14,C11)</f>
        <v>2000</v>
      </c>
      <c r="M31" s="51">
        <v>2500</v>
      </c>
      <c r="N31" s="52">
        <v>3000</v>
      </c>
      <c r="O31" s="52" t="s">
        <v>3</v>
      </c>
      <c r="P31" s="53">
        <v>0.5</v>
      </c>
      <c r="Q31" s="58" t="s">
        <v>40</v>
      </c>
      <c r="T31" s="4"/>
      <c r="V31" s="2"/>
    </row>
    <row r="32" spans="2:28" x14ac:dyDescent="0.25">
      <c r="E32" s="12"/>
      <c r="F32" s="14"/>
      <c r="G32" s="15"/>
      <c r="T32" s="4"/>
      <c r="V32" s="2"/>
    </row>
    <row r="33" spans="2:22" x14ac:dyDescent="0.25">
      <c r="E33" s="12"/>
      <c r="F33" s="3"/>
      <c r="T33" s="4"/>
      <c r="V33" s="2"/>
    </row>
    <row r="34" spans="2:22" x14ac:dyDescent="0.25">
      <c r="I34" s="8"/>
      <c r="J34" s="8"/>
      <c r="T34" s="4"/>
    </row>
    <row r="35" spans="2:22" x14ac:dyDescent="0.25">
      <c r="T35" s="4"/>
    </row>
    <row r="36" spans="2:22" x14ac:dyDescent="0.25">
      <c r="T36" s="4"/>
    </row>
    <row r="37" spans="2:22" x14ac:dyDescent="0.25">
      <c r="T37" s="4"/>
    </row>
    <row r="38" spans="2:22" x14ac:dyDescent="0.25">
      <c r="T38" s="4"/>
    </row>
    <row r="39" spans="2:22" x14ac:dyDescent="0.25">
      <c r="T39" s="4"/>
    </row>
    <row r="41" spans="2:22" x14ac:dyDescent="0.25">
      <c r="H41" s="8"/>
      <c r="K41" s="8"/>
      <c r="T41" s="4"/>
    </row>
    <row r="42" spans="2:22" x14ac:dyDescent="0.25">
      <c r="T42" s="4"/>
    </row>
    <row r="43" spans="2:22" x14ac:dyDescent="0.25">
      <c r="T43" s="4"/>
    </row>
    <row r="44" spans="2:22" x14ac:dyDescent="0.25">
      <c r="B44" s="8"/>
      <c r="T44" s="4"/>
    </row>
    <row r="45" spans="2:22" x14ac:dyDescent="0.25">
      <c r="T45" s="4"/>
    </row>
    <row r="46" spans="2:22" x14ac:dyDescent="0.25">
      <c r="T46" s="4"/>
    </row>
    <row r="47" spans="2:22" x14ac:dyDescent="0.25">
      <c r="T47" s="4"/>
    </row>
    <row r="48" spans="2:22" x14ac:dyDescent="0.25">
      <c r="T48" s="4"/>
    </row>
    <row r="49" spans="20:20" x14ac:dyDescent="0.25">
      <c r="T49" s="4"/>
    </row>
    <row r="50" spans="20:20" x14ac:dyDescent="0.25">
      <c r="T50" s="4"/>
    </row>
  </sheetData>
  <protectedRanges>
    <protectedRange sqref="F6:G6 C7:C8 C10 C16 C14" name="RequiresInput_1"/>
  </protectedRanges>
  <dataConsolidate/>
  <mergeCells count="9">
    <mergeCell ref="M25:Q25"/>
    <mergeCell ref="I16:J16"/>
    <mergeCell ref="AB5:AC5"/>
    <mergeCell ref="I5:J5"/>
    <mergeCell ref="E11:G11"/>
    <mergeCell ref="B2:G3"/>
    <mergeCell ref="I21:J21"/>
    <mergeCell ref="L5:R5"/>
    <mergeCell ref="N15:P15"/>
  </mergeCells>
  <conditionalFormatting sqref="B11:C12">
    <cfRule type="expression" dxfId="9" priority="4">
      <formula>$C$12="Blue"</formula>
    </cfRule>
    <cfRule type="expression" dxfId="8" priority="6">
      <formula>$C$12="Bronze"</formula>
    </cfRule>
    <cfRule type="expression" dxfId="7" priority="8">
      <formula>$C$12="Silver"</formula>
    </cfRule>
    <cfRule type="expression" dxfId="6" priority="10">
      <formula>$C$12="Gold"</formula>
    </cfRule>
    <cfRule type="expression" dxfId="5" priority="13">
      <formula>$C$12="Diamond"</formula>
    </cfRule>
  </conditionalFormatting>
  <conditionalFormatting sqref="P17:P23">
    <cfRule type="expression" dxfId="4" priority="24">
      <formula>$J$14="Blue"</formula>
    </cfRule>
    <cfRule type="expression" dxfId="3" priority="25">
      <formula>$J$14="Bronze"</formula>
    </cfRule>
    <cfRule type="expression" dxfId="2" priority="26">
      <formula>$J$14="Silver"</formula>
    </cfRule>
    <cfRule type="expression" dxfId="1" priority="27">
      <formula>$J$14="Gold"</formula>
    </cfRule>
    <cfRule type="expression" dxfId="0" priority="28">
      <formula>$J$14="Diamond"</formula>
    </cfRule>
  </conditionalFormatting>
  <dataValidations xWindow="218" yWindow="449"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116F304E-FE4D-4144-81A6-4ECDDD177B17}"/>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DEV</vt:lpstr>
      <vt:lpstr>QA</vt:lpstr>
      <vt:lpstr>DEV!Username</vt:lpstr>
      <vt:lpstr>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2025-03-11T12:37:31Z</cp:lastPrinted>
  <dcterms:created xsi:type="dcterms:W3CDTF">2023-09-18T15:21:34Z</dcterms:created>
  <dcterms:modified xsi:type="dcterms:W3CDTF">2025-03-12T16:56:55Z</dcterms:modified>
</cp:coreProperties>
</file>