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2fd3bccd6dbaea2b/GitGud/ExcelDriveSummary/"/>
    </mc:Choice>
  </mc:AlternateContent>
  <xr:revisionPtr revIDLastSave="778" documentId="13_ncr:1_{3A17151E-37E9-4B2A-B0B5-F67B46E403E1}" xr6:coauthVersionLast="47" xr6:coauthVersionMax="47" xr10:uidLastSave="{56E3B8AA-7B14-45CC-BB6A-23B47D1AD537}"/>
  <bookViews>
    <workbookView xWindow="-4140" yWindow="-16320" windowWidth="29040" windowHeight="15720" activeTab="2" xr2:uid="{B12B6E18-E294-4985-A977-422328ADD677}"/>
  </bookViews>
  <sheets>
    <sheet name="Stefan" sheetId="20" r:id="rId1"/>
    <sheet name="Christiaan" sheetId="18" r:id="rId2"/>
    <sheet name="Derrick" sheetId="19" r:id="rId3"/>
  </sheets>
  <definedNames>
    <definedName name="Username" localSheetId="1">Christiaan!$J$23</definedName>
    <definedName name="Username" localSheetId="2">Derrick!$J$23</definedName>
    <definedName name="Username" localSheetId="0">Stefan!$J$23</definedName>
    <definedName name="Usernam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9" i="19" l="1"/>
  <c r="F8" i="19"/>
  <c r="F7" i="19"/>
  <c r="G6" i="19"/>
  <c r="G8" i="19" s="1"/>
  <c r="G9" i="18"/>
  <c r="F8" i="18"/>
  <c r="F7" i="18"/>
  <c r="G6" i="18"/>
  <c r="G8" i="18" s="1"/>
  <c r="I26" i="18"/>
  <c r="J26" i="18"/>
  <c r="J27" i="18"/>
  <c r="J33" i="18"/>
  <c r="J33" i="19"/>
  <c r="J27" i="19"/>
  <c r="J26" i="19"/>
  <c r="I26" i="19"/>
  <c r="J27" i="20"/>
  <c r="J33" i="20"/>
  <c r="G6" i="20"/>
  <c r="I26" i="20"/>
  <c r="P17" i="20" a="1"/>
  <c r="O17" i="20" a="1"/>
  <c r="O17" i="20" s="1"/>
  <c r="N17" i="20" a="1"/>
  <c r="N17" i="20" s="1"/>
  <c r="N15" i="20"/>
  <c r="F14" i="20"/>
  <c r="C14" i="20"/>
  <c r="E13" i="20"/>
  <c r="G13" i="20" s="1"/>
  <c r="G14" i="20" s="1"/>
  <c r="J24" i="20" s="1"/>
  <c r="C10" i="20"/>
  <c r="C7" i="20"/>
  <c r="E5" i="20"/>
  <c r="B2" i="20"/>
  <c r="P17" i="19" a="1"/>
  <c r="O17" i="19" a="1"/>
  <c r="O17" i="19" s="1"/>
  <c r="N17" i="19" a="1"/>
  <c r="N17" i="19" s="1"/>
  <c r="N15" i="19"/>
  <c r="F14" i="19"/>
  <c r="C14" i="19"/>
  <c r="G13" i="19"/>
  <c r="G14" i="19" s="1"/>
  <c r="E13" i="19"/>
  <c r="C10" i="19"/>
  <c r="C7" i="19"/>
  <c r="E5" i="19"/>
  <c r="B2" i="19"/>
  <c r="P17" i="18" a="1"/>
  <c r="P17" i="18" s="1"/>
  <c r="O17" i="18" a="1"/>
  <c r="O17" i="18" s="1"/>
  <c r="N17" i="18" a="1"/>
  <c r="N17" i="18" s="1"/>
  <c r="N15" i="18"/>
  <c r="F14" i="18"/>
  <c r="C14" i="18"/>
  <c r="E13" i="18"/>
  <c r="G13" i="18" s="1"/>
  <c r="G14" i="18" s="1"/>
  <c r="C10" i="18"/>
  <c r="C7" i="18"/>
  <c r="E5" i="18"/>
  <c r="B2" i="18"/>
  <c r="G7" i="19" l="1"/>
  <c r="G7" i="18"/>
  <c r="J24" i="18"/>
  <c r="J25" i="18" s="1"/>
  <c r="J28" i="18"/>
  <c r="J24" i="19"/>
  <c r="J25" i="19" s="1"/>
  <c r="J28" i="19"/>
  <c r="J26" i="20"/>
  <c r="G7" i="20" s="1"/>
  <c r="G8" i="20"/>
  <c r="P17" i="19"/>
  <c r="F8" i="20"/>
  <c r="P17" i="20"/>
  <c r="J25" i="20"/>
  <c r="C8" i="20"/>
  <c r="C9" i="18"/>
  <c r="C8" i="18" l="1"/>
  <c r="C8" i="19"/>
  <c r="F7" i="20"/>
  <c r="C9" i="20" s="1"/>
  <c r="J28" i="20"/>
  <c r="G9" i="20" s="1"/>
  <c r="C6" i="20" s="1"/>
  <c r="C6" i="18"/>
  <c r="C11" i="18" s="1"/>
  <c r="C6" i="19"/>
  <c r="C9" i="19"/>
  <c r="J29" i="18" l="1"/>
  <c r="J30" i="18" s="1"/>
  <c r="J31" i="18" s="1" a="1"/>
  <c r="J31" i="18" s="1"/>
  <c r="F9" i="18" s="1"/>
  <c r="J32" i="18"/>
  <c r="C11" i="20"/>
  <c r="C12" i="18"/>
  <c r="C11" i="19"/>
  <c r="C16" i="18"/>
  <c r="J29" i="20" l="1"/>
  <c r="J30" i="20" s="1"/>
  <c r="J31" i="20" s="1" a="1"/>
  <c r="J31" i="20" s="1"/>
  <c r="F9" i="20" s="1"/>
  <c r="C12" i="20"/>
  <c r="J32" i="20"/>
  <c r="C16" i="20"/>
  <c r="J29" i="19"/>
  <c r="J30" i="19" s="1"/>
  <c r="J31" i="19" s="1" a="1"/>
  <c r="J31" i="19" s="1"/>
  <c r="F9" i="19" s="1"/>
  <c r="J32" i="19"/>
  <c r="C15" i="18"/>
  <c r="C12" i="19"/>
  <c r="C16" i="19"/>
  <c r="C15" i="20" l="1"/>
  <c r="C15"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<sst xmlns="http://schemas.openxmlformats.org/spreadsheetml/2006/main" count="246" uniqueCount="58">
  <si>
    <t>Driving Profile</t>
  </si>
  <si>
    <t>Distance</t>
  </si>
  <si>
    <t>Points</t>
  </si>
  <si>
    <t>Driving Status</t>
  </si>
  <si>
    <t>Claim Free Years</t>
  </si>
  <si>
    <t>Lower</t>
  </si>
  <si>
    <t>Upper</t>
  </si>
  <si>
    <t>Category</t>
  </si>
  <si>
    <t>Fuel %</t>
  </si>
  <si>
    <t>Night Time Driving</t>
  </si>
  <si>
    <t>Blue</t>
  </si>
  <si>
    <t>Distance Points</t>
  </si>
  <si>
    <t>Bronze</t>
  </si>
  <si>
    <t>MultiPoint Check</t>
  </si>
  <si>
    <t>Daily Average</t>
  </si>
  <si>
    <t>Silver</t>
  </si>
  <si>
    <t>Accumulated Points</t>
  </si>
  <si>
    <t>Gold</t>
  </si>
  <si>
    <t>Diamond</t>
  </si>
  <si>
    <t>Vitality Drive Status</t>
  </si>
  <si>
    <t>Qualifying Fuel Spend</t>
  </si>
  <si>
    <t>Remaining</t>
  </si>
  <si>
    <t>Stefan</t>
  </si>
  <si>
    <t>Fuel Cash Back in Miles</t>
  </si>
  <si>
    <t>Predict Status</t>
  </si>
  <si>
    <t>Christiaan</t>
  </si>
  <si>
    <t>Derrick</t>
  </si>
  <si>
    <t>Night Time Drive</t>
  </si>
  <si>
    <t>Extracted Data</t>
  </si>
  <si>
    <t>Calculated Data</t>
  </si>
  <si>
    <t>Description</t>
  </si>
  <si>
    <t>Value</t>
  </si>
  <si>
    <t>Username</t>
  </si>
  <si>
    <t>Night Pts Tolerance</t>
  </si>
  <si>
    <t>Night Extr or Calc</t>
  </si>
  <si>
    <t>Days Past</t>
  </si>
  <si>
    <t>Days Left</t>
  </si>
  <si>
    <t>Last Month's Status</t>
  </si>
  <si>
    <t>Config Data</t>
  </si>
  <si>
    <t>Rem Dist Points</t>
  </si>
  <si>
    <t>Rem - Dist</t>
  </si>
  <si>
    <t>Distance Upper Limit</t>
  </si>
  <si>
    <t>Month to Date</t>
  </si>
  <si>
    <t>End of Month</t>
  </si>
  <si>
    <t>Distance Kilometers</t>
  </si>
  <si>
    <t>Penalty Weight</t>
  </si>
  <si>
    <t>Duration</t>
  </si>
  <si>
    <t>Total</t>
  </si>
  <si>
    <t>Remaining Fuel Spend</t>
  </si>
  <si>
    <t>Color</t>
  </si>
  <si>
    <t>#8EA9DB</t>
  </si>
  <si>
    <t>#F4B084</t>
  </si>
  <si>
    <t>#DBDBDB</t>
  </si>
  <si>
    <t>#FFD966</t>
  </si>
  <si>
    <t>Min Fuel or Points</t>
  </si>
  <si>
    <t>#D9B3FF</t>
  </si>
  <si>
    <t>Current Drive Points</t>
  </si>
  <si>
    <t>Report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</si>
</sst>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R-1C09]#,##0.00"/>
    <numFmt numFmtId="166" formatCode="&quot;R&quot;#,##0"/>
    <numFmt numFmtId="167" formatCode="[$£-809]#,##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dotted">
        <color indexed="64"/>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s>
  <cellStyleXfs count="6">
    <xf numFmtId="0" fontId="0" fillId="0" borderId="0"/>
    <xf numFmtId="0" fontId="1" fillId="3" borderId="0" applyNumberFormat="0" applyFont="0" applyBorder="0" applyAlignment="0" applyProtection="0">
      <alignment horizontal="center" vertical="center"/>
    </xf>
    <xf numFmtId="0" fontId="1" fillId="4" borderId="1" applyNumberFormat="0" applyFont="0" applyBorder="0" applyAlignment="0" applyProtection="0">
      <alignment horizontal="center" vertical="center"/>
    </xf>
    <xf numFmtId="0" fontId="1" fillId="5" borderId="0" applyNumberFormat="0" applyFont="0" applyBorder="0" applyAlignment="0" applyProtection="0"/>
    <xf numFmtId="0" fontId="1" fillId="6" borderId="1" applyNumberFormat="0" applyFont="0" applyBorder="0" applyAlignment="0" applyProtection="0">
      <alignment horizontal="center" vertical="center"/>
    </xf>
    <xf numFmtId="0" fontId="1" fillId="7" borderId="1" applyNumberFormat="0" applyFont="0" applyBorder="0" applyAlignment="0" applyProtection="0">
      <alignment horizontal="center" vertical="center"/>
    </xf>
  </cellStyleXfs>
  <cellXfs count="7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Alignment="1">
      <alignment vertical="center"/>
    </xf>
    <xf numFmtId="164"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pplyAlignment="1">
      <alignment horizontal="center" vertical="center"/>
    </xf>
    <xf numFmtId="0" fontId="0" fillId="4" borderId="7" xfId="2" applyFont="1" applyBorder="1" applyAlignment="1">
      <alignment horizontal="center" vertical="center"/>
    </xf>
    <xf numFmtId="0" fontId="0" fillId="5" borderId="7" xfId="3" applyFont="1" applyBorder="1" applyAlignment="1">
      <alignment horizontal="center" vertical="center"/>
    </xf>
    <xf numFmtId="0" fontId="0" fillId="6" borderId="7" xfId="4" applyFont="1" applyBorder="1" applyAlignment="1">
      <alignment horizontal="center" vertical="center"/>
    </xf>
    <xf numFmtId="0" fontId="1" fillId="7" borderId="8" xfId="5" applyBorder="1" applyAlignment="1">
      <alignment horizontal="center" vertical="center"/>
    </xf>
    <xf numFmtId="0" fontId="0" fillId="3" borderId="1" xfId="1" applyFont="1" applyBorder="1" applyAlignment="1">
      <alignment horizontal="center" vertical="center"/>
    </xf>
    <xf numFmtId="0" fontId="0" fillId="4" borderId="1" xfId="2" applyFont="1" applyBorder="1" applyAlignment="1">
      <alignment horizontal="center" vertical="center"/>
    </xf>
    <xf numFmtId="0" fontId="0" fillId="5" borderId="1" xfId="3" applyFont="1" applyBorder="1" applyAlignment="1">
      <alignment horizontal="center" vertical="center"/>
    </xf>
    <xf numFmtId="0" fontId="0" fillId="6" borderId="1" xfId="4" applyFont="1" applyBorder="1" applyAlignment="1">
      <alignment horizontal="center" vertical="center"/>
    </xf>
    <xf numFmtId="0" fontId="1" fillId="7" borderId="2" xfId="5" applyBorder="1" applyAlignment="1">
      <alignment horizontal="center" vertical="center"/>
    </xf>
    <xf numFmtId="1" fontId="0" fillId="0" borderId="6" xfId="0" applyNumberFormat="1" applyBorder="1" applyAlignment="1">
      <alignment horizontal="center" vertical="center"/>
    </xf>
    <xf numFmtId="0" fontId="0" fillId="0" borderId="1" xfId="0" applyBorder="1" applyAlignment="1">
      <alignment horizontal="center" vertical="center"/>
      <extLst>
        <ext xmlns:xfpb="http://schemas.microsoft.com/office/spreadsheetml/2022/featurepropertybag" uri="{C7286773-470A-42A8-94C5-96B5CB345126}">
          <xfpb:xfComplement i="0"/>
        </ext>
      </extLst>
    </xf>
    <xf numFmtId="0" fontId="0" fillId="3" borderId="6" xfId="1" applyFont="1" applyBorder="1" applyAlignment="1">
      <alignment horizontal="center" vertical="center"/>
    </xf>
    <xf numFmtId="0" fontId="0" fillId="4" borderId="6" xfId="2" applyFont="1" applyBorder="1" applyAlignment="1">
      <alignment horizontal="center" vertical="center"/>
    </xf>
    <xf numFmtId="0" fontId="0" fillId="5" borderId="6" xfId="3" applyFont="1" applyBorder="1" applyAlignment="1">
      <alignment horizontal="center" vertical="center"/>
    </xf>
    <xf numFmtId="0" fontId="0" fillId="6" borderId="6" xfId="4" applyFont="1" applyBorder="1" applyAlignment="1">
      <alignment horizontal="center" vertical="center"/>
    </xf>
    <xf numFmtId="0" fontId="1" fillId="7" borderId="5" xfId="5" applyBorder="1" applyAlignment="1">
      <alignment horizontal="center" vertical="center"/>
    </xf>
    <xf numFmtId="166" fontId="0" fillId="0" borderId="1" xfId="0" applyNumberFormat="1" applyBorder="1" applyAlignment="1">
      <alignment horizontal="center" vertical="center"/>
    </xf>
    <xf numFmtId="167" fontId="0" fillId="0" borderId="1" xfId="0" applyNumberFormat="1" applyBorder="1" applyAlignment="1">
      <alignment horizontal="center" vertical="center"/>
    </xf>
    <xf numFmtId="0" fontId="0" fillId="3" borderId="3" xfId="1" applyFont="1" applyBorder="1" applyAlignment="1">
      <alignment horizontal="center" vertical="center"/>
    </xf>
    <xf numFmtId="9" fontId="0" fillId="3" borderId="1" xfId="1" applyNumberFormat="1" applyFont="1" applyBorder="1" applyAlignment="1">
      <alignment horizontal="center" vertical="center"/>
    </xf>
    <xf numFmtId="9" fontId="5" fillId="3" borderId="2" xfId="1" applyNumberFormat="1" applyFont="1" applyBorder="1" applyAlignment="1">
      <alignment horizontal="center" vertical="center"/>
    </xf>
    <xf numFmtId="0" fontId="0" fillId="4" borderId="3" xfId="2" applyFont="1" applyBorder="1" applyAlignment="1">
      <alignment horizontal="center" vertical="center"/>
    </xf>
    <xf numFmtId="9" fontId="0" fillId="4" borderId="1" xfId="2" applyNumberFormat="1" applyFont="1" applyBorder="1" applyAlignment="1">
      <alignment horizontal="center" vertical="center"/>
    </xf>
    <xf numFmtId="9" fontId="5" fillId="4" borderId="2" xfId="2" applyNumberFormat="1" applyFont="1" applyBorder="1" applyAlignment="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pplyAlignment="1">
      <alignment horizontal="center" vertical="center"/>
    </xf>
    <xf numFmtId="0" fontId="1" fillId="6" borderId="1" xfId="4" applyBorder="1" applyAlignment="1">
      <alignment horizontal="center" vertical="center"/>
    </xf>
    <xf numFmtId="9" fontId="1" fillId="6" borderId="1" xfId="4" applyNumberFormat="1" applyBorder="1" applyAlignment="1">
      <alignment horizontal="center" vertical="center"/>
    </xf>
    <xf numFmtId="9" fontId="5" fillId="6" borderId="2" xfId="4" applyNumberFormat="1" applyFont="1" applyBorder="1" applyAlignment="1">
      <alignment horizontal="center" vertical="center"/>
    </xf>
    <xf numFmtId="0" fontId="1" fillId="7" borderId="9" xfId="5" applyBorder="1" applyAlignment="1">
      <alignment horizontal="center" vertical="center"/>
    </xf>
    <xf numFmtId="0" fontId="1" fillId="7" borderId="6" xfId="5" applyBorder="1" applyAlignment="1">
      <alignment horizontal="center" vertical="center"/>
    </xf>
    <xf numFmtId="9" fontId="1" fillId="7" borderId="6" xfId="5" applyNumberFormat="1" applyBorder="1" applyAlignment="1">
      <alignment horizontal="center" vertical="center"/>
    </xf>
    <xf numFmtId="9" fontId="5" fillId="7" borderId="5" xfId="5" applyNumberFormat="1"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1" fontId="0" fillId="0" borderId="13" xfId="0" applyNumberFormat="1" applyBorder="1" applyAlignment="1">
      <alignment horizontal="center" vertical="center"/>
    </xf>
    <xf numFmtId="1" fontId="0" fillId="0" borderId="15" xfId="0" applyNumberFormat="1" applyBorder="1" applyAlignment="1">
      <alignment horizontal="center" vertical="center"/>
    </xf>
    <xf numFmtId="14" fontId="0" fillId="0" borderId="1" xfId="0" applyNumberFormat="1" applyBorder="1" applyAlignment="1">
      <alignment horizontal="center" vertical="center"/>
    </xf>
    <xf numFmtId="0" fontId="0" fillId="2" borderId="1" xfId="0" applyFill="1" applyBorder="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xf>
  </cellXfs>
  <cellStyles count="6">
    <cellStyle name="Blue" xfId="1" xr:uid="{D6777AFA-3AF0-4CE0-B336-1ADF34512EE6}"/>
    <cellStyle name="Bronze" xfId="2" xr:uid="{0E6B15DE-01A2-4A33-9774-2FB4D4C3D1E7}"/>
    <cellStyle name="Diamond" xfId="5" xr:uid="{3A820ED5-9107-4EE9-BDFB-915049A426ED}"/>
    <cellStyle name="Gold" xfId="4" xr:uid="{AE4AF4E8-6A9E-4D12-AF8F-05694512C987}"/>
    <cellStyle name="Normal" xfId="0" builtinId="0"/>
    <cellStyle name="Silver" xfId="3" xr:uid="{14E707C8-7A31-4C64-82D2-79D4451F1D93}"/>
  </cellStyles>
  <dxfs count="131">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dxf>
    <dxf>
      <border outline="0">
        <bottom style="thin">
          <color indexed="64"/>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indexed="64"/>
        </top>
      </border>
    </dxf>
    <dxf>
      <font>
        <b val="0"/>
      </font>
      <border diagonalUp="0" diagonalDown="0">
        <left style="thin">
          <color indexed="64"/>
        </left>
        <right style="thin">
          <color indexed="64"/>
        </right>
        <top/>
        <bottom/>
        <vertical style="thin">
          <color indexed="64"/>
        </vertical>
        <horizontal/>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72 Monospace"/>
        <family val="3"/>
        <scheme val="none"/>
      </font>
      <numFmt numFmtId="13" formatCode="0%"/>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3"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theme="1"/>
        <name val="Calibri"/>
        <family val="2"/>
        <scheme val="minor"/>
      </font>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center" textRotation="0" wrapText="0"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textRotation="0" wrapText="0" indent="0" justifyLastLine="0" shrinkToFit="0" readingOrder="0"/>
    </dxf>
    <dxf>
      <border outline="0">
        <bottom style="thin">
          <color rgb="FF000000"/>
        </bottom>
      </border>
    </dxf>
    <dxf>
      <fill>
        <patternFill patternType="solid">
          <fgColor indexed="64"/>
          <bgColor theme="6" tint="0.7999816888943144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top style="medium">
          <color rgb="FF000000"/>
        </top>
      </border>
    </dxf>
    <dxf>
      <font>
        <b val="0"/>
      </font>
      <border diagonalUp="0" diagonalDown="0">
        <left style="thin">
          <color rgb="FF000000"/>
        </left>
        <right style="thin">
          <color rgb="FF000000"/>
        </right>
        <top/>
        <bottom/>
        <vertical style="thin">
          <color rgb="FF000000"/>
        </vertical>
        <horizontal/>
      </border>
    </dxf>
    <dxf>
      <border diagonalUp="0" diagonalDown="0">
        <left style="thin">
          <color rgb="FF000000"/>
        </left>
        <right style="thin">
          <color rgb="FF000000"/>
        </right>
        <top style="thin">
          <color rgb="FF000000"/>
        </top>
        <bottom style="thin">
          <color rgb="FF000000"/>
        </bottom>
      </border>
    </dxf>
    <dxf>
      <fill>
        <patternFill patternType="none">
          <fgColor rgb="FF000000"/>
          <bgColor auto="1"/>
        </patternFill>
      </fill>
      <alignment horizontal="center" vertical="center" textRotation="0" wrapText="0" indent="0" justifyLastLine="0" shrinkToFit="0" readingOrder="0"/>
    </dxf>
    <dxf>
      <border outline="0">
        <bottom style="thin">
          <color rgb="FF000000"/>
        </bottom>
      </border>
    </dxf>
    <dxf>
      <fill>
        <patternFill patternType="solid">
          <fgColor indexed="64"/>
          <bgColor theme="2" tint="-9.9978637043366805E-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font>
      <border>
        <left style="thin">
          <color auto="1"/>
        </left>
        <right style="thin">
          <color auto="1"/>
        </right>
        <top style="thin">
          <color auto="1"/>
        </top>
        <bottom style="medium">
          <color auto="1"/>
        </bottom>
        <vertical style="thin">
          <color auto="1"/>
        </vertical>
        <horizontal style="thin">
          <color auto="1"/>
        </horizontal>
      </border>
    </dxf>
    <dxf>
      <font>
        <b val="0"/>
        <i val="0"/>
        <strike val="0"/>
      </font>
      <border>
        <left style="thin">
          <color auto="1"/>
        </left>
        <right style="thin">
          <color auto="1"/>
        </right>
        <top style="thin">
          <color auto="1"/>
        </top>
        <bottom style="thin">
          <color auto="1"/>
        </bottom>
        <vertical style="thin">
          <color auto="1"/>
        </vertical>
        <horizontal style="thin">
          <color auto="1"/>
        </horizontal>
      </border>
    </dxf>
  </dxfs>
  <tableStyles count="2" defaultTableStyle="TableStyleMedium2" defaultPivotStyle="PivotStyleLight16">
    <tableStyle name="Table Style 1" pivot="0" count="1" xr9:uid="{A9F08CE5-ED7D-4BF0-BED4-1E9AB08F748B}">
      <tableStyleElement type="wholeTable" dxfId="130"/>
    </tableStyle>
    <tableStyle name="Table Style 1 2" pivot="0" count="1" xr9:uid="{9328C6BF-6A18-40D6-BCF5-ACC71AF16E8E}">
      <tableStyleElement type="wholeTable" dxfId="12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1.xml"/><Relationship Id="rId5" Type="http://schemas.openxmlformats.org/officeDocument/2006/relationships/styles" Target="styles.xml"/><Relationship Id="rId10" Type="http://schemas.openxmlformats.org/officeDocument/2006/relationships/calcChain" Target="calcChain.xml"/><Relationship Id="rId4" Type="http://schemas.openxmlformats.org/officeDocument/2006/relationships/theme" Target="theme/theme1.xml"/><Relationship Id="rId9" Type="http://schemas.microsoft.com/office/2022/11/relationships/FeaturePropertyBag" Target="featurePropertyBag/featurePropertyBag.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2D41F9E-201D-494C-B741-54D3661AF0CB}" name="NightTimeDrive1114" displayName="NightTimeDrive1114" ref="E12:G14" totalsRowCount="1" headerRowDxfId="128" dataDxfId="126" totalsRowDxfId="124" headerRowBorderDxfId="127" tableBorderDxfId="125" totalsRowBorderDxfId="123">
  <autoFilter ref="E12:G13" xr:uid="{932FCD99-6FCF-4AE6-A66E-74A568E6D121}">
    <filterColumn colId="0" hiddenButton="1"/>
    <filterColumn colId="1" hiddenButton="1"/>
    <filterColumn colId="2" hiddenButton="1"/>
  </autoFilter>
  <tableColumns count="3">
    <tableColumn id="1" xr3:uid="{E9820CD1-120D-416C-8D24-0E189A941AF9}" name="Penalty Weight" totalsRowLabel="Total" dataDxfId="122" totalsRowDxfId="121">
      <calculatedColumnFormula>2</calculatedColumnFormula>
    </tableColumn>
    <tableColumn id="2" xr3:uid="{770CBEF7-6A21-4F31-A449-460FF496815E}" name="Duration" totalsRowFunction="sum" dataDxfId="120" totalsRowDxfId="119"/>
    <tableColumn id="3" xr3:uid="{16E6B1A8-A2A6-468A-8C73-0F393F4B41CE}" name="Points" totalsRowFunction="sum" dataDxfId="118" totalsRowDxfId="117">
      <calculatedColumnFormula>NightTimeDrive1114[[#This Row],[Penalty Weight]]*NightTimeDrive1114[[#This Row],[Duration]]</calculatedColumnFormula>
    </tableColumn>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160EBD6-A6E3-4181-915B-B8ABBB18A0C2}" name="DistancePointsStefan" displayName="DistancePointsStefan" ref="L6:R13" totalsRowShown="0" headerRowDxfId="116" dataDxfId="114" headerRowBorderDxfId="115" tableBorderDxfId="113" totalsRowBorderDxfId="112">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9F8771AF-CF50-4453-B679-BC454065B222}" name="Lower" dataDxfId="111"/>
    <tableColumn id="2" xr3:uid="{4C8C475B-44BE-4D66-96D4-24EDC8D2FDE2}" name="Upper" dataDxfId="110"/>
    <tableColumn id="3" xr3:uid="{C2CF2F37-F8EC-43C5-BB1A-40F3F4293DAC}" name="Blue" dataDxfId="109" dataCellStyle="Blue"/>
    <tableColumn id="4" xr3:uid="{65448F0C-31EF-4CAE-B825-712186EF8E29}" name="Bronze" dataDxfId="108" dataCellStyle="Bronze"/>
    <tableColumn id="5" xr3:uid="{50DA8696-F485-43D5-BD1F-433F94EC712E}" name="Silver" dataDxfId="107" dataCellStyle="Silver"/>
    <tableColumn id="6" xr3:uid="{D9FE27AD-9808-43A6-B9BF-5F1BAF5D78B0}" name="Gold" dataDxfId="106" dataCellStyle="Gold"/>
    <tableColumn id="7" xr3:uid="{9DC7BCD5-87F7-4BEB-9965-BF447806825D}" name="Diamond" dataDxfId="105" dataCellStyle="Diamond"/>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773E3023-89B9-4F29-B55D-D429DA394505}" name="DrivingStatusStefan" displayName="DrivingStatusStefan" ref="M26:Q31" totalsRowShown="0" headerRowDxfId="104" headerRowBorderDxfId="103" tableBorderDxfId="102" totalsRowBorderDxfId="101">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FED11EC9-AD58-4F5D-A3BF-2F8F6D5282D0}" name="Lower" dataDxfId="100" dataCellStyle="Silver"/>
    <tableColumn id="2" xr3:uid="{F2569052-4C17-4127-9FBA-B31B3D522A94}" name="Upper" dataDxfId="99" dataCellStyle="Silver"/>
    <tableColumn id="3" xr3:uid="{65EFAAFB-D8DD-4A4F-AA56-CB3BBDFC28AD}" name="Category" dataDxfId="98" dataCellStyle="Silver"/>
    <tableColumn id="4" xr3:uid="{2CA1D7B4-D6E7-4D28-98FF-FE0259A7A85B}" name="Fuel %" dataDxfId="97" dataCellStyle="Silver"/>
    <tableColumn id="5" xr3:uid="{4CB4463C-CAB7-4F04-8814-E6A75BD3E2E6}" name="Color" dataDxfId="96" dataCellStyle="Silver"/>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91DD60-8F0D-4A00-BE27-FE334C07FAC0}" name="NightTimeDrive" displayName="NightTimeDrive" ref="E12:G14" totalsRowCount="1" headerRowDxfId="95" dataDxfId="93" totalsRowDxfId="91" headerRowBorderDxfId="94" tableBorderDxfId="92" totalsRowBorderDxfId="90">
  <autoFilter ref="E12:G13" xr:uid="{932FCD99-6FCF-4AE6-A66E-74A568E6D121}">
    <filterColumn colId="0" hiddenButton="1"/>
    <filterColumn colId="1" hiddenButton="1"/>
    <filterColumn colId="2" hiddenButton="1"/>
  </autoFilter>
  <tableColumns count="3">
    <tableColumn id="1" xr3:uid="{DC70D449-17F5-4122-A1BF-3B2E9767E577}" name="Penalty Weight" totalsRowLabel="Total" dataDxfId="89" totalsRowDxfId="88">
      <calculatedColumnFormula>2</calculatedColumnFormula>
    </tableColumn>
    <tableColumn id="2" xr3:uid="{C181C36A-8D62-47D8-8D26-3B259CBE4530}" name="Duration" totalsRowFunction="sum" dataDxfId="87" totalsRowDxfId="86"/>
    <tableColumn id="3" xr3:uid="{904077CA-AF98-4510-BEF4-9B248A3A20F5}" name="Points" totalsRowFunction="sum" dataDxfId="85" totalsRowDxfId="84">
      <calculatedColumnFormula>NightTimeDrive[[#This Row],[Penalty Weight]]*NightTimeDrive[[#This Row],[Duration]]</calculatedColumnFormula>
    </tableColumn>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05817D9-1883-492B-AB3F-F24E633A8C0A}" name="DistancePointsChristiaan" displayName="DistancePointsChristiaan" ref="L6:R13" totalsRowShown="0" headerRowDxfId="83" dataDxfId="81" headerRowBorderDxfId="82" tableBorderDxfId="80" totalsRowBorderDxfId="79">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D54ADDF-43E2-4F96-AA0A-08B95EEE5525}" name="Lower" dataDxfId="78"/>
    <tableColumn id="2" xr3:uid="{8E369D9F-A506-4BE7-9450-D6DF354C5B91}" name="Upper" dataDxfId="77"/>
    <tableColumn id="3" xr3:uid="{90C9EB12-15B2-4428-96D6-DE91D30E2889}" name="Blue" dataDxfId="76" dataCellStyle="Blue"/>
    <tableColumn id="4" xr3:uid="{B4A53663-1ECB-453B-B978-91EE1740911A}" name="Bronze" dataDxfId="75" dataCellStyle="Bronze"/>
    <tableColumn id="5" xr3:uid="{A8DB5A56-B069-4E83-866B-14EF2687BADA}" name="Silver" dataDxfId="74" dataCellStyle="Silver"/>
    <tableColumn id="6" xr3:uid="{4001DA99-4444-4282-9028-0B13BBB90400}" name="Gold" dataDxfId="73" dataCellStyle="Gold"/>
    <tableColumn id="7" xr3:uid="{BBFFC5AC-532E-41BE-B430-58B98A15C217}" name="Diamond" dataDxfId="72"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2A18A49-3191-4A1B-9245-11E2443B1970}" name="DrivingStatusChristiaan" displayName="DrivingStatusChristiaan" ref="M26:Q31" totalsRowShown="0" headerRowDxfId="71" headerRowBorderDxfId="70" tableBorderDxfId="69" totalsRowBorderDxfId="68">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59217B13-3B83-4FE5-88CE-31A352DB4072}" name="Lower" dataDxfId="67" dataCellStyle="Silver"/>
    <tableColumn id="2" xr3:uid="{85A2F208-22D3-439D-9DE4-1ECE40DC05B0}" name="Upper" dataDxfId="66" dataCellStyle="Silver"/>
    <tableColumn id="3" xr3:uid="{84A9C290-D556-4FE3-92BF-8EA0F1B50652}" name="Category" dataDxfId="65" dataCellStyle="Silver"/>
    <tableColumn id="4" xr3:uid="{DCE701AB-8DA8-49A4-9822-7012476D8245}" name="Fuel %" dataDxfId="64" dataCellStyle="Silver"/>
    <tableColumn id="5" xr3:uid="{9C1F6053-54F6-484A-9EAD-AC7FF701777F}" name="Color" dataDxfId="63" dataCellStyle="Silver"/>
  </tableColumns>
  <tableStyleInfo name="Table Style 1"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CE1FAFA-4CDE-4F06-804A-41746F5F5473}" name="NightTimeDrive11" displayName="NightTimeDrive11" ref="E12:G14" totalsRowCount="1" headerRowDxfId="62" dataDxfId="60" totalsRowDxfId="58" headerRowBorderDxfId="61" tableBorderDxfId="59" totalsRowBorderDxfId="57">
  <autoFilter ref="E12:G13" xr:uid="{932FCD99-6FCF-4AE6-A66E-74A568E6D121}">
    <filterColumn colId="0" hiddenButton="1"/>
    <filterColumn colId="1" hiddenButton="1"/>
    <filterColumn colId="2" hiddenButton="1"/>
  </autoFilter>
  <tableColumns count="3">
    <tableColumn id="1" xr3:uid="{735D4564-3A90-415B-B47E-5EA90825A97A}" name="Penalty Weight" totalsRowLabel="Total" dataDxfId="56" totalsRowDxfId="55">
      <calculatedColumnFormula>2</calculatedColumnFormula>
    </tableColumn>
    <tableColumn id="2" xr3:uid="{EEF150EB-580C-474F-8688-6A037448742C}" name="Duration" totalsRowFunction="sum" dataDxfId="54" totalsRowDxfId="53"/>
    <tableColumn id="3" xr3:uid="{5CEA56CD-422B-4282-AD7D-E4F69237A98B}" name="Points" totalsRowFunction="sum" dataDxfId="52" totalsRowDxfId="51">
      <calculatedColumnFormula>NightTimeDrive11[[#This Row],[Penalty Weight]]*NightTimeDrive11[[#This Row],[Duration]]</calculatedColumnFormula>
    </tableColumn>
  </tableColumns>
  <tableStyleInfo name="Table Style 1"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027C31-F46F-4630-BA7C-A7D788214406}" name="DistancePointsDerrick" displayName="DistancePointsDerrick" ref="L6:R13" totalsRowShown="0" headerRowDxfId="50" dataDxfId="48" headerRowBorderDxfId="49" tableBorderDxfId="47" totalsRowBorderDxfId="46">
  <autoFilter ref="L6:R13" xr:uid="{E011F3DC-4D15-4380-B07D-61D2F4291EE8}">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276F9D3-B063-44DA-ADE6-1070BFDB3D35}" name="Lower" dataDxfId="45"/>
    <tableColumn id="2" xr3:uid="{A553EDA2-505F-4944-960E-813BAE0280E6}" name="Upper" dataDxfId="44"/>
    <tableColumn id="3" xr3:uid="{0D70A2B2-3135-468C-A321-4AEC2A2C9C11}" name="Blue" dataDxfId="43" dataCellStyle="Blue"/>
    <tableColumn id="4" xr3:uid="{E8B32CB2-909D-40E6-8289-BAEBC5F6C299}" name="Bronze" dataDxfId="42" dataCellStyle="Bronze"/>
    <tableColumn id="5" xr3:uid="{128F56E7-FA96-49D8-BA0E-6D47528F1475}" name="Silver" dataDxfId="41" dataCellStyle="Silver"/>
    <tableColumn id="6" xr3:uid="{54B51153-77EB-4AD5-A4B1-A65717A58F23}" name="Gold" dataDxfId="40" dataCellStyle="Gold"/>
    <tableColumn id="7" xr3:uid="{DCB5DC0A-9344-439A-829F-17C180815C46}" name="Diamond" dataDxfId="39" dataCellStyle="Diamond"/>
  </tableColumns>
  <tableStyleInfo name="Table Style 1"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A3552F5-BA84-40EA-9705-39CDD98F00E4}" name="DrivingStatusDerrick" displayName="DrivingStatusDerrick" ref="M26:Q31" totalsRowShown="0" headerRowDxfId="38" headerRowBorderDxfId="37" tableBorderDxfId="36" totalsRowBorderDxfId="35">
  <autoFilter ref="M26:Q31" xr:uid="{DC26E8D9-5FBB-4486-917F-B1866C4C6343}">
    <filterColumn colId="0" hiddenButton="1"/>
    <filterColumn colId="1" hiddenButton="1"/>
    <filterColumn colId="2" hiddenButton="1"/>
    <filterColumn colId="3" hiddenButton="1"/>
    <filterColumn colId="4" hiddenButton="1"/>
  </autoFilter>
  <tableColumns count="5">
    <tableColumn id="1" xr3:uid="{421B8BD1-6ECD-4E7F-B4CC-3E6B400A6616}" name="Lower" dataDxfId="34" dataCellStyle="Silver"/>
    <tableColumn id="2" xr3:uid="{AC79C6A7-9997-42DA-9554-F726645E1847}" name="Upper" dataDxfId="33" dataCellStyle="Silver"/>
    <tableColumn id="3" xr3:uid="{86277536-AE35-4170-B2EE-720D4049918D}" name="Category" dataDxfId="32" dataCellStyle="Silver"/>
    <tableColumn id="4" xr3:uid="{A9D36B79-51B1-4307-9F74-135ECAE6B10E}" name="Fuel %" dataDxfId="31" dataCellStyle="Silver"/>
    <tableColumn id="5" xr3:uid="{177AEE58-7FAC-4322-86D6-2E43CB79763D}"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2.bin"/><Relationship Id="rId4" Type="http://schemas.openxmlformats.org/officeDocument/2006/relationships/table" Target="../tables/table6.xml"/></Relationships>
</file>

<file path=xl/worksheets/_rels/sheet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3F539-0250-415E-9699-09B43B836E74}">
  <sheetPr>
    <pageSetUpPr fitToPage="1"/>
  </sheetPr>
  <dimension ref="B2:AC33"/>
  <sheetViews>
    <sheetView zoomScaleNormal="100" workbookViewId="0">
      <selection activeCell="C13" sqref="C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710937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 ca="1">_xlfn.CONCAT("Drive Summary ",J18, " ",TEXT(TODAY(), "mmmm yyyy"))</f>
        <v>Drive Summary Stefan March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March 2025</v>
      </c>
      <c r="F5" s="16" t="s">
        <v>1</v>
      </c>
      <c r="G5" s="18" t="s">
        <v>2</v>
      </c>
      <c r="I5" s="65" t="s">
        <v>28</v>
      </c>
      <c r="J5" s="65"/>
      <c r="L5" s="65" t="s">
        <v>11</v>
      </c>
      <c r="M5" s="65"/>
      <c r="N5" s="65"/>
      <c r="O5" s="65"/>
      <c r="P5" s="65"/>
      <c r="Q5" s="65"/>
      <c r="R5" s="65"/>
      <c r="AB5" s="67"/>
      <c r="AC5" s="67"/>
    </row>
    <row r="6" spans="2:29" x14ac:dyDescent="0.25">
      <c r="B6" s="1" t="s">
        <v>0</v>
      </c>
      <c r="C6" s="7">
        <f>MIN(1500, IF($C$13,G7,G6+G9))</f>
        <v>1500</v>
      </c>
      <c r="E6" s="1" t="s">
        <v>42</v>
      </c>
      <c r="F6" s="7">
        <v>1550</v>
      </c>
      <c r="G6" s="19">
        <f>J7</f>
        <v>1192</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300</v>
      </c>
      <c r="D7" s="3"/>
      <c r="E7" s="1" t="s">
        <v>43</v>
      </c>
      <c r="F7" s="7">
        <f>F6/J27*J26</f>
        <v>2002.0833333333333</v>
      </c>
      <c r="G7" s="7">
        <f>G6/J27*J26</f>
        <v>1539.6666666666665</v>
      </c>
      <c r="I7" s="7" t="s">
        <v>0</v>
      </c>
      <c r="J7" s="7">
        <v>1192</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64.583333333333329</v>
      </c>
      <c r="G8" s="6">
        <f>G6/J27</f>
        <v>49.666666666666664</v>
      </c>
      <c r="I8" s="30" t="s">
        <v>4</v>
      </c>
      <c r="J8" s="7">
        <v>300</v>
      </c>
      <c r="L8" s="13">
        <v>300</v>
      </c>
      <c r="M8" s="1">
        <v>599</v>
      </c>
      <c r="N8" s="25">
        <v>100</v>
      </c>
      <c r="O8" s="26">
        <v>150</v>
      </c>
      <c r="P8" s="27">
        <v>200</v>
      </c>
      <c r="Q8" s="28">
        <v>250</v>
      </c>
      <c r="R8" s="29">
        <v>300</v>
      </c>
    </row>
    <row r="9" spans="2:29" x14ac:dyDescent="0.25">
      <c r="B9" s="1" t="s">
        <v>11</v>
      </c>
      <c r="C9" s="7">
        <f>VLOOKUP(IF(C13,F7,F6),N17:P23,3)</f>
        <v>250</v>
      </c>
      <c r="E9" s="1" t="s">
        <v>21</v>
      </c>
      <c r="F9" s="7" t="str">
        <f>IF(J31&gt;=M13, "Unlimited", J31-F6)</f>
        <v>Unlimited</v>
      </c>
      <c r="G9" s="7">
        <f>50*J28 + IF(J26&lt;30,(30-J26)*G8,0)</f>
        <v>350</v>
      </c>
      <c r="I9" s="30" t="s">
        <v>27</v>
      </c>
      <c r="J9" s="7">
        <v>280</v>
      </c>
      <c r="L9" s="13">
        <v>600</v>
      </c>
      <c r="M9" s="1">
        <v>899</v>
      </c>
      <c r="N9" s="25">
        <v>75</v>
      </c>
      <c r="O9" s="26">
        <v>100</v>
      </c>
      <c r="P9" s="27">
        <v>150</v>
      </c>
      <c r="Q9" s="28">
        <v>200</v>
      </c>
      <c r="R9" s="29">
        <v>300</v>
      </c>
    </row>
    <row r="10" spans="2:29" x14ac:dyDescent="0.25">
      <c r="B10" s="1" t="s">
        <v>13</v>
      </c>
      <c r="C10" s="7">
        <f>J12</f>
        <v>300</v>
      </c>
      <c r="E10" s="8"/>
      <c r="I10" s="30" t="s">
        <v>11</v>
      </c>
      <c r="J10" s="30">
        <v>200</v>
      </c>
      <c r="L10" s="13">
        <v>900</v>
      </c>
      <c r="M10" s="1">
        <v>1199</v>
      </c>
      <c r="N10" s="25">
        <v>50</v>
      </c>
      <c r="O10" s="26">
        <v>75</v>
      </c>
      <c r="P10" s="27">
        <v>100</v>
      </c>
      <c r="Q10" s="28">
        <v>175</v>
      </c>
      <c r="R10" s="29">
        <v>300</v>
      </c>
    </row>
    <row r="11" spans="2:29" x14ac:dyDescent="0.25">
      <c r="B11" s="1" t="s">
        <v>16</v>
      </c>
      <c r="C11" s="7">
        <f>SUM(C6:C10)</f>
        <v>2650</v>
      </c>
      <c r="E11" s="68" t="s">
        <v>27</v>
      </c>
      <c r="F11" s="69"/>
      <c r="G11" s="70"/>
      <c r="I11" s="30" t="s">
        <v>44</v>
      </c>
      <c r="J11" s="7"/>
      <c r="L11" s="13">
        <v>1200</v>
      </c>
      <c r="M11" s="1">
        <v>1499</v>
      </c>
      <c r="N11" s="25">
        <v>25</v>
      </c>
      <c r="O11" s="26">
        <v>50</v>
      </c>
      <c r="P11" s="27">
        <v>75</v>
      </c>
      <c r="Q11" s="28">
        <v>125</v>
      </c>
      <c r="R11" s="29">
        <v>300</v>
      </c>
      <c r="Z11"/>
    </row>
    <row r="12" spans="2:29" x14ac:dyDescent="0.25">
      <c r="B12" s="1" t="s">
        <v>19</v>
      </c>
      <c r="C12" s="1" t="str">
        <f>VLOOKUP(C11,M27:O31,3,TRUE)</f>
        <v>Diamond</v>
      </c>
      <c r="D12" s="3"/>
      <c r="E12" s="16" t="s">
        <v>45</v>
      </c>
      <c r="F12" s="17" t="s">
        <v>46</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f>2</f>
        <v>2</v>
      </c>
      <c r="F13" s="1">
        <v>0</v>
      </c>
      <c r="G13" s="1">
        <f>NightTimeDrive1114[[#This Row],[Penalty Weight]]*NightTimeDrive1114[[#This Row],[Duration]]</f>
        <v>0</v>
      </c>
      <c r="I13" s="30" t="s">
        <v>20</v>
      </c>
      <c r="J13" s="30">
        <v>2339.14</v>
      </c>
      <c r="L13" s="14">
        <v>1800</v>
      </c>
      <c r="M13" s="12">
        <v>1800</v>
      </c>
      <c r="N13" s="32">
        <v>5</v>
      </c>
      <c r="O13" s="33">
        <v>10</v>
      </c>
      <c r="P13" s="34">
        <v>25</v>
      </c>
      <c r="Q13" s="35">
        <v>60</v>
      </c>
      <c r="R13" s="36">
        <v>100</v>
      </c>
      <c r="W13"/>
      <c r="Z13" s="9"/>
      <c r="AA13" s="3"/>
    </row>
    <row r="14" spans="2:29" x14ac:dyDescent="0.25">
      <c r="B14" s="1" t="s">
        <v>20</v>
      </c>
      <c r="C14" s="37">
        <f>J13</f>
        <v>2339.14</v>
      </c>
      <c r="E14" s="1" t="s">
        <v>47</v>
      </c>
      <c r="F14" s="1">
        <f>SUBTOTAL(109,NightTimeDrive1114[Duration])</f>
        <v>0</v>
      </c>
      <c r="G14" s="1">
        <f>SUBTOTAL(109,NightTimeDrive1114[Points])</f>
        <v>0</v>
      </c>
      <c r="I14" s="7" t="s">
        <v>37</v>
      </c>
      <c r="J14" s="7" t="s">
        <v>18</v>
      </c>
      <c r="T14"/>
      <c r="U14"/>
      <c r="V14"/>
      <c r="W14"/>
      <c r="X14"/>
    </row>
    <row r="15" spans="2:29" x14ac:dyDescent="0.25">
      <c r="B15" s="1" t="s">
        <v>23</v>
      </c>
      <c r="C15" s="38" t="str">
        <f>_xlfn.CONCAT("Đ",J32*VLOOKUP(C12,O26:P31,2,FALSE)*10)</f>
        <v>Đ11695.7</v>
      </c>
      <c r="D15" s="4"/>
      <c r="N15" s="68" t="str">
        <f>_xlfn.CONCAT("Distance Points for ",J14)</f>
        <v>Distance Points for Diamond</v>
      </c>
      <c r="O15" s="69"/>
      <c r="P15" s="70"/>
      <c r="T15"/>
      <c r="U15"/>
      <c r="V15" s="10"/>
      <c r="W15"/>
      <c r="X15"/>
      <c r="AA15" s="3"/>
      <c r="AB15" s="3"/>
    </row>
    <row r="16" spans="2:29" x14ac:dyDescent="0.25">
      <c r="B16" s="1" t="s">
        <v>48</v>
      </c>
      <c r="C16" s="37">
        <f>MAX(0,C11-C14)</f>
        <v>310.86000000000013</v>
      </c>
      <c r="I16" s="65" t="s">
        <v>38</v>
      </c>
      <c r="J16" s="65"/>
      <c r="N16" s="18" t="s">
        <v>5</v>
      </c>
      <c r="O16" s="18" t="s">
        <v>6</v>
      </c>
      <c r="P16" s="18" t="s">
        <v>2</v>
      </c>
      <c r="T16"/>
      <c r="U16"/>
      <c r="W16"/>
    </row>
    <row r="17" spans="9:17" ht="14.45" customHeight="1" x14ac:dyDescent="0.25">
      <c r="I17" s="18" t="s">
        <v>30</v>
      </c>
      <c r="J17" s="18" t="s">
        <v>31</v>
      </c>
      <c r="N17" s="1" cm="1">
        <f t="array" ref="N17:N23">DistancePointsStefan[Lower]</f>
        <v>0</v>
      </c>
      <c r="O17" s="1" cm="1">
        <f t="array" ref="O17:O23">DistancePointsStefan[Upper]</f>
        <v>299</v>
      </c>
      <c r="P17" s="1" cm="1">
        <f t="array" ref="P17:P23">_xlfn.XLOOKUP(J14,DistancePointsStefan[#Headers],DistancePointsStefan[])</f>
        <v>300</v>
      </c>
    </row>
    <row r="18" spans="9:17" x14ac:dyDescent="0.25">
      <c r="I18" s="1" t="s">
        <v>32</v>
      </c>
      <c r="J18" s="1" t="s">
        <v>22</v>
      </c>
      <c r="N18" s="1">
        <v>300</v>
      </c>
      <c r="O18" s="1">
        <v>599</v>
      </c>
      <c r="P18" s="1">
        <v>300</v>
      </c>
    </row>
    <row r="19" spans="9:17" x14ac:dyDescent="0.25">
      <c r="I19" s="1" t="s">
        <v>33</v>
      </c>
      <c r="J19" s="1">
        <v>10</v>
      </c>
      <c r="N19" s="1">
        <v>600</v>
      </c>
      <c r="O19" s="1">
        <v>899</v>
      </c>
      <c r="P19" s="1">
        <v>300</v>
      </c>
    </row>
    <row r="20" spans="9:17" x14ac:dyDescent="0.25">
      <c r="I20" s="7" t="s">
        <v>57</v>
      </c>
      <c r="J20" s="64">
        <v>45741</v>
      </c>
      <c r="N20" s="1">
        <v>900</v>
      </c>
      <c r="O20" s="1">
        <v>1199</v>
      </c>
      <c r="P20" s="1">
        <v>300</v>
      </c>
    </row>
    <row r="21" spans="9:17" x14ac:dyDescent="0.25">
      <c r="N21" s="1">
        <v>1200</v>
      </c>
      <c r="O21" s="1">
        <v>1499</v>
      </c>
      <c r="P21" s="1">
        <v>300</v>
      </c>
    </row>
    <row r="22" spans="9:17" x14ac:dyDescent="0.25">
      <c r="I22" s="65" t="s">
        <v>29</v>
      </c>
      <c r="J22" s="65"/>
      <c r="N22" s="1">
        <v>1500</v>
      </c>
      <c r="O22" s="1">
        <v>1799</v>
      </c>
      <c r="P22" s="1">
        <v>250</v>
      </c>
    </row>
    <row r="23" spans="9:17" x14ac:dyDescent="0.25">
      <c r="I23" s="18" t="s">
        <v>30</v>
      </c>
      <c r="J23" s="18" t="s">
        <v>31</v>
      </c>
      <c r="N23" s="1">
        <v>1800</v>
      </c>
      <c r="O23" s="1">
        <v>1800</v>
      </c>
      <c r="P23" s="1">
        <v>100</v>
      </c>
    </row>
    <row r="24" spans="9:17" x14ac:dyDescent="0.25">
      <c r="I24" s="56" t="s">
        <v>27</v>
      </c>
      <c r="J24" s="59">
        <f>MAX(0,300-NightTimeDrive1114[[#Totals],[Points]])</f>
        <v>300</v>
      </c>
    </row>
    <row r="25" spans="9:17" x14ac:dyDescent="0.25">
      <c r="I25" s="57" t="s">
        <v>34</v>
      </c>
      <c r="J25" s="60" t="str">
        <f>IF( AND( J9&lt;=J24+J19, J9&gt;=J24-J19 ), "Extract", "Calculate")</f>
        <v>Calculate</v>
      </c>
      <c r="M25" s="65" t="s">
        <v>3</v>
      </c>
      <c r="N25" s="65"/>
      <c r="O25" s="65"/>
      <c r="P25" s="65"/>
      <c r="Q25" s="65"/>
    </row>
    <row r="26" spans="9:17" x14ac:dyDescent="0.25">
      <c r="I26" s="58" t="str">
        <f ca="1">_xlfn.CONCAT("Days ",TEXT(TODAY(), "mmm yyyy"))</f>
        <v>Days Mar 2025</v>
      </c>
      <c r="J26" s="61">
        <f>DAY(EOMONTH(J20, 0))</f>
        <v>31</v>
      </c>
      <c r="M26" s="18" t="s">
        <v>5</v>
      </c>
      <c r="N26" s="18" t="s">
        <v>6</v>
      </c>
      <c r="O26" s="18" t="s">
        <v>7</v>
      </c>
      <c r="P26" s="18" t="s">
        <v>8</v>
      </c>
      <c r="Q26" s="18" t="s">
        <v>49</v>
      </c>
    </row>
    <row r="27" spans="9:17" x14ac:dyDescent="0.25">
      <c r="I27" s="58" t="s">
        <v>35</v>
      </c>
      <c r="J27" s="61">
        <f>DAY(J20)-1</f>
        <v>24</v>
      </c>
      <c r="M27" s="39">
        <v>0</v>
      </c>
      <c r="N27" s="25">
        <v>799</v>
      </c>
      <c r="O27" s="25" t="s">
        <v>10</v>
      </c>
      <c r="P27" s="40">
        <v>0.05</v>
      </c>
      <c r="Q27" s="41" t="s">
        <v>50</v>
      </c>
    </row>
    <row r="28" spans="9:17" x14ac:dyDescent="0.25">
      <c r="I28" s="57" t="s">
        <v>36</v>
      </c>
      <c r="J28" s="60">
        <f>J26-J27</f>
        <v>7</v>
      </c>
      <c r="M28" s="42">
        <v>800</v>
      </c>
      <c r="N28" s="26">
        <v>1599</v>
      </c>
      <c r="O28" s="26" t="s">
        <v>12</v>
      </c>
      <c r="P28" s="43">
        <v>0.1</v>
      </c>
      <c r="Q28" s="44" t="s">
        <v>51</v>
      </c>
    </row>
    <row r="29" spans="9:17" x14ac:dyDescent="0.25">
      <c r="I29" s="56" t="s">
        <v>39</v>
      </c>
      <c r="J29" s="62">
        <f>C11-VLOOKUP(C11,M27:O31,1,TRUE)</f>
        <v>150</v>
      </c>
      <c r="M29" s="45">
        <v>1600</v>
      </c>
      <c r="N29" s="27">
        <v>2199</v>
      </c>
      <c r="O29" s="27" t="s">
        <v>15</v>
      </c>
      <c r="P29" s="46">
        <v>0.2</v>
      </c>
      <c r="Q29" s="47" t="s">
        <v>52</v>
      </c>
    </row>
    <row r="30" spans="9:17" x14ac:dyDescent="0.25">
      <c r="I30" s="58" t="s">
        <v>40</v>
      </c>
      <c r="J30" s="63">
        <f>MAX(0,C9-J29)</f>
        <v>100</v>
      </c>
      <c r="M30" s="48">
        <v>2200</v>
      </c>
      <c r="N30" s="49">
        <v>2499</v>
      </c>
      <c r="O30" s="49" t="s">
        <v>17</v>
      </c>
      <c r="P30" s="50">
        <v>0.35</v>
      </c>
      <c r="Q30" s="51" t="s">
        <v>53</v>
      </c>
    </row>
    <row r="31" spans="9:17" x14ac:dyDescent="0.25">
      <c r="I31" s="57" t="s">
        <v>41</v>
      </c>
      <c r="J31" s="60" cm="1">
        <f t="array" ref="J31">MAX(_xlfn._xlws.FILTER(_xlfn.ANCHORARRAY(O17),_xlfn.ANCHORARRAY( P17)&gt;=J30))</f>
        <v>1800</v>
      </c>
      <c r="M31" s="52">
        <v>2500</v>
      </c>
      <c r="N31" s="53">
        <v>3000</v>
      </c>
      <c r="O31" s="53" t="s">
        <v>18</v>
      </c>
      <c r="P31" s="54">
        <v>0.5</v>
      </c>
      <c r="Q31" s="55" t="s">
        <v>55</v>
      </c>
    </row>
    <row r="32" spans="9:17" x14ac:dyDescent="0.25">
      <c r="I32" s="11" t="s">
        <v>54</v>
      </c>
      <c r="J32" s="7">
        <f>MIN(C14,C11)</f>
        <v>2339.14</v>
      </c>
    </row>
    <row r="33" spans="9:10" x14ac:dyDescent="0.25">
      <c r="I33" s="11" t="s">
        <v>56</v>
      </c>
      <c r="J33" s="7">
        <f>SUM(J7:J10,J12)</f>
        <v>2272</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$J$14="Blue"</formula>
    </cfRule>
    <cfRule type="expression" dxfId="23" priority="7">
      <formula>$J$14="Bronze"</formula>
    </cfRule>
    <cfRule type="expression" dxfId="22" priority="8">
      <formula>$J$14="Silver"</formula>
    </cfRule>
    <cfRule type="expression" dxfId="21" priority="9">
      <formula>$J$14="Gold"</formula>
    </cfRule>
    <cfRule type="expression" dxfId="2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2B60514A-F1BD-4ADB-A95D-09E1CCF652F9}"/>
  </dataValidations>
  <pageMargins left="0.7" right="0.7" top="0.75" bottom="0.75" header="0.3" footer="0.3"/>
  <pageSetup scale="32"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D0580-2042-459B-AFBB-CAF4F016B905}">
  <sheetPr>
    <pageSetUpPr fitToPage="1"/>
  </sheetPr>
  <dimension ref="B2:AC33"/>
  <sheetViews>
    <sheetView zoomScaleNormal="100" workbookViewId="0">
      <selection activeCell="C13" sqref="C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4257812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 ca="1">_xlfn.CONCAT("Drive Summary ",J18, " ",TEXT(TODAY(), "mmmm yyyy"))</f>
        <v>Drive Summary Christiaan March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March 2025</v>
      </c>
      <c r="F5" s="16" t="s">
        <v>1</v>
      </c>
      <c r="G5" s="18" t="s">
        <v>2</v>
      </c>
      <c r="I5" s="68" t="s">
        <v>28</v>
      </c>
      <c r="J5" s="70"/>
      <c r="L5" s="65" t="s">
        <v>11</v>
      </c>
      <c r="M5" s="65"/>
      <c r="N5" s="65"/>
      <c r="O5" s="65"/>
      <c r="P5" s="65"/>
      <c r="Q5" s="65"/>
      <c r="R5" s="65"/>
      <c r="AB5" s="67"/>
      <c r="AC5" s="67"/>
    </row>
    <row r="6" spans="2:29" x14ac:dyDescent="0.25">
      <c r="B6" s="1" t="s">
        <v>0</v>
      </c>
      <c r="C6" s="7">
        <f>MIN(1500, IF($C$13,G7,G6+G9))</f>
        <v>1500</v>
      </c>
      <c r="E6" s="1" t="s">
        <v>42</v>
      </c>
      <c r="F6" s="7">
        <v>800</v>
      </c>
      <c r="G6" s="19">
        <f>J7</f>
        <v>1144</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150</v>
      </c>
      <c r="D7" s="3"/>
      <c r="E7" s="1" t="s">
        <v>43</v>
      </c>
      <c r="F7" s="7">
        <f>F6/J27*J26</f>
        <v>1078.2608695652173</v>
      </c>
      <c r="G7" s="7">
        <f>G6/J27*J26</f>
        <v>1541.913043478261</v>
      </c>
      <c r="I7" s="7" t="s">
        <v>0</v>
      </c>
      <c r="J7" s="7">
        <v>1144</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34.782608695652172</v>
      </c>
      <c r="G8" s="6">
        <f>G6/J27</f>
        <v>49.739130434782609</v>
      </c>
      <c r="I8" s="30" t="s">
        <v>4</v>
      </c>
      <c r="J8" s="7">
        <v>150</v>
      </c>
      <c r="L8" s="13">
        <v>300</v>
      </c>
      <c r="M8" s="1">
        <v>599</v>
      </c>
      <c r="N8" s="25">
        <v>100</v>
      </c>
      <c r="O8" s="26">
        <v>150</v>
      </c>
      <c r="P8" s="27">
        <v>200</v>
      </c>
      <c r="Q8" s="28">
        <v>250</v>
      </c>
      <c r="R8" s="29">
        <v>300</v>
      </c>
    </row>
    <row r="9" spans="2:29" x14ac:dyDescent="0.25">
      <c r="B9" s="1" t="s">
        <v>11</v>
      </c>
      <c r="C9" s="7">
        <f>VLOOKUP(IF(C13,F7,F6),N17:P23,3)</f>
        <v>200</v>
      </c>
      <c r="E9" s="1" t="s">
        <v>21</v>
      </c>
      <c r="F9" s="7" t="str">
        <f>IF(J31&gt;=M13, "Unlimited", J31-F6)</f>
        <v>Unlimited</v>
      </c>
      <c r="G9" s="7">
        <f>50*J28 + IF(J26&lt;30,(30-J26)*G8,0)</f>
        <v>400</v>
      </c>
      <c r="I9" s="30" t="s">
        <v>27</v>
      </c>
      <c r="J9" s="7">
        <v>300</v>
      </c>
      <c r="L9" s="13">
        <v>600</v>
      </c>
      <c r="M9" s="1">
        <v>899</v>
      </c>
      <c r="N9" s="25">
        <v>75</v>
      </c>
      <c r="O9" s="26">
        <v>100</v>
      </c>
      <c r="P9" s="27">
        <v>150</v>
      </c>
      <c r="Q9" s="28">
        <v>200</v>
      </c>
      <c r="R9" s="29">
        <v>300</v>
      </c>
    </row>
    <row r="10" spans="2:29" x14ac:dyDescent="0.25">
      <c r="B10" s="1" t="s">
        <v>13</v>
      </c>
      <c r="C10" s="7">
        <f>J12</f>
        <v>300</v>
      </c>
      <c r="E10" s="8"/>
      <c r="I10" s="30" t="s">
        <v>11</v>
      </c>
      <c r="J10" s="30">
        <v>125</v>
      </c>
      <c r="L10" s="13">
        <v>900</v>
      </c>
      <c r="M10" s="1">
        <v>1199</v>
      </c>
      <c r="N10" s="25">
        <v>50</v>
      </c>
      <c r="O10" s="26">
        <v>75</v>
      </c>
      <c r="P10" s="27">
        <v>100</v>
      </c>
      <c r="Q10" s="28">
        <v>175</v>
      </c>
      <c r="R10" s="29">
        <v>300</v>
      </c>
    </row>
    <row r="11" spans="2:29" x14ac:dyDescent="0.25">
      <c r="B11" s="1" t="s">
        <v>16</v>
      </c>
      <c r="C11" s="7">
        <f>SUM(C6:C10)</f>
        <v>2450</v>
      </c>
      <c r="E11" s="68" t="s">
        <v>27</v>
      </c>
      <c r="F11" s="69"/>
      <c r="G11" s="70"/>
      <c r="I11" s="30" t="s">
        <v>44</v>
      </c>
      <c r="J11" s="7">
        <v>849</v>
      </c>
      <c r="L11" s="13">
        <v>1200</v>
      </c>
      <c r="M11" s="1">
        <v>1499</v>
      </c>
      <c r="N11" s="25">
        <v>25</v>
      </c>
      <c r="O11" s="26">
        <v>50</v>
      </c>
      <c r="P11" s="27">
        <v>75</v>
      </c>
      <c r="Q11" s="28">
        <v>125</v>
      </c>
      <c r="R11" s="29">
        <v>300</v>
      </c>
      <c r="Z11"/>
    </row>
    <row r="12" spans="2:29" x14ac:dyDescent="0.25">
      <c r="B12" s="1" t="s">
        <v>19</v>
      </c>
      <c r="C12" s="1" t="str">
        <f>VLOOKUP(C11,M27:O31,3,TRUE)</f>
        <v>Gold</v>
      </c>
      <c r="D12" s="3"/>
      <c r="E12" s="16" t="s">
        <v>45</v>
      </c>
      <c r="F12" s="17" t="s">
        <v>46</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f>2</f>
        <v>2</v>
      </c>
      <c r="F13" s="1">
        <v>0</v>
      </c>
      <c r="G13" s="1">
        <f>NightTimeDrive[[#This Row],[Penalty Weight]]*NightTimeDrive[[#This Row],[Duration]]</f>
        <v>0</v>
      </c>
      <c r="I13" s="30" t="s">
        <v>20</v>
      </c>
      <c r="J13" s="30">
        <v>921.26</v>
      </c>
      <c r="L13" s="14">
        <v>1800</v>
      </c>
      <c r="M13" s="12">
        <v>1800</v>
      </c>
      <c r="N13" s="32">
        <v>5</v>
      </c>
      <c r="O13" s="33">
        <v>10</v>
      </c>
      <c r="P13" s="34">
        <v>25</v>
      </c>
      <c r="Q13" s="35">
        <v>60</v>
      </c>
      <c r="R13" s="36">
        <v>100</v>
      </c>
      <c r="W13"/>
      <c r="Z13" s="9"/>
      <c r="AA13" s="3"/>
    </row>
    <row r="14" spans="2:29" x14ac:dyDescent="0.25">
      <c r="B14" s="1" t="s">
        <v>20</v>
      </c>
      <c r="C14" s="37">
        <f>J13</f>
        <v>921.26</v>
      </c>
      <c r="E14" s="1" t="s">
        <v>47</v>
      </c>
      <c r="F14" s="1">
        <f>SUBTOTAL(109,NightTimeDrive[Duration])</f>
        <v>0</v>
      </c>
      <c r="G14" s="1">
        <f>SUBTOTAL(109,NightTimeDrive[Points])</f>
        <v>0</v>
      </c>
      <c r="I14" s="7" t="s">
        <v>37</v>
      </c>
      <c r="J14" s="7" t="s">
        <v>17</v>
      </c>
      <c r="T14"/>
      <c r="U14"/>
      <c r="V14"/>
      <c r="W14"/>
      <c r="X14"/>
    </row>
    <row r="15" spans="2:29" x14ac:dyDescent="0.25">
      <c r="B15" s="1" t="s">
        <v>23</v>
      </c>
      <c r="C15" s="38" t="str">
        <f>_xlfn.CONCAT("Đ",J31*VLOOKUP(C12,O26:P31,2,FALSE)*10)</f>
        <v>Đ6300</v>
      </c>
      <c r="D15" s="4"/>
      <c r="N15" s="68" t="str">
        <f>_xlfn.CONCAT("Distance Points for ",J14)</f>
        <v>Distance Points for Gold</v>
      </c>
      <c r="O15" s="69"/>
      <c r="P15" s="70"/>
      <c r="T15"/>
      <c r="U15"/>
      <c r="V15" s="10"/>
      <c r="W15"/>
      <c r="X15"/>
      <c r="AA15" s="3"/>
      <c r="AB15" s="3"/>
    </row>
    <row r="16" spans="2:29" x14ac:dyDescent="0.25">
      <c r="B16" s="1" t="s">
        <v>48</v>
      </c>
      <c r="C16" s="37">
        <f>MAX(0,C11-C14)</f>
        <v>1528.74</v>
      </c>
      <c r="I16" s="68" t="s">
        <v>38</v>
      </c>
      <c r="J16" s="70"/>
      <c r="N16" s="18" t="s">
        <v>5</v>
      </c>
      <c r="O16" s="18" t="s">
        <v>6</v>
      </c>
      <c r="P16" s="18" t="s">
        <v>2</v>
      </c>
      <c r="T16"/>
      <c r="U16"/>
      <c r="W16"/>
    </row>
    <row r="17" spans="9:17" ht="14.45" customHeight="1" x14ac:dyDescent="0.25">
      <c r="I17" s="18" t="s">
        <v>30</v>
      </c>
      <c r="J17" s="18" t="s">
        <v>31</v>
      </c>
      <c r="N17" s="1" cm="1">
        <f t="array" ref="N17:N23">DistancePointsChristiaan[Lower]</f>
        <v>0</v>
      </c>
      <c r="O17" s="1" cm="1">
        <f t="array" ref="O17:O23">DistancePointsChristiaan[Upper]</f>
        <v>299</v>
      </c>
      <c r="P17" s="1" cm="1">
        <f t="array" ref="P17:P23">_xlfn.XLOOKUP(J14,DistancePointsChristiaan[#Headers],DistancePointsChristiaan[])</f>
        <v>300</v>
      </c>
    </row>
    <row r="18" spans="9:17" x14ac:dyDescent="0.25">
      <c r="I18" s="1" t="s">
        <v>32</v>
      </c>
      <c r="J18" s="1" t="s">
        <v>25</v>
      </c>
      <c r="N18" s="1">
        <v>300</v>
      </c>
      <c r="O18" s="1">
        <v>599</v>
      </c>
      <c r="P18" s="1">
        <v>250</v>
      </c>
    </row>
    <row r="19" spans="9:17" x14ac:dyDescent="0.25">
      <c r="I19" s="1" t="s">
        <v>33</v>
      </c>
      <c r="J19" s="1">
        <v>10</v>
      </c>
      <c r="N19" s="1">
        <v>600</v>
      </c>
      <c r="O19" s="1">
        <v>899</v>
      </c>
      <c r="P19" s="1">
        <v>200</v>
      </c>
    </row>
    <row r="20" spans="9:17" x14ac:dyDescent="0.25">
      <c r="I20" s="1" t="s">
        <v>57</v>
      </c>
      <c r="J20" s="64">
        <v>45740</v>
      </c>
      <c r="N20" s="1">
        <v>900</v>
      </c>
      <c r="O20" s="1">
        <v>1199</v>
      </c>
      <c r="P20" s="1">
        <v>175</v>
      </c>
    </row>
    <row r="21" spans="9:17" x14ac:dyDescent="0.25">
      <c r="N21" s="1">
        <v>1200</v>
      </c>
      <c r="O21" s="1">
        <v>1499</v>
      </c>
      <c r="P21" s="1">
        <v>125</v>
      </c>
    </row>
    <row r="22" spans="9:17" x14ac:dyDescent="0.25">
      <c r="I22" s="68" t="s">
        <v>29</v>
      </c>
      <c r="J22" s="70"/>
      <c r="N22" s="1">
        <v>1500</v>
      </c>
      <c r="O22" s="1">
        <v>1799</v>
      </c>
      <c r="P22" s="1">
        <v>100</v>
      </c>
    </row>
    <row r="23" spans="9:17" x14ac:dyDescent="0.25">
      <c r="I23" s="18" t="s">
        <v>30</v>
      </c>
      <c r="J23" s="18" t="s">
        <v>31</v>
      </c>
      <c r="N23" s="1">
        <v>1800</v>
      </c>
      <c r="O23" s="1">
        <v>1800</v>
      </c>
      <c r="P23" s="1">
        <v>60</v>
      </c>
    </row>
    <row r="24" spans="9:17" x14ac:dyDescent="0.25">
      <c r="I24" s="56" t="s">
        <v>27</v>
      </c>
      <c r="J24" s="59">
        <f>MAX(0,300-NightTimeDrive1114[[#Totals],[Points]])</f>
        <v>300</v>
      </c>
    </row>
    <row r="25" spans="9:17" x14ac:dyDescent="0.25">
      <c r="I25" s="57" t="s">
        <v>34</v>
      </c>
      <c r="J25" s="60" t="str">
        <f>IF( AND( J9&lt;=J24+J19, J9&gt;=J24-J19 ), "Extract", "Calculate")</f>
        <v>Extract</v>
      </c>
      <c r="M25" s="65" t="s">
        <v>3</v>
      </c>
      <c r="N25" s="65"/>
      <c r="O25" s="65"/>
      <c r="P25" s="65"/>
      <c r="Q25" s="65"/>
    </row>
    <row r="26" spans="9:17" x14ac:dyDescent="0.25">
      <c r="I26" s="58" t="str">
        <f ca="1">_xlfn.CONCAT("Days ",TEXT(TODAY(), "mmm yyyy"))</f>
        <v>Days Mar 2025</v>
      </c>
      <c r="J26" s="61">
        <f>DAY(EOMONTH(J20, 0))</f>
        <v>31</v>
      </c>
      <c r="M26" s="18" t="s">
        <v>5</v>
      </c>
      <c r="N26" s="18" t="s">
        <v>6</v>
      </c>
      <c r="O26" s="18" t="s">
        <v>7</v>
      </c>
      <c r="P26" s="18" t="s">
        <v>8</v>
      </c>
      <c r="Q26" s="18" t="s">
        <v>49</v>
      </c>
    </row>
    <row r="27" spans="9:17" x14ac:dyDescent="0.25">
      <c r="I27" s="58" t="s">
        <v>35</v>
      </c>
      <c r="J27" s="61">
        <f>DAY(J20)-1</f>
        <v>23</v>
      </c>
      <c r="M27" s="39">
        <v>0</v>
      </c>
      <c r="N27" s="25">
        <v>799</v>
      </c>
      <c r="O27" s="25" t="s">
        <v>10</v>
      </c>
      <c r="P27" s="40">
        <v>0.05</v>
      </c>
      <c r="Q27" s="41" t="s">
        <v>50</v>
      </c>
    </row>
    <row r="28" spans="9:17" x14ac:dyDescent="0.25">
      <c r="I28" s="57" t="s">
        <v>36</v>
      </c>
      <c r="J28" s="60">
        <f>J26-J27</f>
        <v>8</v>
      </c>
      <c r="M28" s="42">
        <v>800</v>
      </c>
      <c r="N28" s="26">
        <v>1599</v>
      </c>
      <c r="O28" s="26" t="s">
        <v>12</v>
      </c>
      <c r="P28" s="43">
        <v>0.1</v>
      </c>
      <c r="Q28" s="44" t="s">
        <v>51</v>
      </c>
    </row>
    <row r="29" spans="9:17" x14ac:dyDescent="0.25">
      <c r="I29" s="56" t="s">
        <v>39</v>
      </c>
      <c r="J29" s="62">
        <f>C11-VLOOKUP(C11,M27:O31,1,TRUE)</f>
        <v>250</v>
      </c>
      <c r="M29" s="45">
        <v>1600</v>
      </c>
      <c r="N29" s="27">
        <v>2199</v>
      </c>
      <c r="O29" s="27" t="s">
        <v>15</v>
      </c>
      <c r="P29" s="46">
        <v>0.2</v>
      </c>
      <c r="Q29" s="47" t="s">
        <v>52</v>
      </c>
    </row>
    <row r="30" spans="9:17" x14ac:dyDescent="0.25">
      <c r="I30" s="58" t="s">
        <v>40</v>
      </c>
      <c r="J30" s="63">
        <f>MAX(0,C9-J29)</f>
        <v>0</v>
      </c>
      <c r="M30" s="48">
        <v>2200</v>
      </c>
      <c r="N30" s="49">
        <v>2499</v>
      </c>
      <c r="O30" s="49" t="s">
        <v>17</v>
      </c>
      <c r="P30" s="50">
        <v>0.35</v>
      </c>
      <c r="Q30" s="51" t="s">
        <v>53</v>
      </c>
    </row>
    <row r="31" spans="9:17" x14ac:dyDescent="0.25">
      <c r="I31" s="57" t="s">
        <v>41</v>
      </c>
      <c r="J31" s="60" cm="1">
        <f t="array" ref="J31">MAX(_xlfn._xlws.FILTER(_xlfn.ANCHORARRAY(O17),_xlfn.ANCHORARRAY( P17)&gt;=J30))</f>
        <v>1800</v>
      </c>
      <c r="M31" s="52">
        <v>2500</v>
      </c>
      <c r="N31" s="53">
        <v>3000</v>
      </c>
      <c r="O31" s="53" t="s">
        <v>18</v>
      </c>
      <c r="P31" s="54">
        <v>0.5</v>
      </c>
      <c r="Q31" s="55" t="s">
        <v>55</v>
      </c>
    </row>
    <row r="32" spans="9:17" x14ac:dyDescent="0.25">
      <c r="I32" s="11" t="s">
        <v>54</v>
      </c>
      <c r="J32" s="7">
        <f>MIN(C14,C11)</f>
        <v>921.26</v>
      </c>
    </row>
    <row r="33" spans="9:10" x14ac:dyDescent="0.25">
      <c r="I33" s="11" t="s">
        <v>56</v>
      </c>
      <c r="J33" s="7">
        <f>SUM(J7:J10,J12)</f>
        <v>2019</v>
      </c>
    </row>
  </sheetData>
  <protectedRanges>
    <protectedRange sqref="C7:C8 C10 C16 C14" name="RequiresInput_1"/>
    <protectedRange sqref="F6:G6" name="RequiresInput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$J$14="Blue"</formula>
    </cfRule>
    <cfRule type="expression" dxfId="13" priority="7">
      <formula>$J$14="Bronze"</formula>
    </cfRule>
    <cfRule type="expression" dxfId="12" priority="8">
      <formula>$J$14="Silver"</formula>
    </cfRule>
    <cfRule type="expression" dxfId="11" priority="9">
      <formula>$J$14="Gold"</formula>
    </cfRule>
    <cfRule type="expression" dxfId="1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13C58BC-B924-4E29-B64B-0ABFCF12F8E0}"/>
  </dataValidations>
  <pageMargins left="0.7" right="0.7" top="0.75" bottom="0.75" header="0.3" footer="0.3"/>
  <pageSetup scale="32" orientation="portrait"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CC9EA-15F8-43BD-831E-AED1A6EDB8FC}">
  <sheetPr>
    <pageSetUpPr fitToPage="1"/>
  </sheetPr>
  <dimension ref="B2:AC33"/>
  <sheetViews>
    <sheetView tabSelected="1" zoomScaleNormal="100" workbookViewId="0">
      <selection activeCell="J20" sqref="J20"/>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bestFit="1" customWidth="1"/>
    <col min="10" max="10" width="10.42578125" style="2" bestFit="1"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24" width="8.85546875" style="2" customWidth="1"/>
    <col min="25" max="25" width="8.85546875" style="2"/>
    <col min="26" max="26" width="8.85546875" style="2" customWidth="1"/>
    <col min="27" max="16384" width="8.85546875" style="2"/>
  </cols>
  <sheetData>
    <row r="2" spans="2:29" ht="14.45" customHeight="1" x14ac:dyDescent="0.25">
      <c r="B2" s="66" t="str">
        <f ca="1">_xlfn.CONCAT("Drive Summary ",J18, " ",TEXT(TODAY(), "mmmm yyyy"))</f>
        <v>Drive Summary Derrick March 2025</v>
      </c>
      <c r="C2" s="66"/>
      <c r="D2" s="66"/>
      <c r="E2" s="66"/>
      <c r="F2" s="66"/>
      <c r="G2" s="66"/>
      <c r="H2" s="15"/>
    </row>
    <row r="3" spans="2:29" ht="14.45" customHeight="1" x14ac:dyDescent="0.25">
      <c r="B3" s="66"/>
      <c r="C3" s="66"/>
      <c r="D3" s="66"/>
      <c r="E3" s="66"/>
      <c r="F3" s="66"/>
      <c r="G3" s="66"/>
      <c r="H3" s="15"/>
    </row>
    <row r="5" spans="2:29" x14ac:dyDescent="0.25">
      <c r="B5" s="16" t="s">
        <v>30</v>
      </c>
      <c r="C5" s="17" t="s">
        <v>31</v>
      </c>
      <c r="D5"/>
      <c r="E5" s="16" t="str">
        <f ca="1">TEXT(TODAY(), "mmmm yyyy")</f>
        <v>March 2025</v>
      </c>
      <c r="F5" s="16" t="s">
        <v>1</v>
      </c>
      <c r="G5" s="18" t="s">
        <v>2</v>
      </c>
      <c r="I5" s="65" t="s">
        <v>28</v>
      </c>
      <c r="J5" s="65"/>
      <c r="L5" s="65" t="s">
        <v>11</v>
      </c>
      <c r="M5" s="65"/>
      <c r="N5" s="65"/>
      <c r="O5" s="65"/>
      <c r="P5" s="65"/>
      <c r="Q5" s="65"/>
      <c r="R5" s="65"/>
      <c r="AB5" s="67"/>
      <c r="AC5" s="67"/>
    </row>
    <row r="6" spans="2:29" x14ac:dyDescent="0.25">
      <c r="B6" s="1" t="s">
        <v>0</v>
      </c>
      <c r="C6" s="7">
        <f>MIN(1500, IF($C$13,G7,G6+G9))</f>
        <v>1493</v>
      </c>
      <c r="E6" s="1" t="s">
        <v>42</v>
      </c>
      <c r="F6" s="7">
        <v>500</v>
      </c>
      <c r="G6" s="19">
        <f>J7</f>
        <v>1093</v>
      </c>
      <c r="I6" s="18" t="s">
        <v>30</v>
      </c>
      <c r="J6" s="18" t="s">
        <v>31</v>
      </c>
      <c r="L6" s="18" t="s">
        <v>5</v>
      </c>
      <c r="M6" s="18" t="s">
        <v>6</v>
      </c>
      <c r="N6" s="20" t="s">
        <v>10</v>
      </c>
      <c r="O6" s="21" t="s">
        <v>12</v>
      </c>
      <c r="P6" s="22" t="s">
        <v>15</v>
      </c>
      <c r="Q6" s="23" t="s">
        <v>17</v>
      </c>
      <c r="R6" s="24" t="s">
        <v>18</v>
      </c>
      <c r="AA6"/>
      <c r="AB6" s="9"/>
      <c r="AC6" s="9"/>
    </row>
    <row r="7" spans="2:29" x14ac:dyDescent="0.25">
      <c r="B7" s="1" t="s">
        <v>4</v>
      </c>
      <c r="C7" s="7">
        <f>J8</f>
        <v>150</v>
      </c>
      <c r="D7" s="3"/>
      <c r="E7" s="1" t="s">
        <v>43</v>
      </c>
      <c r="F7" s="7">
        <f>F6/J27*J26</f>
        <v>673.91304347826087</v>
      </c>
      <c r="G7" s="7">
        <f>G6/J27*J26</f>
        <v>1473.1739130434783</v>
      </c>
      <c r="I7" s="7" t="s">
        <v>0</v>
      </c>
      <c r="J7" s="7">
        <v>1093</v>
      </c>
      <c r="L7" s="13">
        <v>0</v>
      </c>
      <c r="M7" s="1">
        <v>299</v>
      </c>
      <c r="N7" s="25">
        <v>300</v>
      </c>
      <c r="O7" s="26">
        <v>300</v>
      </c>
      <c r="P7" s="27">
        <v>300</v>
      </c>
      <c r="Q7" s="28">
        <v>300</v>
      </c>
      <c r="R7" s="29">
        <v>300</v>
      </c>
      <c r="AB7" s="3"/>
    </row>
    <row r="8" spans="2:29" ht="15" customHeight="1" x14ac:dyDescent="0.25">
      <c r="B8" s="1" t="s">
        <v>9</v>
      </c>
      <c r="C8" s="7">
        <f>IF( AND( J9&lt;=J24+J19, J9&gt;=J24-J19 ), J9, J24)</f>
        <v>300</v>
      </c>
      <c r="E8" s="1" t="s">
        <v>14</v>
      </c>
      <c r="F8" s="6">
        <f>F6/J27</f>
        <v>21.739130434782609</v>
      </c>
      <c r="G8" s="6">
        <f>G6/J27</f>
        <v>47.521739130434781</v>
      </c>
      <c r="I8" s="30" t="s">
        <v>4</v>
      </c>
      <c r="J8" s="7">
        <v>150</v>
      </c>
      <c r="L8" s="13">
        <v>300</v>
      </c>
      <c r="M8" s="1">
        <v>599</v>
      </c>
      <c r="N8" s="25">
        <v>100</v>
      </c>
      <c r="O8" s="26">
        <v>150</v>
      </c>
      <c r="P8" s="27">
        <v>200</v>
      </c>
      <c r="Q8" s="28">
        <v>250</v>
      </c>
      <c r="R8" s="29">
        <v>300</v>
      </c>
    </row>
    <row r="9" spans="2:29" x14ac:dyDescent="0.25">
      <c r="B9" s="1" t="s">
        <v>11</v>
      </c>
      <c r="C9" s="7">
        <f>VLOOKUP(IF(C13,F7,F6),N17:P23,3)</f>
        <v>250</v>
      </c>
      <c r="E9" s="1" t="s">
        <v>21</v>
      </c>
      <c r="F9" s="7" t="str">
        <f>IF(J31&gt;=M13, "Unlimited", J31-F6)</f>
        <v>Unlimited</v>
      </c>
      <c r="G9" s="7">
        <f>50*J28 + IF(J26&lt;30,(30-J26)*G8,0)</f>
        <v>400</v>
      </c>
      <c r="I9" s="30" t="s">
        <v>27</v>
      </c>
      <c r="J9" s="7">
        <v>300</v>
      </c>
      <c r="L9" s="13">
        <v>600</v>
      </c>
      <c r="M9" s="1">
        <v>899</v>
      </c>
      <c r="N9" s="25">
        <v>75</v>
      </c>
      <c r="O9" s="26">
        <v>100</v>
      </c>
      <c r="P9" s="27">
        <v>150</v>
      </c>
      <c r="Q9" s="28">
        <v>200</v>
      </c>
      <c r="R9" s="29">
        <v>300</v>
      </c>
    </row>
    <row r="10" spans="2:29" x14ac:dyDescent="0.25">
      <c r="B10" s="1" t="s">
        <v>13</v>
      </c>
      <c r="C10" s="7">
        <f>J12</f>
        <v>300</v>
      </c>
      <c r="E10" s="8"/>
      <c r="I10" s="30" t="s">
        <v>11</v>
      </c>
      <c r="J10" s="30">
        <v>250</v>
      </c>
      <c r="L10" s="13">
        <v>900</v>
      </c>
      <c r="M10" s="1">
        <v>1199</v>
      </c>
      <c r="N10" s="25">
        <v>50</v>
      </c>
      <c r="O10" s="26">
        <v>75</v>
      </c>
      <c r="P10" s="27">
        <v>100</v>
      </c>
      <c r="Q10" s="28">
        <v>175</v>
      </c>
      <c r="R10" s="29">
        <v>300</v>
      </c>
    </row>
    <row r="11" spans="2:29" x14ac:dyDescent="0.25">
      <c r="B11" s="1" t="s">
        <v>16</v>
      </c>
      <c r="C11" s="7">
        <f>SUM(C6:C10)</f>
        <v>2493</v>
      </c>
      <c r="E11" s="68" t="s">
        <v>27</v>
      </c>
      <c r="F11" s="69"/>
      <c r="G11" s="70"/>
      <c r="I11" s="30" t="s">
        <v>44</v>
      </c>
      <c r="J11" s="7">
        <v>524</v>
      </c>
      <c r="L11" s="13">
        <v>1200</v>
      </c>
      <c r="M11" s="1">
        <v>1499</v>
      </c>
      <c r="N11" s="25">
        <v>25</v>
      </c>
      <c r="O11" s="26">
        <v>50</v>
      </c>
      <c r="P11" s="27">
        <v>75</v>
      </c>
      <c r="Q11" s="28">
        <v>125</v>
      </c>
      <c r="R11" s="29">
        <v>300</v>
      </c>
      <c r="Z11"/>
    </row>
    <row r="12" spans="2:29" x14ac:dyDescent="0.25">
      <c r="B12" s="1" t="s">
        <v>19</v>
      </c>
      <c r="C12" s="1" t="str">
        <f>VLOOKUP(C11,M27:O31,3,TRUE)</f>
        <v>Gold</v>
      </c>
      <c r="D12" s="3"/>
      <c r="E12" s="16" t="s">
        <v>45</v>
      </c>
      <c r="F12" s="17" t="s">
        <v>46</v>
      </c>
      <c r="G12" s="16" t="s">
        <v>2</v>
      </c>
      <c r="I12" s="30" t="s">
        <v>13</v>
      </c>
      <c r="J12" s="30">
        <v>300</v>
      </c>
      <c r="L12" s="13">
        <v>1500</v>
      </c>
      <c r="M12" s="1">
        <v>1799</v>
      </c>
      <c r="N12" s="25">
        <v>10</v>
      </c>
      <c r="O12" s="26">
        <v>25</v>
      </c>
      <c r="P12" s="27">
        <v>50</v>
      </c>
      <c r="Q12" s="28">
        <v>100</v>
      </c>
      <c r="R12" s="29">
        <v>250</v>
      </c>
      <c r="T12" s="2"/>
      <c r="Z12" s="9"/>
    </row>
    <row r="13" spans="2:29" x14ac:dyDescent="0.25">
      <c r="B13" s="1" t="s">
        <v>24</v>
      </c>
      <c r="C13" s="31" t="b">
        <v>0</v>
      </c>
      <c r="E13" s="1">
        <f>2</f>
        <v>2</v>
      </c>
      <c r="F13" s="1">
        <v>0</v>
      </c>
      <c r="G13" s="1">
        <f>NightTimeDrive11[[#This Row],[Penalty Weight]]*NightTimeDrive11[[#This Row],[Duration]]</f>
        <v>0</v>
      </c>
      <c r="I13" s="30" t="s">
        <v>20</v>
      </c>
      <c r="J13" s="30">
        <v>0</v>
      </c>
      <c r="L13" s="14">
        <v>1800</v>
      </c>
      <c r="M13" s="12">
        <v>1800</v>
      </c>
      <c r="N13" s="32">
        <v>5</v>
      </c>
      <c r="O13" s="33">
        <v>10</v>
      </c>
      <c r="P13" s="34">
        <v>25</v>
      </c>
      <c r="Q13" s="35">
        <v>60</v>
      </c>
      <c r="R13" s="36">
        <v>100</v>
      </c>
      <c r="W13"/>
      <c r="Z13" s="9"/>
      <c r="AA13" s="3"/>
    </row>
    <row r="14" spans="2:29" x14ac:dyDescent="0.25">
      <c r="B14" s="1" t="s">
        <v>20</v>
      </c>
      <c r="C14" s="37">
        <f>J13</f>
        <v>0</v>
      </c>
      <c r="E14" s="1" t="s">
        <v>47</v>
      </c>
      <c r="F14" s="1">
        <f>SUBTOTAL(109,NightTimeDrive11[Duration])</f>
        <v>0</v>
      </c>
      <c r="G14" s="1">
        <f>SUBTOTAL(109,NightTimeDrive11[Points])</f>
        <v>0</v>
      </c>
      <c r="I14" s="7" t="s">
        <v>37</v>
      </c>
      <c r="J14" s="7" t="s">
        <v>17</v>
      </c>
      <c r="T14"/>
      <c r="U14"/>
      <c r="V14"/>
      <c r="W14"/>
      <c r="X14"/>
    </row>
    <row r="15" spans="2:29" x14ac:dyDescent="0.25">
      <c r="B15" s="1" t="s">
        <v>23</v>
      </c>
      <c r="C15" s="38" t="str">
        <f>_xlfn.CONCAT("Đ",J31*VLOOKUP(C12,O26:P31,2,FALSE)*10)</f>
        <v>Đ6300</v>
      </c>
      <c r="D15" s="4"/>
      <c r="N15" s="68" t="str">
        <f>_xlfn.CONCAT("Distance Points for ",J14)</f>
        <v>Distance Points for Gold</v>
      </c>
      <c r="O15" s="69"/>
      <c r="P15" s="70"/>
      <c r="T15"/>
      <c r="U15"/>
      <c r="V15" s="10"/>
      <c r="W15"/>
      <c r="X15"/>
      <c r="AA15" s="3"/>
      <c r="AB15" s="3"/>
    </row>
    <row r="16" spans="2:29" x14ac:dyDescent="0.25">
      <c r="B16" s="1" t="s">
        <v>48</v>
      </c>
      <c r="C16" s="37">
        <f>MAX(0,C11-C14)</f>
        <v>2493</v>
      </c>
      <c r="I16" s="65" t="s">
        <v>38</v>
      </c>
      <c r="J16" s="65"/>
      <c r="N16" s="18" t="s">
        <v>5</v>
      </c>
      <c r="O16" s="18" t="s">
        <v>6</v>
      </c>
      <c r="P16" s="18" t="s">
        <v>2</v>
      </c>
      <c r="T16"/>
      <c r="U16"/>
      <c r="W16"/>
    </row>
    <row r="17" spans="9:17" ht="14.45" customHeight="1" x14ac:dyDescent="0.25">
      <c r="I17" s="18" t="s">
        <v>30</v>
      </c>
      <c r="J17" s="18" t="s">
        <v>31</v>
      </c>
      <c r="N17" s="1" cm="1">
        <f t="array" ref="N17:N23">DistancePointsDerrick[Lower]</f>
        <v>0</v>
      </c>
      <c r="O17" s="1" cm="1">
        <f t="array" ref="O17:O23">DistancePointsDerrick[Upper]</f>
        <v>299</v>
      </c>
      <c r="P17" s="1" cm="1">
        <f t="array" ref="P17:P23">_xlfn.XLOOKUP(J14,DistancePointsDerrick[#Headers],DistancePointsDerrick[])</f>
        <v>300</v>
      </c>
    </row>
    <row r="18" spans="9:17" x14ac:dyDescent="0.25">
      <c r="I18" s="1" t="s">
        <v>32</v>
      </c>
      <c r="J18" s="1" t="s">
        <v>26</v>
      </c>
      <c r="N18" s="1">
        <v>300</v>
      </c>
      <c r="O18" s="1">
        <v>599</v>
      </c>
      <c r="P18" s="1">
        <v>250</v>
      </c>
    </row>
    <row r="19" spans="9:17" x14ac:dyDescent="0.25">
      <c r="I19" s="1" t="s">
        <v>33</v>
      </c>
      <c r="J19" s="1">
        <v>10</v>
      </c>
      <c r="N19" s="1">
        <v>600</v>
      </c>
      <c r="O19" s="1">
        <v>899</v>
      </c>
      <c r="P19" s="1">
        <v>200</v>
      </c>
    </row>
    <row r="20" spans="9:17" x14ac:dyDescent="0.25">
      <c r="I20" s="1" t="s">
        <v>57</v>
      </c>
      <c r="J20" s="64">
        <v>45740</v>
      </c>
      <c r="N20" s="1">
        <v>900</v>
      </c>
      <c r="O20" s="1">
        <v>1199</v>
      </c>
      <c r="P20" s="1">
        <v>175</v>
      </c>
    </row>
    <row r="21" spans="9:17" x14ac:dyDescent="0.25">
      <c r="N21" s="1">
        <v>1200</v>
      </c>
      <c r="O21" s="1">
        <v>1499</v>
      </c>
      <c r="P21" s="1">
        <v>125</v>
      </c>
    </row>
    <row r="22" spans="9:17" x14ac:dyDescent="0.25">
      <c r="I22" s="65" t="s">
        <v>29</v>
      </c>
      <c r="J22" s="65"/>
      <c r="N22" s="1">
        <v>1500</v>
      </c>
      <c r="O22" s="1">
        <v>1799</v>
      </c>
      <c r="P22" s="1">
        <v>100</v>
      </c>
    </row>
    <row r="23" spans="9:17" x14ac:dyDescent="0.25">
      <c r="I23" s="18" t="s">
        <v>30</v>
      </c>
      <c r="J23" s="18" t="s">
        <v>31</v>
      </c>
      <c r="N23" s="1">
        <v>1800</v>
      </c>
      <c r="O23" s="1">
        <v>1800</v>
      </c>
      <c r="P23" s="1">
        <v>60</v>
      </c>
    </row>
    <row r="24" spans="9:17" x14ac:dyDescent="0.25">
      <c r="I24" s="56" t="s">
        <v>27</v>
      </c>
      <c r="J24" s="59">
        <f>MAX(0,300-NightTimeDrive1114[[#Totals],[Points]])</f>
        <v>300</v>
      </c>
    </row>
    <row r="25" spans="9:17" x14ac:dyDescent="0.25">
      <c r="I25" s="57" t="s">
        <v>34</v>
      </c>
      <c r="J25" s="60" t="str">
        <f>IF( AND( J9&lt;=J24+J19, J9&gt;=J24-J19 ), "Extract", "Calculate")</f>
        <v>Extract</v>
      </c>
      <c r="M25" s="65" t="s">
        <v>3</v>
      </c>
      <c r="N25" s="65"/>
      <c r="O25" s="65"/>
      <c r="P25" s="65"/>
      <c r="Q25" s="65"/>
    </row>
    <row r="26" spans="9:17" x14ac:dyDescent="0.25">
      <c r="I26" s="58" t="str">
        <f ca="1">_xlfn.CONCAT("Days ",TEXT(TODAY(), "mmm yyyy"))</f>
        <v>Days Mar 2025</v>
      </c>
      <c r="J26" s="61">
        <f>DAY(EOMONTH(J20, 0))</f>
        <v>31</v>
      </c>
      <c r="M26" s="18" t="s">
        <v>5</v>
      </c>
      <c r="N26" s="18" t="s">
        <v>6</v>
      </c>
      <c r="O26" s="18" t="s">
        <v>7</v>
      </c>
      <c r="P26" s="18" t="s">
        <v>8</v>
      </c>
      <c r="Q26" s="18" t="s">
        <v>49</v>
      </c>
    </row>
    <row r="27" spans="9:17" x14ac:dyDescent="0.25">
      <c r="I27" s="58" t="s">
        <v>35</v>
      </c>
      <c r="J27" s="61">
        <f>DAY(J20)-1</f>
        <v>23</v>
      </c>
      <c r="M27" s="39">
        <v>0</v>
      </c>
      <c r="N27" s="25">
        <v>799</v>
      </c>
      <c r="O27" s="25" t="s">
        <v>10</v>
      </c>
      <c r="P27" s="40">
        <v>0.05</v>
      </c>
      <c r="Q27" s="41" t="s">
        <v>50</v>
      </c>
    </row>
    <row r="28" spans="9:17" x14ac:dyDescent="0.25">
      <c r="I28" s="57" t="s">
        <v>36</v>
      </c>
      <c r="J28" s="60">
        <f>J26-J27</f>
        <v>8</v>
      </c>
      <c r="M28" s="42">
        <v>800</v>
      </c>
      <c r="N28" s="26">
        <v>1599</v>
      </c>
      <c r="O28" s="26" t="s">
        <v>12</v>
      </c>
      <c r="P28" s="43">
        <v>0.1</v>
      </c>
      <c r="Q28" s="44" t="s">
        <v>51</v>
      </c>
    </row>
    <row r="29" spans="9:17" x14ac:dyDescent="0.25">
      <c r="I29" s="56" t="s">
        <v>39</v>
      </c>
      <c r="J29" s="62">
        <f>C11-VLOOKUP(C11,M27:O31,1,TRUE)</f>
        <v>293</v>
      </c>
      <c r="M29" s="45">
        <v>1600</v>
      </c>
      <c r="N29" s="27">
        <v>2199</v>
      </c>
      <c r="O29" s="27" t="s">
        <v>15</v>
      </c>
      <c r="P29" s="46">
        <v>0.2</v>
      </c>
      <c r="Q29" s="47" t="s">
        <v>52</v>
      </c>
    </row>
    <row r="30" spans="9:17" x14ac:dyDescent="0.25">
      <c r="I30" s="58" t="s">
        <v>40</v>
      </c>
      <c r="J30" s="63">
        <f>MAX(0,C9-J29)</f>
        <v>0</v>
      </c>
      <c r="M30" s="48">
        <v>2200</v>
      </c>
      <c r="N30" s="49">
        <v>2499</v>
      </c>
      <c r="O30" s="49" t="s">
        <v>17</v>
      </c>
      <c r="P30" s="50">
        <v>0.35</v>
      </c>
      <c r="Q30" s="51" t="s">
        <v>53</v>
      </c>
    </row>
    <row r="31" spans="9:17" x14ac:dyDescent="0.25">
      <c r="I31" s="57" t="s">
        <v>41</v>
      </c>
      <c r="J31" s="60" cm="1">
        <f t="array" ref="J31">MAX(_xlfn._xlws.FILTER(_xlfn.ANCHORARRAY(O17),_xlfn.ANCHORARRAY( P17)&gt;=J30))</f>
        <v>1800</v>
      </c>
      <c r="M31" s="52">
        <v>2500</v>
      </c>
      <c r="N31" s="53">
        <v>3000</v>
      </c>
      <c r="O31" s="53" t="s">
        <v>18</v>
      </c>
      <c r="P31" s="54">
        <v>0.5</v>
      </c>
      <c r="Q31" s="55" t="s">
        <v>55</v>
      </c>
    </row>
    <row r="32" spans="9:17" x14ac:dyDescent="0.25">
      <c r="I32" s="11" t="s">
        <v>54</v>
      </c>
      <c r="J32" s="7">
        <f>MIN(C14,C11)</f>
        <v>0</v>
      </c>
    </row>
    <row r="33" spans="9:10" x14ac:dyDescent="0.25">
      <c r="I33" s="11" t="s">
        <v>56</v>
      </c>
      <c r="J33" s="7">
        <f>SUM(J7:J10,J12)</f>
        <v>2093</v>
      </c>
    </row>
  </sheetData>
  <protectedRanges>
    <protectedRange sqref="C7:C8 C10 C16 C14" name="RequiresInput_1"/>
    <protectedRange sqref="F6:G6" name="RequiresInput_1_1_1"/>
  </protectedRanges>
  <dataConsolidate/>
  <mergeCells count="9">
    <mergeCell ref="M25:Q25"/>
    <mergeCell ref="B2:G3"/>
    <mergeCell ref="I5:J5"/>
    <mergeCell ref="L5:R5"/>
    <mergeCell ref="AB5:AC5"/>
    <mergeCell ref="E11:G11"/>
    <mergeCell ref="N15:P15"/>
    <mergeCell ref="I16:J16"/>
    <mergeCell ref="I22:J22"/>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$J$14="Blue"</formula>
    </cfRule>
    <cfRule type="expression" dxfId="3" priority="7">
      <formula>$J$14="Bronze"</formula>
    </cfRule>
    <cfRule type="expression" dxfId="2" priority="8">
      <formula>$J$14="Silver"</formula>
    </cfRule>
    <cfRule type="expression" dxfId="1" priority="9">
      <formula>$J$14="Gold"</formula>
    </cfRule>
    <cfRule type="expression" dxfId="0" priority="10">
      <formula>$J$14="Diamond"</formula>
    </cfRule>
  </conditionalFormatting>
  <dataValidations count="1">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8E72BB58-1177-473B-BF7A-A98C86835AA3}"/>
  </dataValidations>
  <pageMargins left="0.7" right="0.7" top="0.75" bottom="0.75" header="0.3" footer="0.3"/>
  <pageSetup scale="32" orientation="portrait" r:id="rId1"/>
  <tableParts count="3">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E3C97B-B9F0-403A-BF5F-014AEC3C86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Christiaan Oberholzer</dc:creator>
  <cp:keywords/>
  <dc:description/>
  <cp:lastModifiedBy>Stefan Oberholzer</cp:lastModifiedBy>
  <cp:revision/>
  <cp:lastPrinted>2024-09-30T18:20:25Z</cp:lastPrinted>
  <dcterms:created xsi:type="dcterms:W3CDTF">2023-09-18T15:21:34Z</dcterms:created>
  <dcterms:modified xsi:type="dcterms:W3CDTF">2025-03-25T07:23:00Z</dcterms:modified>
  <cp:category/>
  <cp:contentStatus/>
</cp:coreProperties>
</file>