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https://d.docs.live.net/2fd3bccd6dbaea2b/GitGud/ExcelDriveSummary/"/>
    </mc:Choice>
  </mc:AlternateContent>
  <xr:revisionPtr revIDLastSave="2211" documentId="13_ncr:1_{F7269803-218D-4718-B04F-3CDC29A5C001}" xr6:coauthVersionLast="47" xr6:coauthVersionMax="47" xr10:uidLastSave="{D36DBDF7-FF18-40C4-9968-C5193E9E4B87}"/>
  <bookViews>
    <workbookView xWindow="-120" yWindow="-120" windowWidth="20730" windowHeight="11040" xr2:uid="{B12B6E18-E294-4985-A977-422328ADD677}"/>
  </bookViews>
  <sheets>
    <sheet name="DEV" sheetId="9" r:id="rId1"/>
  </sheets>
  <definedNames>
    <definedName name="Username" localSheetId="0">DEV!$J$23</definedName>
    <definedName name="Userna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3" i="9" l="1"/>
  <c r="J27" i="9"/>
  <c r="J26" i="9"/>
  <c r="I26" i="9"/>
  <c r="P17" i="9" a="1"/>
  <c r="P17" i="9" s="1"/>
  <c r="O17" i="9" a="1"/>
  <c r="O17" i="9" s="1"/>
  <c r="N17" i="9" a="1"/>
  <c r="N17" i="9" s="1"/>
  <c r="N15" i="9"/>
  <c r="F14" i="9"/>
  <c r="C14" i="9"/>
  <c r="G13" i="9"/>
  <c r="G14" i="9" s="1"/>
  <c r="J24" i="9" s="1"/>
  <c r="E13" i="9"/>
  <c r="C10" i="9"/>
  <c r="C7" i="9"/>
  <c r="G6" i="9"/>
  <c r="F6" i="9"/>
  <c r="E5" i="9"/>
  <c r="B2" i="9"/>
  <c r="G7" i="9" l="1"/>
  <c r="J28" i="9"/>
  <c r="G9" i="9" s="1"/>
  <c r="C9" i="9"/>
  <c r="F7" i="9"/>
  <c r="J25" i="9"/>
  <c r="C8" i="9"/>
  <c r="C6" i="9"/>
  <c r="G8" i="9"/>
  <c r="F8" i="9"/>
  <c r="C11" i="9" l="1"/>
  <c r="C12" i="9" l="1"/>
  <c r="J29" i="9"/>
  <c r="J30" i="9" s="1"/>
  <c r="J31" i="9" s="1" a="1"/>
  <c r="J31" i="9" s="1"/>
  <c r="F9" i="9" s="1"/>
  <c r="C16" i="9"/>
  <c r="J32" i="9"/>
  <c r="C15"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<sst xmlns="http://schemas.openxmlformats.org/spreadsheetml/2006/main" count="82" uniqueCount="56">
  <si>
    <t>Fuel Cash Back in Miles</t>
  </si>
  <si>
    <t>Qualifying Fuel Spend</t>
  </si>
  <si>
    <t>Vitality Drive Status</t>
  </si>
  <si>
    <t>Diamond</t>
  </si>
  <si>
    <t>Accumulated Points</t>
  </si>
  <si>
    <t>Gold</t>
  </si>
  <si>
    <t>MultiPoint Check</t>
  </si>
  <si>
    <t>Silver</t>
  </si>
  <si>
    <t>Distance Points</t>
  </si>
  <si>
    <t>Bronze</t>
  </si>
  <si>
    <t>Night Time Driving</t>
  </si>
  <si>
    <t>Blue</t>
  </si>
  <si>
    <t>Claim Free Years</t>
  </si>
  <si>
    <t>Fuel %</t>
  </si>
  <si>
    <t>Category</t>
  </si>
  <si>
    <t>Points</t>
  </si>
  <si>
    <t>Upper</t>
  </si>
  <si>
    <t>Lower</t>
  </si>
  <si>
    <t>Driving Profile</t>
  </si>
  <si>
    <t>Distance</t>
  </si>
  <si>
    <t>Predict Status</t>
  </si>
  <si>
    <t>Remaining</t>
  </si>
  <si>
    <t>Driving Status</t>
  </si>
  <si>
    <t>Daily Average</t>
  </si>
  <si>
    <t>Night Time Drive</t>
  </si>
  <si>
    <t>Extracted Data</t>
  </si>
  <si>
    <t>Value</t>
  </si>
  <si>
    <t>Calculated Data</t>
  </si>
  <si>
    <t>Stefan</t>
  </si>
  <si>
    <t>Username</t>
  </si>
  <si>
    <t>Description</t>
  </si>
  <si>
    <t>Night Extr or Calc</t>
  </si>
  <si>
    <t>Night Pts Tolerance</t>
  </si>
  <si>
    <t>Days Past</t>
  </si>
  <si>
    <t>Days Left</t>
  </si>
  <si>
    <t>Last Month's Status</t>
  </si>
  <si>
    <t>Distance Upper Limit</t>
  </si>
  <si>
    <t>Config Data</t>
  </si>
  <si>
    <t>Rem Dist Points</t>
  </si>
  <si>
    <t>Rem - Dist</t>
  </si>
  <si>
    <t>#D9B3FF</t>
  </si>
  <si>
    <t>#FFD966</t>
  </si>
  <si>
    <t>#DBDBDB</t>
  </si>
  <si>
    <t>#F4B084</t>
  </si>
  <si>
    <t>#8EA9DB</t>
  </si>
  <si>
    <t>Color</t>
  </si>
  <si>
    <t>Remaining Fuel Spend</t>
  </si>
  <si>
    <t>End of Month</t>
  </si>
  <si>
    <t>Month to Date</t>
  </si>
  <si>
    <t>Duration</t>
  </si>
  <si>
    <t>Distance Kilometers</t>
  </si>
  <si>
    <t>Total</t>
  </si>
  <si>
    <t>Penalty Weight</t>
  </si>
  <si>
    <t>Min Fuel or Points</t>
  </si>
  <si>
    <t>Report Date</t>
  </si>
  <si>
    <t>Current Drive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</si>
</sst>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R-1C09]#,##0.00"/>
    <numFmt numFmtId="166" formatCode="&quot;R&quot;#,##0"/>
    <numFmt numFmtId="167" formatCode="[$£-809]#,##0"/>
  </numFmts>
  <fonts count="7"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11"/>
      <color theme="0"/>
      <name val="Calibri"/>
      <family val="2"/>
      <scheme val="minor"/>
    </font>
    <font>
      <sz val="10"/>
      <color theme="1"/>
      <name val="72 Monospace"/>
      <family val="3"/>
    </font>
    <font>
      <sz val="20"/>
      <color theme="1"/>
      <name val="Calibri"/>
      <family val="2"/>
      <scheme val="minor"/>
    </font>
  </fonts>
  <fills count="10">
    <fill>
      <patternFill patternType="none"/>
    </fill>
    <fill>
      <patternFill patternType="gray125"/>
    </fill>
    <fill>
      <patternFill patternType="solid">
        <fgColor theme="7"/>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39994506668294322"/>
        <bgColor indexed="64"/>
      </patternFill>
    </fill>
    <fill>
      <patternFill patternType="solid">
        <fgColor theme="7" tint="0.39994506668294322"/>
        <bgColor indexed="64"/>
      </patternFill>
    </fill>
    <fill>
      <patternFill patternType="solid">
        <fgColor rgb="FFD9B3FF"/>
        <bgColor indexed="64"/>
      </patternFill>
    </fill>
    <fill>
      <patternFill patternType="solid">
        <fgColor theme="6" tint="0.59996337778862885"/>
        <bgColor indexed="64"/>
      </patternFill>
    </fill>
    <fill>
      <patternFill patternType="solid">
        <fgColor theme="2" tint="-9.9978637043366805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s>
  <cellStyleXfs count="9">
    <xf numFmtId="0" fontId="0" fillId="0" borderId="0"/>
    <xf numFmtId="0" fontId="1" fillId="5" borderId="1" applyNumberFormat="0" applyBorder="0" applyAlignment="0" applyProtection="0">
      <alignment horizontal="center" vertical="center"/>
    </xf>
    <xf numFmtId="0" fontId="1" fillId="8" borderId="1" applyNumberFormat="0" applyBorder="0" applyAlignment="0" applyProtection="0">
      <alignment horizontal="center" vertical="center"/>
    </xf>
    <xf numFmtId="0" fontId="4" fillId="2" borderId="0" applyNumberFormat="0" applyBorder="0" applyAlignment="0" applyProtection="0"/>
    <xf numFmtId="0" fontId="1" fillId="7" borderId="1" applyNumberFormat="0" applyFont="0" applyBorder="0" applyAlignment="0" applyProtection="0">
      <alignment horizontal="center" vertical="center"/>
    </xf>
    <xf numFmtId="0" fontId="1" fillId="6" borderId="1" applyNumberFormat="0" applyFont="0" applyBorder="0" applyAlignment="0" applyProtection="0">
      <alignment horizontal="center" vertical="center"/>
    </xf>
    <xf numFmtId="0" fontId="1" fillId="4" borderId="1" applyNumberFormat="0" applyFont="0" applyBorder="0" applyAlignment="0" applyProtection="0">
      <alignment horizontal="center" vertical="center"/>
    </xf>
    <xf numFmtId="0" fontId="1" fillId="3" borderId="0" applyNumberFormat="0" applyFont="0" applyBorder="0" applyAlignment="0" applyProtection="0">
      <alignment horizontal="center" vertical="center"/>
    </xf>
    <xf numFmtId="0" fontId="1" fillId="8" borderId="0" applyNumberFormat="0" applyFont="0" applyBorder="0" applyAlignment="0" applyProtection="0"/>
  </cellStyleXfs>
  <cellXfs count="7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1" fillId="7" borderId="8" xfId="4" applyBorder="1" applyAlignment="1">
      <alignment horizontal="center" vertical="center"/>
    </xf>
    <xf numFmtId="0" fontId="1" fillId="7" borderId="2" xfId="4" applyBorder="1" applyAlignment="1">
      <alignment horizontal="center" vertical="center"/>
    </xf>
    <xf numFmtId="0" fontId="1" fillId="7" borderId="6" xfId="4" applyBorder="1" applyAlignment="1">
      <alignment horizontal="center" vertical="center"/>
    </xf>
    <xf numFmtId="0" fontId="1" fillId="6" borderId="1" xfId="5" applyBorder="1" applyAlignment="1">
      <alignment horizontal="center" vertical="center"/>
    </xf>
    <xf numFmtId="9" fontId="1" fillId="6" borderId="1" xfId="5" applyNumberFormat="1" applyBorder="1" applyAlignment="1">
      <alignment horizontal="center" vertical="center"/>
    </xf>
    <xf numFmtId="0" fontId="0" fillId="3" borderId="1" xfId="7" applyFont="1" applyBorder="1" applyAlignment="1">
      <alignment horizontal="center" vertical="center"/>
    </xf>
    <xf numFmtId="9" fontId="0" fillId="3" borderId="1" xfId="7" applyNumberFormat="1" applyFont="1" applyBorder="1" applyAlignment="1">
      <alignment horizontal="center" vertical="center"/>
    </xf>
    <xf numFmtId="0" fontId="0" fillId="4" borderId="1" xfId="6" applyFont="1" applyBorder="1" applyAlignment="1">
      <alignment horizontal="center" vertical="center"/>
    </xf>
    <xf numFmtId="9" fontId="0" fillId="4" borderId="1" xfId="6" applyNumberFormat="1" applyFont="1" applyBorder="1" applyAlignment="1">
      <alignment horizontal="center" vertical="center"/>
    </xf>
    <xf numFmtId="0" fontId="0" fillId="8" borderId="1" xfId="8" applyFont="1" applyBorder="1" applyAlignment="1">
      <alignment horizontal="center" vertical="center"/>
    </xf>
    <xf numFmtId="9" fontId="0" fillId="8" borderId="1" xfId="8" applyNumberFormat="1" applyFont="1" applyBorder="1" applyAlignment="1">
      <alignment horizontal="center" vertical="center"/>
    </xf>
    <xf numFmtId="0" fontId="0" fillId="6" borderId="7" xfId="5" applyFont="1" applyBorder="1" applyAlignment="1">
      <alignment horizontal="center" vertical="center"/>
    </xf>
    <xf numFmtId="0" fontId="0" fillId="6" borderId="1" xfId="5" applyFont="1" applyBorder="1" applyAlignment="1">
      <alignment horizontal="center" vertical="center"/>
    </xf>
    <xf numFmtId="0" fontId="0" fillId="6" borderId="5" xfId="5" applyFont="1" applyBorder="1" applyAlignment="1">
      <alignment horizontal="center" vertical="center"/>
    </xf>
    <xf numFmtId="0" fontId="0" fillId="8" borderId="7" xfId="8" applyFont="1" applyBorder="1" applyAlignment="1">
      <alignment horizontal="center" vertical="center"/>
    </xf>
    <xf numFmtId="0" fontId="0" fillId="4" borderId="7" xfId="6" applyFont="1" applyBorder="1" applyAlignment="1">
      <alignment horizontal="center" vertical="center"/>
    </xf>
    <xf numFmtId="0" fontId="0" fillId="4" borderId="5" xfId="6" applyFont="1" applyBorder="1" applyAlignment="1">
      <alignment horizontal="center" vertical="center"/>
    </xf>
    <xf numFmtId="0" fontId="0" fillId="8" borderId="5" xfId="8" applyFont="1" applyBorder="1" applyAlignment="1">
      <alignment horizontal="center" vertical="center"/>
    </xf>
    <xf numFmtId="0" fontId="0" fillId="3" borderId="7" xfId="7" applyFont="1" applyBorder="1" applyAlignment="1">
      <alignment horizontal="center" vertical="center"/>
    </xf>
    <xf numFmtId="0" fontId="0" fillId="3" borderId="5" xfId="7" applyFont="1" applyBorder="1" applyAlignment="1">
      <alignment horizontal="center" vertical="center"/>
    </xf>
    <xf numFmtId="166" fontId="0" fillId="0" borderId="1" xfId="0" applyNumberFormat="1" applyBorder="1" applyAlignment="1">
      <alignment horizontal="center" vertical="center"/>
    </xf>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1" fontId="0" fillId="0" borderId="5" xfId="0" applyNumberFormat="1" applyBorder="1" applyAlignment="1">
      <alignment horizontal="center" vertical="center"/>
    </xf>
    <xf numFmtId="0" fontId="3" fillId="0" borderId="0" xfId="0" applyFont="1" applyAlignment="1">
      <alignment vertical="center"/>
    </xf>
    <xf numFmtId="0" fontId="0" fillId="3" borderId="3" xfId="7" applyFont="1" applyBorder="1" applyAlignment="1">
      <alignment horizontal="center" vertical="center"/>
    </xf>
    <xf numFmtId="0" fontId="0" fillId="4" borderId="3" xfId="6" applyFont="1" applyBorder="1" applyAlignment="1">
      <alignment horizontal="center" vertical="center"/>
    </xf>
    <xf numFmtId="0" fontId="0" fillId="8" borderId="3" xfId="8" applyFont="1" applyBorder="1" applyAlignment="1">
      <alignment horizontal="center" vertical="center"/>
    </xf>
    <xf numFmtId="0" fontId="1" fillId="6" borderId="3" xfId="5" applyBorder="1" applyAlignment="1">
      <alignment horizontal="center" vertical="center"/>
    </xf>
    <xf numFmtId="0" fontId="1" fillId="7" borderId="9" xfId="4" applyBorder="1" applyAlignment="1">
      <alignment horizontal="center" vertical="center"/>
    </xf>
    <xf numFmtId="0" fontId="1" fillId="7" borderId="5" xfId="4" applyBorder="1" applyAlignment="1">
      <alignment horizontal="center" vertical="center"/>
    </xf>
    <xf numFmtId="9" fontId="1" fillId="7" borderId="5" xfId="4" applyNumberFormat="1" applyBorder="1" applyAlignment="1">
      <alignment horizontal="center" vertical="center"/>
    </xf>
    <xf numFmtId="9" fontId="5" fillId="3" borderId="2" xfId="7" applyNumberFormat="1" applyFont="1" applyBorder="1" applyAlignment="1">
      <alignment horizontal="center" vertical="center"/>
    </xf>
    <xf numFmtId="9" fontId="5" fillId="4" borderId="2" xfId="6" applyNumberFormat="1" applyFont="1" applyBorder="1" applyAlignment="1">
      <alignment horizontal="center" vertical="center"/>
    </xf>
    <xf numFmtId="9" fontId="5" fillId="8" borderId="2" xfId="8" applyNumberFormat="1" applyFont="1" applyBorder="1" applyAlignment="1">
      <alignment horizontal="center" vertical="center"/>
    </xf>
    <xf numFmtId="9" fontId="5" fillId="6" borderId="2" xfId="5" applyNumberFormat="1" applyFont="1" applyBorder="1" applyAlignment="1">
      <alignment horizontal="center" vertical="center"/>
    </xf>
    <xf numFmtId="9" fontId="5" fillId="7" borderId="6" xfId="4" applyNumberFormat="1" applyFont="1" applyBorder="1" applyAlignment="1">
      <alignment horizontal="center" vertical="center"/>
    </xf>
    <xf numFmtId="167" fontId="0" fillId="0" borderId="1" xfId="0" applyNumberFormat="1" applyBorder="1" applyAlignment="1">
      <alignment horizontal="center" vertical="center"/>
    </xf>
    <xf numFmtId="1" fontId="0" fillId="0" borderId="7" xfId="0" applyNumberFormat="1" applyBorder="1" applyAlignment="1">
      <alignment horizontal="center" vertical="center"/>
    </xf>
    <xf numFmtId="0" fontId="0" fillId="9" borderId="6" xfId="0" applyFill="1" applyBorder="1" applyAlignment="1">
      <alignment horizontal="center" vertical="center"/>
    </xf>
    <xf numFmtId="0" fontId="0" fillId="9" borderId="5" xfId="0" applyFill="1" applyBorder="1" applyAlignment="1">
      <alignment horizontal="center" vertical="center"/>
    </xf>
    <xf numFmtId="0" fontId="0" fillId="9" borderId="1" xfId="0" applyFill="1" applyBorder="1" applyAlignment="1">
      <alignment horizontal="center" vertical="center"/>
    </xf>
    <xf numFmtId="14" fontId="0" fillId="0" borderId="1" xfId="0" applyNumberForma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 fontId="0" fillId="0" borderId="11" xfId="0" applyNumberFormat="1" applyBorder="1" applyAlignment="1">
      <alignment horizontal="center" vertical="center"/>
    </xf>
    <xf numFmtId="1" fontId="0" fillId="0" borderId="15" xfId="0" applyNumberFormat="1" applyBorder="1" applyAlignment="1">
      <alignment horizontal="center" vertical="center"/>
    </xf>
    <xf numFmtId="0" fontId="0" fillId="9" borderId="1" xfId="0"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0" fillId="9" borderId="2" xfId="0" applyFill="1" applyBorder="1" applyAlignment="1">
      <alignment horizontal="center" vertical="center"/>
    </xf>
    <xf numFmtId="0" fontId="0" fillId="9" borderId="4" xfId="0" applyFill="1" applyBorder="1" applyAlignment="1">
      <alignment horizontal="center" vertical="center"/>
    </xf>
    <xf numFmtId="0" fontId="0" fillId="9" borderId="3" xfId="0" applyFill="1" applyBorder="1" applyAlignment="1">
      <alignment horizontal="center" vertical="center"/>
    </xf>
  </cellXfs>
  <cellStyles count="9">
    <cellStyle name="Accent4" xfId="3" builtinId="41" customBuiltin="1"/>
    <cellStyle name="Blue" xfId="7" xr:uid="{E912B0DD-4F25-429A-A7CF-28E17D13FF3E}"/>
    <cellStyle name="Bronze" xfId="6" xr:uid="{FB75478B-E7AD-4FC7-BB0B-4D67AC02DAE5}"/>
    <cellStyle name="Calculation" xfId="2" builtinId="22" customBuiltin="1"/>
    <cellStyle name="Diamond" xfId="4" xr:uid="{EA3E02B0-354F-4516-99B3-F8757878F5B1}"/>
    <cellStyle name="Gold" xfId="5" xr:uid="{E00110AA-F906-45FF-A4A7-EFA664692B0D}"/>
    <cellStyle name="Normal" xfId="0" builtinId="0"/>
    <cellStyle name="Percent" xfId="1" builtinId="5" customBuiltin="1"/>
    <cellStyle name="Silver" xfId="8" xr:uid="{680A1B4F-1213-4B73-8DCC-846FF00C6411}"/>
  </cellStyles>
  <dxfs count="45">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s>
  <tableStyles count="2" defaultTableStyle="TableStyleMedium2" defaultPivotStyle="PivotStyleLight16">
    <tableStyle name="Table Style 1" pivot="0" count="1" xr9:uid="{6816E4B5-3A62-4F29-9CCF-2FA42321C8A7}">
      <tableStyleElement type="wholeTable" dxfId="44"/>
    </tableStyle>
    <tableStyle name="Table Style 1 2" pivot="0" count="1" xr9:uid="{47E29925-DA33-445C-86BD-CDD11250CDC2}">
      <tableStyleElement type="wholeTable" dxfId="43"/>
    </tableStyle>
  </tableStyles>
  <colors>
    <mruColors>
      <color rgb="FFFFD966"/>
      <color rgb="FFDBDBDB"/>
      <color rgb="FFF4B084"/>
      <color rgb="FF8EA9DB"/>
      <color rgb="FFD9B3FF"/>
      <color rgb="FFFED9FF"/>
      <color rgb="FFCC99FF"/>
      <color rgb="FFEDC1FF"/>
      <color rgb="FFE6D7FD"/>
      <color rgb="FFC29D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1/relationships/FeaturePropertyBag" Target="featurePropertyBag/featurePropertyBag.xml"/><Relationship Id="rId5" Type="http://schemas.openxmlformats.org/officeDocument/2006/relationships/sheetMetadata" Target="metadata.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B21A8C-E236-452D-92A3-0E88998A4D44}" name="NightTimeDrive1114" displayName="NightTimeDrive1114" ref="E12:G14" totalsRowCount="1" headerRowDxfId="42" dataDxfId="40" totalsRowDxfId="38" headerRowBorderDxfId="41" tableBorderDxfId="39" totalsRowBorderDxfId="37">
  <autoFilter ref="E12:G13" xr:uid="{932FCD99-6FCF-4AE6-A66E-74A568E6D121}">
    <filterColumn colId="0" hiddenButton="1"/>
    <filterColumn colId="1" hiddenButton="1"/>
    <filterColumn colId="2" hiddenButton="1"/>
  </autoFilter>
  <tableColumns count="3">
    <tableColumn id="1" xr3:uid="{25A6E580-07FC-4C04-A2B5-BC624C8BD5C4}" name="Penalty Weight" totalsRowLabel="Total" dataDxfId="36" totalsRowDxfId="35">
      <calculatedColumnFormula>2</calculatedColumnFormula>
    </tableColumn>
    <tableColumn id="2" xr3:uid="{189C6E8F-9F46-46B9-B16D-C94C7825F1B8}" name="Duration" totalsRowFunction="sum" dataDxfId="34" totalsRowDxfId="33"/>
    <tableColumn id="3" xr3:uid="{878B2D46-65F7-42BB-9068-C59E26FE227B}" name="Points" totalsRowFunction="sum" dataDxfId="32" totalsRowDxfId="31">
      <calculatedColumnFormula>NightTimeDrive1114[[#This Row],[Penalty Weight]]*NightTimeDrive1114[[#This Row],[Duration]]</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95447DE-75E2-4C54-8657-FA8AAE628524}" name="DistancePointsStefan" displayName="DistancePointsStefan" ref="L6:R13" totalsRowShown="0" headerRowDxfId="30" dataDxfId="28" headerRowBorderDxfId="29" tableBorderDxfId="27" totalsRowBorderDxfId="26">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A41B7CE-B079-49ED-9B82-23E166A80500}" name="Lower" dataDxfId="25"/>
    <tableColumn id="2" xr3:uid="{3919B0AC-BFC6-4DAC-AA1C-D6659F924B43}" name="Upper" dataDxfId="24"/>
    <tableColumn id="3" xr3:uid="{B95527B0-1327-4D86-9647-BE8D037BD40C}" name="Blue" dataDxfId="23" dataCellStyle="Blue"/>
    <tableColumn id="4" xr3:uid="{C8BD6FD6-4F8C-42D4-B789-495DDA0180A0}" name="Bronze" dataDxfId="22" dataCellStyle="Bronze"/>
    <tableColumn id="5" xr3:uid="{A373AAD0-6377-4A5D-9174-9F57D52FA6C7}" name="Silver" dataDxfId="21" dataCellStyle="Silver"/>
    <tableColumn id="6" xr3:uid="{1EA50C42-54DA-42FB-A32B-D5D0A7357198}" name="Gold" dataDxfId="20" dataCellStyle="Gold"/>
    <tableColumn id="7" xr3:uid="{9C98A218-566D-471B-AB47-7F94AD0994D0}" name="Diamond" dataDxfId="19" dataCellStyle="Diamond"/>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D470AD6-96F8-4698-941F-66985F1001CF}" name="DrivingStatusStefan" displayName="DrivingStatusStefan" ref="M26:Q31" totalsRowShown="0" headerRowDxfId="18" headerRowBorderDxfId="17" tableBorderDxfId="16" totalsRowBorderDxfId="15">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5FB33F08-6E55-4FE0-BD39-386DDC6D7BE5}" name="Lower" dataDxfId="14" dataCellStyle="Silver"/>
    <tableColumn id="2" xr3:uid="{14F2414C-B6BA-4C12-9F70-C0FDA15A9D2D}" name="Upper" dataDxfId="13" dataCellStyle="Silver"/>
    <tableColumn id="3" xr3:uid="{87CA37C8-0852-4879-9342-9E9358014A54}" name="Category" dataDxfId="12" dataCellStyle="Silver"/>
    <tableColumn id="4" xr3:uid="{7FECB0F5-5838-4726-9B41-FD08680FB3FE}" name="Fuel %" dataDxfId="11" dataCellStyle="Silver"/>
    <tableColumn id="5" xr3:uid="{E5B7B8ED-1844-4AFE-9A37-E8C2DCC92DEA}" name="Color" dataDxfId="1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3F03B-AF0B-4728-8963-A0E7AC82A27A}">
  <sheetPr>
    <pageSetUpPr fitToPage="1"/>
  </sheetPr>
  <dimension ref="B2:AC33"/>
  <sheetViews>
    <sheetView tabSelected="1" zoomScaleNormal="100" workbookViewId="0">
      <selection activeCell="J7" sqref="J7:J14"/>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 ca="1">_xlfn.CONCAT("Drive Summary ",J18, " ",TEXT(TODAY(), "mmmm yyyy"))</f>
        <v>Drive Summary Stefan March 2025</v>
      </c>
      <c r="C2" s="66"/>
      <c r="D2" s="66"/>
      <c r="E2" s="66"/>
      <c r="F2" s="66"/>
      <c r="G2" s="66"/>
      <c r="H2" s="38"/>
    </row>
    <row r="3" spans="2:29" ht="14.45" customHeight="1" x14ac:dyDescent="0.25">
      <c r="B3" s="66"/>
      <c r="C3" s="66"/>
      <c r="D3" s="66"/>
      <c r="E3" s="66"/>
      <c r="F3" s="66"/>
      <c r="G3" s="66"/>
      <c r="H3" s="38"/>
    </row>
    <row r="5" spans="2:29" x14ac:dyDescent="0.25">
      <c r="B5" s="53" t="s">
        <v>30</v>
      </c>
      <c r="C5" s="54" t="s">
        <v>26</v>
      </c>
      <c r="D5"/>
      <c r="E5" s="53" t="str">
        <f ca="1">TEXT(TODAY(), "mmmm yyyy")</f>
        <v>March 2025</v>
      </c>
      <c r="F5" s="53" t="s">
        <v>19</v>
      </c>
      <c r="G5" s="55" t="s">
        <v>15</v>
      </c>
      <c r="I5" s="65" t="s">
        <v>25</v>
      </c>
      <c r="J5" s="65"/>
      <c r="L5" s="65" t="s">
        <v>8</v>
      </c>
      <c r="M5" s="65"/>
      <c r="N5" s="65"/>
      <c r="O5" s="65"/>
      <c r="P5" s="65"/>
      <c r="Q5" s="65"/>
      <c r="R5" s="65"/>
      <c r="AB5" s="67"/>
      <c r="AC5" s="67"/>
    </row>
    <row r="6" spans="2:29" x14ac:dyDescent="0.25">
      <c r="B6" s="1" t="s">
        <v>18</v>
      </c>
      <c r="C6" s="7">
        <f>MIN(1500, IF($C$13,G7,G6+G9))</f>
        <v>1500</v>
      </c>
      <c r="E6" s="1" t="s">
        <v>48</v>
      </c>
      <c r="F6" s="7">
        <f>J11</f>
        <v>2000</v>
      </c>
      <c r="G6" s="52">
        <f>J7</f>
        <v>1392</v>
      </c>
      <c r="I6" s="55" t="s">
        <v>30</v>
      </c>
      <c r="J6" s="55" t="s">
        <v>26</v>
      </c>
      <c r="L6" s="55" t="s">
        <v>17</v>
      </c>
      <c r="M6" s="55" t="s">
        <v>16</v>
      </c>
      <c r="N6" s="33" t="s">
        <v>11</v>
      </c>
      <c r="O6" s="30" t="s">
        <v>9</v>
      </c>
      <c r="P6" s="29" t="s">
        <v>7</v>
      </c>
      <c r="Q6" s="26" t="s">
        <v>5</v>
      </c>
      <c r="R6" s="15" t="s">
        <v>3</v>
      </c>
      <c r="AA6"/>
      <c r="AB6" s="9"/>
      <c r="AC6" s="9"/>
    </row>
    <row r="7" spans="2:29" x14ac:dyDescent="0.25">
      <c r="B7" s="1" t="s">
        <v>12</v>
      </c>
      <c r="C7" s="7">
        <f>J8</f>
        <v>300</v>
      </c>
      <c r="D7" s="3"/>
      <c r="E7" s="1" t="s">
        <v>47</v>
      </c>
      <c r="F7" s="7">
        <f>F6/J27*J26</f>
        <v>2214.2857142857142</v>
      </c>
      <c r="G7" s="7">
        <f>G6/J27*J26</f>
        <v>1541.1428571428571</v>
      </c>
      <c r="I7" s="7" t="s">
        <v>18</v>
      </c>
      <c r="J7" s="7">
        <v>1392</v>
      </c>
      <c r="L7" s="13">
        <v>0</v>
      </c>
      <c r="M7" s="1">
        <v>299</v>
      </c>
      <c r="N7" s="20">
        <v>300</v>
      </c>
      <c r="O7" s="22">
        <v>300</v>
      </c>
      <c r="P7" s="24">
        <v>300</v>
      </c>
      <c r="Q7" s="27">
        <v>300</v>
      </c>
      <c r="R7" s="16">
        <v>300</v>
      </c>
      <c r="AB7" s="3"/>
    </row>
    <row r="8" spans="2:29" ht="15" customHeight="1" x14ac:dyDescent="0.25">
      <c r="B8" s="1" t="s">
        <v>10</v>
      </c>
      <c r="C8" s="7">
        <f>IF( AND( J9&lt;=J24+J19, J9&gt;=J24-J19 ), J9, J24)</f>
        <v>300</v>
      </c>
      <c r="E8" s="1" t="s">
        <v>23</v>
      </c>
      <c r="F8" s="6">
        <f>F6/J27</f>
        <v>71.428571428571431</v>
      </c>
      <c r="G8" s="6">
        <f>G6/J27</f>
        <v>49.714285714285715</v>
      </c>
      <c r="I8" s="37" t="s">
        <v>12</v>
      </c>
      <c r="J8" s="7">
        <v>300</v>
      </c>
      <c r="L8" s="13">
        <v>300</v>
      </c>
      <c r="M8" s="1">
        <v>599</v>
      </c>
      <c r="N8" s="20">
        <v>100</v>
      </c>
      <c r="O8" s="22">
        <v>150</v>
      </c>
      <c r="P8" s="24">
        <v>200</v>
      </c>
      <c r="Q8" s="27">
        <v>250</v>
      </c>
      <c r="R8" s="16">
        <v>300</v>
      </c>
    </row>
    <row r="9" spans="2:29" x14ac:dyDescent="0.25">
      <c r="B9" s="1" t="s">
        <v>8</v>
      </c>
      <c r="C9" s="7">
        <f>VLOOKUP(IF(C13,F7,F6),N17:P23,3)</f>
        <v>100</v>
      </c>
      <c r="E9" s="1" t="s">
        <v>21</v>
      </c>
      <c r="F9" s="7" t="str">
        <f>IF(J31&gt;=M13, "Unlimited", J31-F6)</f>
        <v>Unlimited</v>
      </c>
      <c r="G9" s="7">
        <f>50*J28 + IF(J26&lt;30,(30-J26)*G8,0)</f>
        <v>150</v>
      </c>
      <c r="I9" s="37" t="s">
        <v>24</v>
      </c>
      <c r="J9" s="7">
        <v>300</v>
      </c>
      <c r="L9" s="13">
        <v>600</v>
      </c>
      <c r="M9" s="1">
        <v>899</v>
      </c>
      <c r="N9" s="20">
        <v>75</v>
      </c>
      <c r="O9" s="22">
        <v>100</v>
      </c>
      <c r="P9" s="24">
        <v>150</v>
      </c>
      <c r="Q9" s="27">
        <v>200</v>
      </c>
      <c r="R9" s="16">
        <v>300</v>
      </c>
    </row>
    <row r="10" spans="2:29" x14ac:dyDescent="0.25">
      <c r="B10" s="1" t="s">
        <v>6</v>
      </c>
      <c r="C10" s="7">
        <f>J12</f>
        <v>300</v>
      </c>
      <c r="E10" s="8"/>
      <c r="I10" s="37" t="s">
        <v>8</v>
      </c>
      <c r="J10" s="37">
        <v>200</v>
      </c>
      <c r="L10" s="13">
        <v>900</v>
      </c>
      <c r="M10" s="1">
        <v>1199</v>
      </c>
      <c r="N10" s="20">
        <v>50</v>
      </c>
      <c r="O10" s="22">
        <v>75</v>
      </c>
      <c r="P10" s="24">
        <v>100</v>
      </c>
      <c r="Q10" s="27">
        <v>175</v>
      </c>
      <c r="R10" s="16">
        <v>300</v>
      </c>
    </row>
    <row r="11" spans="2:29" x14ac:dyDescent="0.25">
      <c r="B11" s="1" t="s">
        <v>4</v>
      </c>
      <c r="C11" s="7">
        <f>SUM(C6:C10)</f>
        <v>2500</v>
      </c>
      <c r="E11" s="68" t="s">
        <v>24</v>
      </c>
      <c r="F11" s="69"/>
      <c r="G11" s="70"/>
      <c r="I11" s="37" t="s">
        <v>50</v>
      </c>
      <c r="J11" s="7">
        <v>2000</v>
      </c>
      <c r="L11" s="13">
        <v>1200</v>
      </c>
      <c r="M11" s="1">
        <v>1499</v>
      </c>
      <c r="N11" s="20">
        <v>25</v>
      </c>
      <c r="O11" s="22">
        <v>50</v>
      </c>
      <c r="P11" s="24">
        <v>75</v>
      </c>
      <c r="Q11" s="27">
        <v>125</v>
      </c>
      <c r="R11" s="16">
        <v>300</v>
      </c>
      <c r="Z11"/>
    </row>
    <row r="12" spans="2:29" x14ac:dyDescent="0.25">
      <c r="B12" s="1" t="s">
        <v>2</v>
      </c>
      <c r="C12" s="1" t="str">
        <f>VLOOKUP(C11,M27:O31,3,TRUE)</f>
        <v>Diamond</v>
      </c>
      <c r="D12" s="3"/>
      <c r="E12" s="53" t="s">
        <v>52</v>
      </c>
      <c r="F12" s="54" t="s">
        <v>49</v>
      </c>
      <c r="G12" s="53" t="s">
        <v>15</v>
      </c>
      <c r="I12" s="37" t="s">
        <v>6</v>
      </c>
      <c r="J12" s="37">
        <v>300</v>
      </c>
      <c r="L12" s="13">
        <v>1500</v>
      </c>
      <c r="M12" s="1">
        <v>1799</v>
      </c>
      <c r="N12" s="20">
        <v>10</v>
      </c>
      <c r="O12" s="22">
        <v>25</v>
      </c>
      <c r="P12" s="24">
        <v>50</v>
      </c>
      <c r="Q12" s="27">
        <v>100</v>
      </c>
      <c r="R12" s="16">
        <v>250</v>
      </c>
      <c r="T12" s="2"/>
      <c r="Z12" s="9"/>
    </row>
    <row r="13" spans="2:29" x14ac:dyDescent="0.25">
      <c r="B13" s="1" t="s">
        <v>20</v>
      </c>
      <c r="C13" s="36" t="b">
        <v>0</v>
      </c>
      <c r="E13" s="1">
        <f>2</f>
        <v>2</v>
      </c>
      <c r="F13" s="1">
        <v>0</v>
      </c>
      <c r="G13" s="1">
        <f>NightTimeDrive1114[[#This Row],[Penalty Weight]]*NightTimeDrive1114[[#This Row],[Duration]]</f>
        <v>0</v>
      </c>
      <c r="I13" s="37" t="s">
        <v>1</v>
      </c>
      <c r="J13" s="37">
        <v>2339.14</v>
      </c>
      <c r="L13" s="14">
        <v>1800</v>
      </c>
      <c r="M13" s="12">
        <v>1800</v>
      </c>
      <c r="N13" s="34">
        <v>5</v>
      </c>
      <c r="O13" s="31">
        <v>10</v>
      </c>
      <c r="P13" s="32">
        <v>25</v>
      </c>
      <c r="Q13" s="28">
        <v>60</v>
      </c>
      <c r="R13" s="17">
        <v>100</v>
      </c>
      <c r="W13"/>
      <c r="Z13" s="9"/>
      <c r="AA13" s="3"/>
    </row>
    <row r="14" spans="2:29" x14ac:dyDescent="0.25">
      <c r="B14" s="1" t="s">
        <v>1</v>
      </c>
      <c r="C14" s="35">
        <f>J13</f>
        <v>2339.14</v>
      </c>
      <c r="E14" s="1" t="s">
        <v>51</v>
      </c>
      <c r="F14" s="1">
        <f>SUBTOTAL(109,NightTimeDrive1114[Duration])</f>
        <v>0</v>
      </c>
      <c r="G14" s="1">
        <f>SUBTOTAL(109,NightTimeDrive1114[Points])</f>
        <v>0</v>
      </c>
      <c r="I14" s="7" t="s">
        <v>35</v>
      </c>
      <c r="J14" s="7" t="s">
        <v>3</v>
      </c>
      <c r="T14"/>
      <c r="U14"/>
      <c r="V14"/>
      <c r="W14"/>
      <c r="X14"/>
    </row>
    <row r="15" spans="2:29" x14ac:dyDescent="0.25">
      <c r="B15" s="1" t="s">
        <v>0</v>
      </c>
      <c r="C15" s="51" t="str">
        <f>_xlfn.CONCAT("Đ",J32*VLOOKUP(C12,O26:P31,2,FALSE)*10)</f>
        <v>Đ11695.7</v>
      </c>
      <c r="D15" s="4"/>
      <c r="N15" s="68" t="str">
        <f>_xlfn.CONCAT("Distance Points for ",J14)</f>
        <v>Distance Points for Diamond</v>
      </c>
      <c r="O15" s="69"/>
      <c r="P15" s="70"/>
      <c r="T15"/>
      <c r="U15"/>
      <c r="V15" s="10"/>
      <c r="W15"/>
      <c r="X15"/>
      <c r="AA15" s="3"/>
      <c r="AB15" s="3"/>
    </row>
    <row r="16" spans="2:29" x14ac:dyDescent="0.25">
      <c r="B16" s="1" t="s">
        <v>46</v>
      </c>
      <c r="C16" s="35">
        <f>MAX(0,C11-C14)</f>
        <v>160.86000000000013</v>
      </c>
      <c r="I16" s="65" t="s">
        <v>37</v>
      </c>
      <c r="J16" s="65"/>
      <c r="N16" s="55" t="s">
        <v>17</v>
      </c>
      <c r="O16" s="55" t="s">
        <v>16</v>
      </c>
      <c r="P16" s="55" t="s">
        <v>15</v>
      </c>
      <c r="T16"/>
      <c r="U16"/>
      <c r="W16"/>
    </row>
    <row r="17" spans="9:17" ht="14.45" customHeight="1" x14ac:dyDescent="0.25">
      <c r="I17" s="55" t="s">
        <v>30</v>
      </c>
      <c r="J17" s="55" t="s">
        <v>26</v>
      </c>
      <c r="N17" s="1" cm="1">
        <f t="array" ref="N17:N23">DistancePointsStefan[Lower]</f>
        <v>0</v>
      </c>
      <c r="O17" s="1" cm="1">
        <f t="array" ref="O17:O23">DistancePointsStefan[Upper]</f>
        <v>299</v>
      </c>
      <c r="P17" s="1" cm="1">
        <f t="array" ref="P17:P23">_xlfn.XLOOKUP(J14,DistancePointsStefan[#Headers],DistancePointsStefan[])</f>
        <v>300</v>
      </c>
    </row>
    <row r="18" spans="9:17" x14ac:dyDescent="0.25">
      <c r="I18" s="1" t="s">
        <v>29</v>
      </c>
      <c r="J18" s="1" t="s">
        <v>28</v>
      </c>
      <c r="N18" s="1">
        <v>300</v>
      </c>
      <c r="O18" s="1">
        <v>599</v>
      </c>
      <c r="P18" s="1">
        <v>300</v>
      </c>
    </row>
    <row r="19" spans="9:17" x14ac:dyDescent="0.25">
      <c r="I19" s="1" t="s">
        <v>32</v>
      </c>
      <c r="J19" s="1">
        <v>10</v>
      </c>
      <c r="N19" s="1">
        <v>600</v>
      </c>
      <c r="O19" s="1">
        <v>899</v>
      </c>
      <c r="P19" s="1">
        <v>300</v>
      </c>
    </row>
    <row r="20" spans="9:17" x14ac:dyDescent="0.25">
      <c r="I20" s="7" t="s">
        <v>54</v>
      </c>
      <c r="J20" s="56">
        <v>45745</v>
      </c>
      <c r="N20" s="1">
        <v>900</v>
      </c>
      <c r="O20" s="1">
        <v>1199</v>
      </c>
      <c r="P20" s="1">
        <v>300</v>
      </c>
    </row>
    <row r="21" spans="9:17" x14ac:dyDescent="0.25">
      <c r="N21" s="1">
        <v>1200</v>
      </c>
      <c r="O21" s="1">
        <v>1499</v>
      </c>
      <c r="P21" s="1">
        <v>300</v>
      </c>
    </row>
    <row r="22" spans="9:17" x14ac:dyDescent="0.25">
      <c r="I22" s="65" t="s">
        <v>27</v>
      </c>
      <c r="J22" s="65"/>
      <c r="N22" s="1">
        <v>1500</v>
      </c>
      <c r="O22" s="1">
        <v>1799</v>
      </c>
      <c r="P22" s="1">
        <v>250</v>
      </c>
    </row>
    <row r="23" spans="9:17" x14ac:dyDescent="0.25">
      <c r="I23" s="55" t="s">
        <v>30</v>
      </c>
      <c r="J23" s="55" t="s">
        <v>26</v>
      </c>
      <c r="N23" s="1">
        <v>1800</v>
      </c>
      <c r="O23" s="1">
        <v>1800</v>
      </c>
      <c r="P23" s="1">
        <v>100</v>
      </c>
    </row>
    <row r="24" spans="9:17" x14ac:dyDescent="0.25">
      <c r="I24" s="57" t="s">
        <v>24</v>
      </c>
      <c r="J24" s="58">
        <f>MAX(0,300-NightTimeDrive1114[[#Totals],[Points]])</f>
        <v>300</v>
      </c>
    </row>
    <row r="25" spans="9:17" x14ac:dyDescent="0.25">
      <c r="I25" s="59" t="s">
        <v>31</v>
      </c>
      <c r="J25" s="60" t="str">
        <f>IF( AND( J9&lt;=J24+J19, J9&gt;=J24-J19 ), "Extract", "Calculate")</f>
        <v>Extract</v>
      </c>
      <c r="M25" s="65" t="s">
        <v>22</v>
      </c>
      <c r="N25" s="65"/>
      <c r="O25" s="65"/>
      <c r="P25" s="65"/>
      <c r="Q25" s="65"/>
    </row>
    <row r="26" spans="9:17" x14ac:dyDescent="0.25">
      <c r="I26" s="61" t="str">
        <f ca="1">_xlfn.CONCAT("Days ",TEXT(TODAY(), "mmm yyyy"))</f>
        <v>Days Mar 2025</v>
      </c>
      <c r="J26" s="62">
        <f>DAY(EOMONTH(J20, 0))</f>
        <v>31</v>
      </c>
      <c r="M26" s="55" t="s">
        <v>17</v>
      </c>
      <c r="N26" s="55" t="s">
        <v>16</v>
      </c>
      <c r="O26" s="55" t="s">
        <v>14</v>
      </c>
      <c r="P26" s="55" t="s">
        <v>13</v>
      </c>
      <c r="Q26" s="55" t="s">
        <v>45</v>
      </c>
    </row>
    <row r="27" spans="9:17" x14ac:dyDescent="0.25">
      <c r="I27" s="61" t="s">
        <v>33</v>
      </c>
      <c r="J27" s="62">
        <f>DAY(J20)-1</f>
        <v>28</v>
      </c>
      <c r="M27" s="39">
        <v>0</v>
      </c>
      <c r="N27" s="20">
        <v>799</v>
      </c>
      <c r="O27" s="20" t="s">
        <v>11</v>
      </c>
      <c r="P27" s="21">
        <v>0.05</v>
      </c>
      <c r="Q27" s="46" t="s">
        <v>44</v>
      </c>
    </row>
    <row r="28" spans="9:17" x14ac:dyDescent="0.25">
      <c r="I28" s="59" t="s">
        <v>34</v>
      </c>
      <c r="J28" s="60">
        <f>J26-J27</f>
        <v>3</v>
      </c>
      <c r="M28" s="40">
        <v>800</v>
      </c>
      <c r="N28" s="22">
        <v>1599</v>
      </c>
      <c r="O28" s="22" t="s">
        <v>9</v>
      </c>
      <c r="P28" s="23">
        <v>0.1</v>
      </c>
      <c r="Q28" s="47" t="s">
        <v>43</v>
      </c>
    </row>
    <row r="29" spans="9:17" x14ac:dyDescent="0.25">
      <c r="I29" s="57" t="s">
        <v>38</v>
      </c>
      <c r="J29" s="63">
        <f>C11-VLOOKUP(C11,M27:O31,1,TRUE)</f>
        <v>0</v>
      </c>
      <c r="M29" s="41">
        <v>1600</v>
      </c>
      <c r="N29" s="24">
        <v>2199</v>
      </c>
      <c r="O29" s="24" t="s">
        <v>7</v>
      </c>
      <c r="P29" s="25">
        <v>0.2</v>
      </c>
      <c r="Q29" s="48" t="s">
        <v>42</v>
      </c>
    </row>
    <row r="30" spans="9:17" x14ac:dyDescent="0.25">
      <c r="I30" s="61" t="s">
        <v>39</v>
      </c>
      <c r="J30" s="64">
        <f>MAX(0,C9-J29)</f>
        <v>100</v>
      </c>
      <c r="M30" s="42">
        <v>2200</v>
      </c>
      <c r="N30" s="18">
        <v>2499</v>
      </c>
      <c r="O30" s="18" t="s">
        <v>5</v>
      </c>
      <c r="P30" s="19">
        <v>0.35</v>
      </c>
      <c r="Q30" s="49" t="s">
        <v>41</v>
      </c>
    </row>
    <row r="31" spans="9:17" x14ac:dyDescent="0.25">
      <c r="I31" s="59" t="s">
        <v>36</v>
      </c>
      <c r="J31" s="60" cm="1">
        <f t="array" ref="J31">MAX(_xlfn._xlws.FILTER(_xlfn.ANCHORARRAY(O17),_xlfn.ANCHORARRAY( P17)&gt;=J30))</f>
        <v>1800</v>
      </c>
      <c r="M31" s="43">
        <v>2500</v>
      </c>
      <c r="N31" s="44">
        <v>3000</v>
      </c>
      <c r="O31" s="44" t="s">
        <v>3</v>
      </c>
      <c r="P31" s="45">
        <v>0.5</v>
      </c>
      <c r="Q31" s="50" t="s">
        <v>40</v>
      </c>
    </row>
    <row r="32" spans="9:17" x14ac:dyDescent="0.25">
      <c r="I32" s="11" t="s">
        <v>53</v>
      </c>
      <c r="J32" s="7">
        <f>MIN(C14,C11)</f>
        <v>2339.14</v>
      </c>
    </row>
    <row r="33" spans="9:10" x14ac:dyDescent="0.25">
      <c r="I33" s="11" t="s">
        <v>55</v>
      </c>
      <c r="J33" s="7">
        <f>SUM(J7:J10,J12)</f>
        <v>2492</v>
      </c>
    </row>
  </sheetData>
  <protectedRanges>
    <protectedRange sqref="C7:C8 C10 C16 C14" name="RequiresInput_1"/>
    <protectedRange sqref="F6:G6" name="RequiresInput_1_1"/>
  </protectedRanges>
  <scenarios current="1" show="1">
    <scenario name="Actual" locked="1" count="8" user="Stefan Oberholzer" comment="Created by Stefan Oberholzer on 2025/03/31">
      <inputCells r="J7" val="1489" numFmtId="1"/>
      <inputCells r="J8" val="300" numFmtId="1"/>
      <inputCells r="J9" val="300" numFmtId="1"/>
      <inputCells r="J10" val="300" numFmtId="1"/>
      <inputCells r="J11" val="2000" numFmtId="1"/>
      <inputCells r="J12" val="300" numFmtId="1"/>
      <inputCells r="J13" val="2330" numFmtId="1"/>
      <inputCells r="J14" val="Diamond"/>
    </scenario>
    <scenario name="LastMonthGold" locked="1" count="8" user="Stefan Oberholzer" comment="Created by Stefan Oberholzer on 2025/03/31">
      <inputCells r="J7" val="1489" numFmtId="1"/>
      <inputCells r="J8" val="300" numFmtId="1"/>
      <inputCells r="J9" val="300" numFmtId="1"/>
      <inputCells r="J10" val="300" numFmtId="1"/>
      <inputCells r="J11" val="2000" numFmtId="1"/>
      <inputCells r="J12" val="300" numFmtId="1"/>
      <inputCells r="J13" val="0" numFmtId="1"/>
      <inputCells r="J14" val="Gold"/>
    </scenario>
  </scenarios>
  <dataConsolidate/>
  <mergeCells count="9">
    <mergeCell ref="AB5:AC5"/>
    <mergeCell ref="E11:G11"/>
    <mergeCell ref="N15:P15"/>
    <mergeCell ref="I16:J16"/>
    <mergeCell ref="I22:J22"/>
    <mergeCell ref="M25:Q25"/>
    <mergeCell ref="B2:G3"/>
    <mergeCell ref="I5:J5"/>
    <mergeCell ref="L5:R5"/>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$J$14="Blue"</formula>
    </cfRule>
    <cfRule type="expression" dxfId="3" priority="7">
      <formula>$J$14="Bronze"</formula>
    </cfRule>
    <cfRule type="expression" dxfId="2" priority="8">
      <formula>$J$14="Silver"</formula>
    </cfRule>
    <cfRule type="expression" dxfId="1" priority="9">
      <formula>$J$14="Gold"</formula>
    </cfRule>
    <cfRule type="expression" dxfId="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107336B8-9C23-4AB1-A73A-632E482A9F1D}"/>
  </dataValidations>
  <pageMargins left="0.7" right="0.7" top="0.75" bottom="0.75" header="0.3" footer="0.3"/>
  <pageSetup scale="32"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DEV</vt:lpstr>
      <vt:lpstr>DEV!Username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2025-03-11T12:37:31Z</cp:lastPrinted>
  <dcterms:created xsi:type="dcterms:W3CDTF">2023-09-18T15:21:34Z</dcterms:created>
  <dcterms:modified xsi:type="dcterms:W3CDTF">2025-03-31T11:28:16Z</dcterms:modified>
</cp:coreProperties>
</file>