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13" documentId="13_ncr:1_{16BB77BC-72C4-43FD-98A0-25CDEB97D854}" xr6:coauthVersionLast="47" xr6:coauthVersionMax="47" xr10:uidLastSave="{D9DB8336-09AB-4C45-853E-8035CFDE224D}"/>
  <bookViews>
    <workbookView xWindow="-4140" yWindow="-16320" windowWidth="29040" windowHeight="15720" activeTab="1" xr2:uid="{B12B6E18-E294-4985-A977-422328ADD677}"/>
  </bookViews>
  <sheets>
    <sheet name="Stefan" sheetId="20" r:id="rId1"/>
    <sheet name="Christiaan" sheetId="18" r:id="rId2"/>
    <sheet name="Derrick" sheetId="19"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 i="20" l="1"/>
  <c r="C15" i="18"/>
  <c r="G9" i="19"/>
  <c r="F8" i="19"/>
  <c r="F7" i="19"/>
  <c r="G6" i="19"/>
  <c r="G8" i="19" s="1"/>
  <c r="G9" i="18"/>
  <c r="F8" i="18"/>
  <c r="F7" i="18"/>
  <c r="G6" i="18"/>
  <c r="G8" i="18" s="1"/>
  <c r="I26" i="18"/>
  <c r="J26" i="18"/>
  <c r="J27" i="18"/>
  <c r="J33" i="18"/>
  <c r="J33" i="19"/>
  <c r="J27" i="19"/>
  <c r="J26" i="19"/>
  <c r="I26" i="19"/>
  <c r="J27" i="20"/>
  <c r="J33" i="20"/>
  <c r="G6" i="20"/>
  <c r="I26" i="20"/>
  <c r="P17" i="20" a="1"/>
  <c r="O17" i="20" a="1"/>
  <c r="O17" i="20" s="1"/>
  <c r="N17" i="20" a="1"/>
  <c r="N17" i="20" s="1"/>
  <c r="N15" i="20"/>
  <c r="F14" i="20"/>
  <c r="C14" i="20"/>
  <c r="E13" i="20"/>
  <c r="G13" i="20" s="1"/>
  <c r="G14" i="20" s="1"/>
  <c r="J24" i="20" s="1"/>
  <c r="C10" i="20"/>
  <c r="C7" i="20"/>
  <c r="E5" i="20"/>
  <c r="B2" i="20"/>
  <c r="P17" i="19" a="1"/>
  <c r="O17" i="19" a="1"/>
  <c r="O17" i="19" s="1"/>
  <c r="N17" i="19" a="1"/>
  <c r="N17" i="19" s="1"/>
  <c r="N15" i="19"/>
  <c r="F14" i="19"/>
  <c r="C14" i="19"/>
  <c r="G13" i="19"/>
  <c r="G14" i="19" s="1"/>
  <c r="E13" i="19"/>
  <c r="C10" i="19"/>
  <c r="C7" i="19"/>
  <c r="E5" i="19"/>
  <c r="B2" i="19"/>
  <c r="P17" i="18" a="1"/>
  <c r="P17" i="18" s="1"/>
  <c r="O17" i="18" a="1"/>
  <c r="O17" i="18" s="1"/>
  <c r="N17" i="18" a="1"/>
  <c r="N17" i="18" s="1"/>
  <c r="N15" i="18"/>
  <c r="F14" i="18"/>
  <c r="C14" i="18"/>
  <c r="E13" i="18"/>
  <c r="G13" i="18" s="1"/>
  <c r="G14" i="18" s="1"/>
  <c r="C10" i="18"/>
  <c r="C7" i="18"/>
  <c r="E5" i="18"/>
  <c r="B2" i="18"/>
  <c r="G7" i="19" l="1"/>
  <c r="G7" i="18"/>
  <c r="J24" i="18"/>
  <c r="J25" i="18" s="1"/>
  <c r="J28" i="18"/>
  <c r="J24" i="19"/>
  <c r="J25" i="19" s="1"/>
  <c r="J28" i="19"/>
  <c r="J26" i="20"/>
  <c r="G7" i="20" s="1"/>
  <c r="G8" i="20"/>
  <c r="P17" i="19"/>
  <c r="F8" i="20"/>
  <c r="P17" i="20"/>
  <c r="J25" i="20"/>
  <c r="C8" i="20"/>
  <c r="C9" i="18"/>
  <c r="C8" i="18" l="1"/>
  <c r="C8" i="19"/>
  <c r="F7" i="20"/>
  <c r="C9" i="20" s="1"/>
  <c r="J28" i="20"/>
  <c r="G9" i="20" s="1"/>
  <c r="C6" i="20" s="1"/>
  <c r="C6" i="18"/>
  <c r="C11" i="18" s="1"/>
  <c r="C6" i="19"/>
  <c r="C9" i="19"/>
  <c r="J29" i="18" l="1"/>
  <c r="J30" i="18" s="1"/>
  <c r="J31" i="18" s="1" a="1"/>
  <c r="J31" i="18" s="1"/>
  <c r="F9" i="18" s="1"/>
  <c r="J32" i="18"/>
  <c r="C11" i="20"/>
  <c r="C12" i="18"/>
  <c r="C11" i="19"/>
  <c r="C16" i="18"/>
  <c r="J29" i="20" l="1"/>
  <c r="J30" i="20" s="1"/>
  <c r="J31" i="20" s="1" a="1"/>
  <c r="J31" i="20" s="1"/>
  <c r="F9" i="20" s="1"/>
  <c r="C12" i="20"/>
  <c r="J32" i="20"/>
  <c r="C16" i="20"/>
  <c r="J29" i="19"/>
  <c r="J30" i="19" s="1"/>
  <c r="J31" i="19" s="1" a="1"/>
  <c r="J31" i="19" s="1"/>
  <c r="F9" i="19" s="1"/>
  <c r="J32" i="19"/>
  <c r="C15" i="19" s="1"/>
  <c r="C12" i="19"/>
  <c r="C16" i="19"/>
  <c r="C15"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<sst xmlns="http://schemas.openxmlformats.org/spreadsheetml/2006/main" count="246" uniqueCount="58">
  <si>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</si>
  <si>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</si>
  <si>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</si>
  <si>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</si>
  <si>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</si>
  <si>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</si>
  <si>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</si>
  <si>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</si>
  <si>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</si>
  <si>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</si>
  <si>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</si>
  <si>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</si>
  <si>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</si>
  <si>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</si>
  <si>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</si>
  <si>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</si>
  <si>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</si>
  <si>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</si>
  <si>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</si>
  <si>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</si>
  <si>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</si>
  <si>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</si>
  <si>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</si>
  <si>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</si>
  <si>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</si>
  <si>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</si>
  <si>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</si>
  <si>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</si>
  <si>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</si>
  <si>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</si>
  <si>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</si>
  <si>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</si>
  <si>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</si>
  <si>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</si>
  <si>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</si>
  <si>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</si>
  <si>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</si>
  <si>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</si>
  <si>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</si>
  <si>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</si>
  <si>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</si>
  <si>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</si>
  <si>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Month to Date</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</si>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</sst>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31">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1" xr9:uid="{A9F08CE5-ED7D-4BF0-BED4-1E9AB08F748B}">
      <tableStyleElement type="wholeTable" dxfId="130"/>
    </tableStyle>
    <tableStyle name="Table Style 1 2" pivot="0" count="1" xr9:uid="{9328C6BF-6A18-40D6-BCF5-ACC71AF16E8E}">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D41F9E-201D-494C-B741-54D3661AF0CB}" name="NightTimeDrive1114" displayName="NightTimeDrive1114"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E9820CD1-120D-416C-8D24-0E189A941AF9}" name="Penalty Weight" totalsRowLabel="Total" dataDxfId="122" totalsRowDxfId="121">
      <calculatedColumnFormula>2</calculatedColumnFormula>
    </tableColumn>
    <tableColumn id="2" xr3:uid="{770CBEF7-6A21-4F31-A449-460FF496815E}" name="Duration" totalsRowFunction="sum" dataDxfId="120" totalsRowDxfId="119"/>
    <tableColumn id="3" xr3:uid="{16E6B1A8-A2A6-468A-8C73-0F393F4B41CE}" name="Points" totalsRowFunction="sum" dataDxfId="118" totalsRowDxfId="117">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60EBD6-A6E3-4181-915B-B8ABBB18A0C2}" name="DistancePointsStefan" displayName="DistancePointsStefan"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8771AF-CF50-4453-B679-BC454065B222}" name="Lower" dataDxfId="111"/>
    <tableColumn id="2" xr3:uid="{4C8C475B-44BE-4D66-96D4-24EDC8D2FDE2}" name="Upper" dataDxfId="110"/>
    <tableColumn id="3" xr3:uid="{C2CF2F37-F8EC-43C5-BB1A-40F3F4293DAC}" name="Blue" dataDxfId="109" dataCellStyle="Blue"/>
    <tableColumn id="4" xr3:uid="{65448F0C-31EF-4CAE-B825-712186EF8E29}" name="Bronze" dataDxfId="108" dataCellStyle="Bronze"/>
    <tableColumn id="5" xr3:uid="{50DA8696-F485-43D5-BD1F-433F94EC712E}" name="Silver" dataDxfId="107" dataCellStyle="Silver"/>
    <tableColumn id="6" xr3:uid="{D9FE27AD-9808-43A6-B9BF-5F1BAF5D78B0}" name="Gold" dataDxfId="106" dataCellStyle="Gold"/>
    <tableColumn id="7" xr3:uid="{9DC7BCD5-87F7-4BEB-9965-BF447806825D}"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3E3023-89B9-4F29-B55D-D429DA394505}" name="DrivingStatusStefan" displayName="DrivingStatusStefan"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ED11EC9-AD58-4F5D-A3BF-2F8F6D5282D0}" name="Lower" dataDxfId="100" dataCellStyle="Silver"/>
    <tableColumn id="2" xr3:uid="{F2569052-4C17-4127-9FBA-B31B3D522A94}" name="Upper" dataDxfId="99" dataCellStyle="Silver"/>
    <tableColumn id="3" xr3:uid="{65EFAAFB-D8DD-4A4F-AA56-CB3BBDFC28AD}" name="Category" dataDxfId="98" dataCellStyle="Silver"/>
    <tableColumn id="4" xr3:uid="{2CA1D7B4-D6E7-4D28-98FF-FE0259A7A85B}" name="Fuel %" dataDxfId="97" dataCellStyle="Silver"/>
    <tableColumn id="5" xr3:uid="{4CB4463C-CAB7-4F04-8814-E6A75BD3E2E6}"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91DD60-8F0D-4A00-BE27-FE334C07FAC0}" name="NightTimeDrive" displayName="NightTimeDrive"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DC70D449-17F5-4122-A1BF-3B2E9767E577}" name="Penalty Weight" totalsRowLabel="Total" dataDxfId="89" totalsRowDxfId="88">
      <calculatedColumnFormula>2</calculatedColumnFormula>
    </tableColumn>
    <tableColumn id="2" xr3:uid="{C181C36A-8D62-47D8-8D26-3B259CBE4530}" name="Duration" totalsRowFunction="sum" dataDxfId="87" totalsRowDxfId="86"/>
    <tableColumn id="3" xr3:uid="{904077CA-AF98-4510-BEF4-9B248A3A20F5}" name="Points" totalsRowFunction="sum" dataDxfId="85" totalsRowDxfId="84">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5817D9-1883-492B-AB3F-F24E633A8C0A}" name="DistancePointsChristiaan" displayName="DistancePointsChristiaan"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54ADDF-43E2-4F96-AA0A-08B95EEE5525}" name="Lower" dataDxfId="78"/>
    <tableColumn id="2" xr3:uid="{8E369D9F-A506-4BE7-9450-D6DF354C5B91}" name="Upper" dataDxfId="77"/>
    <tableColumn id="3" xr3:uid="{90C9EB12-15B2-4428-96D6-DE91D30E2889}" name="Blue" dataDxfId="76" dataCellStyle="Blue"/>
    <tableColumn id="4" xr3:uid="{B4A53663-1ECB-453B-B978-91EE1740911A}" name="Bronze" dataDxfId="75" dataCellStyle="Bronze"/>
    <tableColumn id="5" xr3:uid="{A8DB5A56-B069-4E83-866B-14EF2687BADA}" name="Silver" dataDxfId="74" dataCellStyle="Silver"/>
    <tableColumn id="6" xr3:uid="{4001DA99-4444-4282-9028-0B13BBB90400}" name="Gold" dataDxfId="73" dataCellStyle="Gold"/>
    <tableColumn id="7" xr3:uid="{BBFFC5AC-532E-41BE-B430-58B98A15C217}"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A18A49-3191-4A1B-9245-11E2443B1970}" name="DrivingStatusChristiaan" displayName="DrivingStatusChristiaan"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9217B13-3B83-4FE5-88CE-31A352DB4072}" name="Lower" dataDxfId="67" dataCellStyle="Silver"/>
    <tableColumn id="2" xr3:uid="{85A2F208-22D3-439D-9DE4-1ECE40DC05B0}" name="Upper" dataDxfId="66" dataCellStyle="Silver"/>
    <tableColumn id="3" xr3:uid="{84A9C290-D556-4FE3-92BF-8EA0F1B50652}" name="Category" dataDxfId="65" dataCellStyle="Silver"/>
    <tableColumn id="4" xr3:uid="{DCE701AB-8DA8-49A4-9822-7012476D8245}" name="Fuel %" dataDxfId="64" dataCellStyle="Silver"/>
    <tableColumn id="5" xr3:uid="{9C1F6053-54F6-484A-9EAD-AC7FF701777F}"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E1FAFA-4CDE-4F06-804A-41746F5F5473}" name="NightTimeDrive11" displayName="NightTimeDrive11"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735D4564-3A90-415B-B47E-5EA90825A97A}" name="Penalty Weight" totalsRowLabel="Total" dataDxfId="56" totalsRowDxfId="55">
      <calculatedColumnFormula>2</calculatedColumnFormula>
    </tableColumn>
    <tableColumn id="2" xr3:uid="{EEF150EB-580C-474F-8688-6A037448742C}" name="Duration" totalsRowFunction="sum" dataDxfId="54" totalsRowDxfId="53"/>
    <tableColumn id="3" xr3:uid="{5CEA56CD-422B-4282-AD7D-E4F69237A98B}" name="Points" totalsRowFunction="sum" dataDxfId="52" totalsRowDxfId="51">
      <calculatedColumnFormula>NightTimeDrive11[[#This Row],[Penalty Weight]]*NightTimeDrive11[[#This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027C31-F46F-4630-BA7C-A7D788214406}" name="DistancePointsDerrick" displayName="DistancePointsDerrick"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276F9D3-B063-44DA-ADE6-1070BFDB3D35}" name="Lower" dataDxfId="45"/>
    <tableColumn id="2" xr3:uid="{A553EDA2-505F-4944-960E-813BAE0280E6}" name="Upper" dataDxfId="44"/>
    <tableColumn id="3" xr3:uid="{0D70A2B2-3135-468C-A321-4AEC2A2C9C11}" name="Blue" dataDxfId="43" dataCellStyle="Blue"/>
    <tableColumn id="4" xr3:uid="{E8B32CB2-909D-40E6-8289-BAEBC5F6C299}" name="Bronze" dataDxfId="42" dataCellStyle="Bronze"/>
    <tableColumn id="5" xr3:uid="{128F56E7-FA96-49D8-BA0E-6D47528F1475}" name="Silver" dataDxfId="41" dataCellStyle="Silver"/>
    <tableColumn id="6" xr3:uid="{54B51153-77EB-4AD5-A4B1-A65717A58F23}" name="Gold" dataDxfId="40" dataCellStyle="Gold"/>
    <tableColumn id="7" xr3:uid="{DCB5DC0A-9344-439A-829F-17C180815C46}"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3552F5-BA84-40EA-9705-39CDD98F00E4}" name="DrivingStatusDerrick" displayName="DrivingStatusDerrick"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421B8BD1-6ECD-4E7F-B4CC-3E6B400A6616}" name="Lower" dataDxfId="34" dataCellStyle="Silver"/>
    <tableColumn id="2" xr3:uid="{AC79C6A7-9997-42DA-9554-F726645E1847}" name="Upper" dataDxfId="33" dataCellStyle="Silver"/>
    <tableColumn id="3" xr3:uid="{86277536-AE35-4170-B2EE-720D4049918D}" name="Category" dataDxfId="32" dataCellStyle="Silver"/>
    <tableColumn id="4" xr3:uid="{A9D36B79-51B1-4307-9F74-135ECAE6B10E}" name="Fuel %" dataDxfId="31" dataCellStyle="Silver"/>
    <tableColumn id="5" xr3:uid="{177AEE58-7FAC-4322-86D6-2E43CB79763D}"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F539-0250-415E-9699-09B43B836E74}">
  <sheetPr>
    <pageSetUpPr fitToPage="1"/>
  </sheetPr>
  <dimension ref="B2:AC33"/>
  <sheetViews>
    <sheetView zoomScaleNormal="100" workbookViewId="0"/>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Stefan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42</v>
      </c>
      <c r="F6" s="7">
        <f>J11</f>
        <v>2000</v>
      </c>
      <c r="G6" s="19">
        <f>J7</f>
        <v>1489</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43</v>
      </c>
      <c r="F7" s="7">
        <f>F6/J27*J26</f>
        <v>2066.666666666667</v>
      </c>
      <c r="G7" s="7">
        <f>G6/J27*J26</f>
        <v>1538.6333333333332</v>
      </c>
      <c r="I7" s="7" t="s">
        <v>0</v>
      </c>
      <c r="J7" s="7">
        <v>1489</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66.666666666666671</v>
      </c>
      <c r="G8" s="6">
        <f>G6/J27</f>
        <v>49.633333333333333</v>
      </c>
      <c r="I8" s="30" t="s">
        <v>4</v>
      </c>
      <c r="J8" s="7">
        <v>300</v>
      </c>
      <c r="L8" s="13">
        <v>300</v>
      </c>
      <c r="M8" s="1">
        <v>599</v>
      </c>
      <c r="N8" s="25">
        <v>100</v>
      </c>
      <c r="O8" s="26">
        <v>150</v>
      </c>
      <c r="P8" s="27">
        <v>200</v>
      </c>
      <c r="Q8" s="28">
        <v>250</v>
      </c>
      <c r="R8" s="29">
        <v>300</v>
      </c>
    </row>
    <row r="9" spans="2:29" x14ac:dyDescent="0.25">
      <c r="B9" s="1" t="s">
        <v>11</v>
      </c>
      <c r="C9" s="7">
        <f>VLOOKUP(IF(C13,F7,F6),N17:P23,3)</f>
        <v>100</v>
      </c>
      <c r="E9" s="1" t="s">
        <v>21</v>
      </c>
      <c r="F9" s="7" t="str">
        <f>IF(J31&gt;=M13, "Unlimited", J31-F6)</f>
        <v>Unlimited</v>
      </c>
      <c r="G9" s="7">
        <f>50*J28 + IF(J26&lt;30,(30-J26)*G8,0)</f>
        <v>50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200</v>
      </c>
      <c r="L10" s="13">
        <v>900</v>
      </c>
      <c r="M10" s="1">
        <v>1199</v>
      </c>
      <c r="N10" s="25">
        <v>50</v>
      </c>
      <c r="O10" s="26">
        <v>75</v>
      </c>
      <c r="P10" s="27">
        <v>100</v>
      </c>
      <c r="Q10" s="28">
        <v>175</v>
      </c>
      <c r="R10" s="29">
        <v>300</v>
      </c>
    </row>
    <row r="11" spans="2:29" x14ac:dyDescent="0.25">
      <c r="B11" s="1" t="s">
        <v>16</v>
      </c>
      <c r="C11" s="7">
        <f>SUM(C6:C10)</f>
        <v>2500</v>
      </c>
      <c r="E11" s="68" t="s">
        <v>27</v>
      </c>
      <c r="F11" s="69"/>
      <c r="G11" s="70"/>
      <c r="I11" s="30" t="s">
        <v>44</v>
      </c>
      <c r="J11" s="7">
        <v>2000</v>
      </c>
      <c r="L11" s="13">
        <v>1200</v>
      </c>
      <c r="M11" s="1">
        <v>1499</v>
      </c>
      <c r="N11" s="25">
        <v>25</v>
      </c>
      <c r="O11" s="26">
        <v>50</v>
      </c>
      <c r="P11" s="27">
        <v>75</v>
      </c>
      <c r="Q11" s="28">
        <v>125</v>
      </c>
      <c r="R11" s="29">
        <v>300</v>
      </c>
      <c r="Z11"/>
    </row>
    <row r="12" spans="2:29" x14ac:dyDescent="0.25">
      <c r="B12" s="1" t="s">
        <v>19</v>
      </c>
      <c r="C12" s="1" t="str">
        <f>VLOOKUP(C11,M27:O31,3,TRUE)</f>
        <v>Diamond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NightTimeDrive1114[[#This Row],[Penalty Weight]]*NightTimeDrive1114[[#This Row],[Duration]]</f>
        <v>0</v>
      </c>
      <c r="I13" s="30" t="s">
        <v>20</v>
      </c>
      <c r="J13" s="30">
        <v>2339.14</v>
      </c>
      <c r="L13" s="14">
        <v>1800</v>
      </c>
      <c r="M13" s="12">
        <v>1800</v>
      </c>
      <c r="N13" s="32">
        <v>5</v>
      </c>
      <c r="O13" s="33">
        <v>10</v>
      </c>
      <c r="P13" s="34">
        <v>25</v>
      </c>
      <c r="Q13" s="35">
        <v>60</v>
      </c>
      <c r="R13" s="36">
        <v>100</v>
      </c>
      <c r="W13"/>
      <c r="Z13" s="9"/>
      <c r="AA13" s="3"/>
    </row>
    <row r="14" spans="2:29" x14ac:dyDescent="0.25">
      <c r="B14" s="1" t="s">
        <v>20</v>
      </c>
      <c r="C14" s="37">
        <f>J13</f>
        <v>2339.14</v>
      </c>
      <c r="E14" s="1" t="s">
        <v>47</v>
      </c>
      <c r="F14" s="1">
        <f>SUBTOTAL(109,NightTimeDrive1114[Duration])</f>
        <v>0</v>
      </c>
      <c r="G14" s="1">
        <f>SUBTOTAL(109,NightTimeDrive1114[Points])</f>
        <v>0</v>
      </c>
      <c r="I14" s="7" t="s">
        <v>37</v>
      </c>
      <c r="J14" s="7" t="s">
        <v>18</v>
      </c>
      <c r="T14"/>
      <c r="U14"/>
      <c r="V14"/>
      <c r="W14"/>
      <c r="X14"/>
    </row>
    <row r="15" spans="2:29" x14ac:dyDescent="0.25">
      <c r="B15" s="1" t="s">
        <v>23</v>
      </c>
      <c r="C15" s="38" t="str">
        <f>_xlfn.CONCAT("Đ",J32*VLOOKUP(C12,O26:P31,2,FALSE)*10)</f>
        <v>Đ11695.7</v>
      </c>
      <c r="D15" s="4"/>
      <c r="N15" s="68" t="str">
        <f>_xlfn.CONCAT("Distance Points for ",J14)</f>
        <v>Distance Points for Diamond</v>
      </c>
      <c r="O15" s="69"/>
      <c r="P15" s="70"/>
      <c r="T15"/>
      <c r="U15"/>
      <c r="V15" s="10"/>
      <c r="W15"/>
      <c r="X15"/>
      <c r="AA15" s="3"/>
      <c r="AB15" s="3"/>
    </row>
    <row r="16" spans="2:29" x14ac:dyDescent="0.25">
      <c r="B16" s="1" t="s">
        <v>48</v>
      </c>
      <c r="C16" s="37">
        <f>MAX(0,C11-C14)</f>
        <v>160.86000000000013</v>
      </c>
      <c r="I16" s="65" t="s">
        <v>38</v>
      </c>
      <c r="J16" s="65"/>
      <c r="N16" s="18" t="s">
        <v>5</v>
      </c>
      <c r="O16" s="18" t="s">
        <v>6</v>
      </c>
      <c r="P16" s="18" t="s">
        <v>2</v>
      </c>
      <c r="T16"/>
      <c r="U16"/>
      <c r="W16"/>
    </row>
    <row r="17" spans="9:17" ht="14.45" customHeight="1" x14ac:dyDescent="0.25">
      <c r="I17" s="18" t="s">
        <v>30</v>
      </c>
      <c r="J17" s="18" t="s">
        <v>31</v>
      </c>
      <c r="N17" s="1" cm="1">
        <f t="array" ref="N17:N23">DistancePointsStefan[Lower]</f>
        <v>0</v>
      </c>
      <c r="O17" s="1" cm="1">
        <f t="array" ref="O17:O23">DistancePointsStefan[Upper]</f>
        <v>299</v>
      </c>
      <c r="P17" s="1" cm="1">
        <f t="array" ref="P17:P23">_xlfn.XLOOKUP(J14,DistancePointsStefan[#Headers],DistancePointsStefan[])</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7" t="s">
        <v>57</v>
      </c>
      <c r="J20" s="64">
        <v>45747</v>
      </c>
      <c r="N20" s="1">
        <v>900</v>
      </c>
      <c r="O20" s="1">
        <v>1199</v>
      </c>
      <c r="P20" s="1">
        <v>300</v>
      </c>
    </row>
    <row r="21" spans="9:17" x14ac:dyDescent="0.25">
      <c r="N21" s="1">
        <v>1200</v>
      </c>
      <c r="O21" s="1">
        <v>1499</v>
      </c>
      <c r="P21" s="1">
        <v>300</v>
      </c>
    </row>
    <row r="22" spans="9:17" x14ac:dyDescent="0.25">
      <c r="I22" s="65" t="s">
        <v>29</v>
      </c>
      <c r="J22" s="65"/>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30</v>
      </c>
      <c r="M27" s="39">
        <v>0</v>
      </c>
      <c r="N27" s="25">
        <v>799</v>
      </c>
      <c r="O27" s="25" t="s">
        <v>10</v>
      </c>
      <c r="P27" s="40">
        <v>0.05</v>
      </c>
      <c r="Q27" s="41" t="s">
        <v>50</v>
      </c>
    </row>
    <row r="28" spans="9:17" x14ac:dyDescent="0.25">
      <c r="I28" s="57" t="s">
        <v>36</v>
      </c>
      <c r="J28" s="60">
        <f>J26-J27</f>
        <v>1</v>
      </c>
      <c r="M28" s="42">
        <v>800</v>
      </c>
      <c r="N28" s="26">
        <v>1599</v>
      </c>
      <c r="O28" s="26" t="s">
        <v>12</v>
      </c>
      <c r="P28" s="43">
        <v>0.1</v>
      </c>
      <c r="Q28" s="44" t="s">
        <v>51</v>
      </c>
    </row>
    <row r="29" spans="9:17" x14ac:dyDescent="0.25">
      <c r="I29" s="56" t="s">
        <v>39</v>
      </c>
      <c r="J29" s="62">
        <f>C11-VLOOKUP(C11,M27:O31,1,TRUE)</f>
        <v>0</v>
      </c>
      <c r="M29" s="45">
        <v>1600</v>
      </c>
      <c r="N29" s="27">
        <v>2199</v>
      </c>
      <c r="O29" s="27" t="s">
        <v>15</v>
      </c>
      <c r="P29" s="46">
        <v>0.2</v>
      </c>
      <c r="Q29" s="47" t="s">
        <v>52</v>
      </c>
    </row>
    <row r="30" spans="9:17" x14ac:dyDescent="0.25">
      <c r="I30" s="58" t="s">
        <v>40</v>
      </c>
      <c r="J30" s="63">
        <f>MAX(0,C9-J29)</f>
        <v>100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2339.14</v>
      </c>
    </row>
    <row r="33" spans="9:10" x14ac:dyDescent="0.25">
      <c r="I33" s="11" t="s">
        <v>56</v>
      </c>
      <c r="J33" s="7">
        <f>SUM(J7:J10,J12)</f>
        <v>2589</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2B60514A-F1BD-4ADB-A95D-09E1CCF652F9}"/>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0580-2042-459B-AFBB-CAF4F016B905}">
  <sheetPr>
    <pageSetUpPr fitToPage="1"/>
  </sheetPr>
  <dimension ref="B2:AC33"/>
  <sheetViews>
    <sheetView tabSelected="1" zoomScaleNormal="100" workbookViewId="0"/>
  </sheetViews>
  <sheetFormatPr defaultColWidth="8.85546875" defaultRowHeight="15" x14ac:dyDescent="0.25"/>
  <cols>
    <col min="1" max="1" width="2.7109375" style="2" customWidth="1"/>
    <col min="2" max="2" width="25.140625" style="2"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4257812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Christiaan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8" t="s">
        <v>28</v>
      </c>
      <c r="J5" s="70"/>
      <c r="L5" s="65" t="s">
        <v>11</v>
      </c>
      <c r="M5" s="65"/>
      <c r="N5" s="65"/>
      <c r="O5" s="65"/>
      <c r="P5" s="65"/>
      <c r="Q5" s="65"/>
      <c r="R5" s="65"/>
      <c r="AB5" s="67"/>
      <c r="AC5" s="67"/>
    </row>
    <row r="6" spans="2:29" x14ac:dyDescent="0.25">
      <c r="B6" s="1" t="s">
        <v>0</v>
      </c>
      <c r="C6" s="7">
        <f>MIN(1500, IF($C$13,G7,G6+G9))</f>
        <v>1500</v>
      </c>
      <c r="E6" s="1" t="s">
        <v>42</v>
      </c>
      <c r="F6" s="7">
        <v>800</v>
      </c>
      <c r="G6" s="19">
        <f>J7</f>
        <v>1144</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43</v>
      </c>
      <c r="F7" s="7">
        <f>F6/J27*J26</f>
        <v>1078.2608695652173</v>
      </c>
      <c r="G7" s="7">
        <f>G6/J27*J26</f>
        <v>1541.913043478261</v>
      </c>
      <c r="I7" s="7" t="s">
        <v>0</v>
      </c>
      <c r="J7" s="7">
        <v>1144</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34.782608695652172</v>
      </c>
      <c r="G8" s="6">
        <f>G6/J27</f>
        <v>49.739130434782609</v>
      </c>
      <c r="I8" s="30" t="s">
        <v>4</v>
      </c>
      <c r="J8" s="7">
        <v>150</v>
      </c>
      <c r="L8" s="13">
        <v>300</v>
      </c>
      <c r="M8" s="1">
        <v>599</v>
      </c>
      <c r="N8" s="25">
        <v>100</v>
      </c>
      <c r="O8" s="26">
        <v>150</v>
      </c>
      <c r="P8" s="27">
        <v>200</v>
      </c>
      <c r="Q8" s="28">
        <v>250</v>
      </c>
      <c r="R8" s="29">
        <v>300</v>
      </c>
    </row>
    <row r="9" spans="2:29" x14ac:dyDescent="0.25">
      <c r="B9" s="1" t="s">
        <v>11</v>
      </c>
      <c r="C9" s="7">
        <f>VLOOKUP(IF(C13,F7,F6),N17:P23,3)</f>
        <v>200</v>
      </c>
      <c r="E9" s="1" t="s">
        <v>21</v>
      </c>
      <c r="F9" s="7" t="str">
        <f>IF(J31&gt;=M13, "Unlimited", J31-F6)</f>
        <v>Unlimited</v>
      </c>
      <c r="G9" s="7">
        <f>50*J28 + IF(J26&lt;30,(30-J26)*G8,0)</f>
        <v>400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125</v>
      </c>
      <c r="L10" s="13">
        <v>900</v>
      </c>
      <c r="M10" s="1">
        <v>1199</v>
      </c>
      <c r="N10" s="25">
        <v>50</v>
      </c>
      <c r="O10" s="26">
        <v>75</v>
      </c>
      <c r="P10" s="27">
        <v>100</v>
      </c>
      <c r="Q10" s="28">
        <v>175</v>
      </c>
      <c r="R10" s="29">
        <v>300</v>
      </c>
    </row>
    <row r="11" spans="2:29" x14ac:dyDescent="0.25">
      <c r="B11" s="1" t="s">
        <v>16</v>
      </c>
      <c r="C11" s="7">
        <f>SUM(C6:C10)</f>
        <v>2450</v>
      </c>
      <c r="E11" s="68" t="s">
        <v>27</v>
      </c>
      <c r="F11" s="69"/>
      <c r="G11" s="70"/>
      <c r="I11" s="30" t="s">
        <v>44</v>
      </c>
      <c r="J11" s="7">
        <v>849</v>
      </c>
      <c r="L11" s="13">
        <v>1200</v>
      </c>
      <c r="M11" s="1">
        <v>1499</v>
      </c>
      <c r="N11" s="25">
        <v>25</v>
      </c>
      <c r="O11" s="26">
        <v>50</v>
      </c>
      <c r="P11" s="27">
        <v>75</v>
      </c>
      <c r="Q11" s="28">
        <v>125</v>
      </c>
      <c r="R11" s="29">
        <v>300</v>
      </c>
      <c r="Z11"/>
    </row>
    <row r="12" spans="2:29" x14ac:dyDescent="0.25">
      <c r="B12" s="1" t="s">
        <v>19</v>
      </c>
      <c r="C12" s="1" t="str">
        <f>VLOOKUP(C11,M27:O31,3,TRUE)</f>
        <v>Gold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NightTimeDrive[[#This Row],[Penalty Weight]]*NightTimeDrive[[#This Row],[Duration]]</f>
        <v>0</v>
      </c>
      <c r="I13" s="30" t="s">
        <v>20</v>
      </c>
      <c r="J13" s="30">
        <v>921.26</v>
      </c>
      <c r="L13" s="14">
        <v>1800</v>
      </c>
      <c r="M13" s="12">
        <v>1800</v>
      </c>
      <c r="N13" s="32">
        <v>5</v>
      </c>
      <c r="O13" s="33">
        <v>10</v>
      </c>
      <c r="P13" s="34">
        <v>25</v>
      </c>
      <c r="Q13" s="35">
        <v>60</v>
      </c>
      <c r="R13" s="36">
        <v>100</v>
      </c>
      <c r="W13"/>
      <c r="Z13" s="9"/>
      <c r="AA13" s="3"/>
    </row>
    <row r="14" spans="2:29" x14ac:dyDescent="0.25">
      <c r="B14" s="1" t="s">
        <v>20</v>
      </c>
      <c r="C14" s="37">
        <f>J13</f>
        <v>921.26</v>
      </c>
      <c r="E14" s="1" t="s">
        <v>47</v>
      </c>
      <c r="F14" s="1">
        <f>SUBTOTAL(109,NightTimeDrive[Duration])</f>
        <v>0</v>
      </c>
      <c r="G14" s="1">
        <f>SUBTOTAL(109,NightTimeDrive[Points])</f>
        <v>0</v>
      </c>
      <c r="I14" s="7" t="s">
        <v>37</v>
      </c>
      <c r="J14" s="7" t="s">
        <v>17</v>
      </c>
      <c r="T14"/>
      <c r="U14"/>
      <c r="V14"/>
      <c r="W14"/>
      <c r="X14"/>
    </row>
    <row r="15" spans="2:29" x14ac:dyDescent="0.25">
      <c r="B15" s="1" t="s">
        <v>23</v>
      </c>
      <c r="C15" s="38" t="str">
        <f>_xlfn.CONCAT("Đ",J32*VLOOKUP(C12,O26:P31,2,FALSE)*10)</f>
        <v>Đ3224.41</v>
      </c>
      <c r="D15" s="4"/>
      <c r="N15" s="68" t="str">
        <f>_xlfn.CONCAT("Distance Points for ",J14)</f>
        <v>Distance Points for Gold</v>
      </c>
      <c r="O15" s="69"/>
      <c r="P15" s="70"/>
      <c r="T15"/>
      <c r="U15"/>
      <c r="V15" s="10"/>
      <c r="W15"/>
      <c r="X15"/>
      <c r="AA15" s="3"/>
      <c r="AB15" s="3"/>
    </row>
    <row r="16" spans="2:29" x14ac:dyDescent="0.25">
      <c r="B16" s="1" t="s">
        <v>48</v>
      </c>
      <c r="C16" s="37">
        <f>MAX(0,C11-C14)</f>
        <v>1528.74</v>
      </c>
      <c r="I16" s="68" t="s">
        <v>38</v>
      </c>
      <c r="J16" s="70"/>
      <c r="N16" s="18" t="s">
        <v>5</v>
      </c>
      <c r="O16" s="18" t="s">
        <v>6</v>
      </c>
      <c r="P16" s="18" t="s">
        <v>2</v>
      </c>
      <c r="T16"/>
      <c r="U16"/>
      <c r="W16"/>
    </row>
    <row r="17" spans="9:17" ht="14.45" customHeight="1" x14ac:dyDescent="0.25">
      <c r="I17" s="18" t="s">
        <v>30</v>
      </c>
      <c r="J17" s="18" t="s">
        <v>31</v>
      </c>
      <c r="N17" s="1" cm="1">
        <f t="array" ref="N17:N23">DistancePointsChristiaan[Lower]</f>
        <v>0</v>
      </c>
      <c r="O17" s="1" cm="1">
        <f t="array" ref="O17:O23">DistancePointsChristiaan[Upper]</f>
        <v>299</v>
      </c>
      <c r="P17" s="1" cm="1">
        <f t="array" ref="P17:P23">_xlfn.XLOOKUP(J14,DistancePointsChristiaan[#Headers],DistancePointsChristiaan[])</f>
        <v>300</v>
      </c>
    </row>
    <row r="18" spans="9:17" x14ac:dyDescent="0.25">
      <c r="I18" s="1" t="s">
        <v>32</v>
      </c>
      <c r="J18" s="1" t="s">
        <v>25</v>
      </c>
      <c r="N18" s="1">
        <v>300</v>
      </c>
      <c r="O18" s="1">
        <v>599</v>
      </c>
      <c r="P18" s="1">
        <v>250</v>
      </c>
    </row>
    <row r="19" spans="9:17" x14ac:dyDescent="0.25">
      <c r="I19" s="1" t="s">
        <v>33</v>
      </c>
      <c r="J19" s="1">
        <v>10</v>
      </c>
      <c r="N19" s="1">
        <v>600</v>
      </c>
      <c r="O19" s="1">
        <v>899</v>
      </c>
      <c r="P19" s="1">
        <v>200</v>
      </c>
    </row>
    <row r="20" spans="9:17" x14ac:dyDescent="0.25">
      <c r="I20" s="1" t="s">
        <v>57</v>
      </c>
      <c r="J20" s="64">
        <v>45740</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8</v>
      </c>
      <c r="M28" s="42">
        <v>800</v>
      </c>
      <c r="N28" s="26">
        <v>1599</v>
      </c>
      <c r="O28" s="26" t="s">
        <v>12</v>
      </c>
      <c r="P28" s="43">
        <v>0.1</v>
      </c>
      <c r="Q28" s="44" t="s">
        <v>51</v>
      </c>
    </row>
    <row r="29" spans="9:17" x14ac:dyDescent="0.25">
      <c r="I29" s="56" t="s">
        <v>39</v>
      </c>
      <c r="J29" s="62">
        <f>C11-VLOOKUP(C11,M27:O31,1,TRUE)</f>
        <v>250</v>
      </c>
      <c r="M29" s="45">
        <v>1600</v>
      </c>
      <c r="N29" s="27">
        <v>2199</v>
      </c>
      <c r="O29" s="27" t="s">
        <v>15</v>
      </c>
      <c r="P29" s="46">
        <v>0.2</v>
      </c>
      <c r="Q29" s="47" t="s">
        <v>52</v>
      </c>
    </row>
    <row r="30" spans="9:17" x14ac:dyDescent="0.25">
      <c r="I30" s="58" t="s">
        <v>40</v>
      </c>
      <c r="J30" s="63">
        <f>MAX(0,C9-J29)</f>
        <v>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921.26</v>
      </c>
    </row>
    <row r="33" spans="9:10" x14ac:dyDescent="0.25">
      <c r="I33" s="11" t="s">
        <v>56</v>
      </c>
      <c r="J33" s="7">
        <f>SUM(J7:J10,J12)</f>
        <v>2019</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13C58BC-B924-4E29-B64B-0ABFCF12F8E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C9EA-15F8-43BD-831E-AED1A6EDB8FC}">
  <sheetPr>
    <pageSetUpPr fitToPage="1"/>
  </sheetPr>
  <dimension ref="B2:AC33"/>
  <sheetViews>
    <sheetView zoomScaleNormal="100" workbookViewId="0"/>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28515625" style="2" bestFit="1" customWidth="1"/>
    <col min="7" max="7" width="9.7109375" style="2" customWidth="1"/>
    <col min="8" max="8" width="2.7109375" style="2" customWidth="1"/>
    <col min="9" max="9" width="22.42578125" style="2" bestFit="1" customWidth="1"/>
    <col min="10" max="10" width="11.4257812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Derrick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5" t="s">
        <v>28</v>
      </c>
      <c r="J5" s="65"/>
      <c r="L5" s="65" t="s">
        <v>11</v>
      </c>
      <c r="M5" s="65"/>
      <c r="N5" s="65"/>
      <c r="O5" s="65"/>
      <c r="P5" s="65"/>
      <c r="Q5" s="65"/>
      <c r="R5" s="65"/>
      <c r="AB5" s="67"/>
      <c r="AC5" s="67"/>
    </row>
    <row r="6" spans="2:29" x14ac:dyDescent="0.25">
      <c r="B6" s="1" t="s">
        <v>0</v>
      </c>
      <c r="C6" s="7">
        <f>MIN(1500, IF($C$13,G7,G6+G9))</f>
        <v>1493</v>
      </c>
      <c r="E6" s="1" t="s">
        <v>42</v>
      </c>
      <c r="F6" s="7">
        <v>500</v>
      </c>
      <c r="G6" s="19">
        <f>J7</f>
        <v>1093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43</v>
      </c>
      <c r="F7" s="7">
        <f>F6/J27*J26</f>
        <v>673.91304347826087</v>
      </c>
      <c r="G7" s="7">
        <f>G6/J27*J26</f>
        <v>1473.1739130434783</v>
      </c>
      <c r="I7" s="7" t="s">
        <v>0</v>
      </c>
      <c r="J7" s="7">
        <v>1093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21.739130434782609</v>
      </c>
      <c r="G8" s="6">
        <f>G6/J27</f>
        <v>47.521739130434781</v>
      </c>
      <c r="I8" s="30" t="s">
        <v>4</v>
      </c>
      <c r="J8" s="7">
        <v>150</v>
      </c>
      <c r="L8" s="13">
        <v>300</v>
      </c>
      <c r="M8" s="1">
        <v>599</v>
      </c>
      <c r="N8" s="25">
        <v>100</v>
      </c>
      <c r="O8" s="26">
        <v>150</v>
      </c>
      <c r="P8" s="27">
        <v>200</v>
      </c>
      <c r="Q8" s="28">
        <v>250</v>
      </c>
      <c r="R8" s="29">
        <v>300</v>
      </c>
    </row>
    <row r="9" spans="2:29" x14ac:dyDescent="0.25">
      <c r="B9" s="1" t="s">
        <v>11</v>
      </c>
      <c r="C9" s="7">
        <f>VLOOKUP(IF(C13,F7,F6),N17:P23,3)</f>
        <v>250</v>
      </c>
      <c r="E9" s="1" t="s">
        <v>21</v>
      </c>
      <c r="F9" s="7" t="str">
        <f>IF(J31&gt;=M13, "Unlimited", J31-F6)</f>
        <v>Unlimited</v>
      </c>
      <c r="G9" s="7">
        <f>50*J28 + IF(J26&lt;30,(30-J26)*G8,0)</f>
        <v>400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250</v>
      </c>
      <c r="L10" s="13">
        <v>900</v>
      </c>
      <c r="M10" s="1">
        <v>1199</v>
      </c>
      <c r="N10" s="25">
        <v>50</v>
      </c>
      <c r="O10" s="26">
        <v>75</v>
      </c>
      <c r="P10" s="27">
        <v>100</v>
      </c>
      <c r="Q10" s="28">
        <v>175</v>
      </c>
      <c r="R10" s="29">
        <v>300</v>
      </c>
    </row>
    <row r="11" spans="2:29" x14ac:dyDescent="0.25">
      <c r="B11" s="1" t="s">
        <v>16</v>
      </c>
      <c r="C11" s="7">
        <f>SUM(C6:C10)</f>
        <v>2493</v>
      </c>
      <c r="E11" s="68" t="s">
        <v>27</v>
      </c>
      <c r="F11" s="69"/>
      <c r="G11" s="70"/>
      <c r="I11" s="30" t="s">
        <v>44</v>
      </c>
      <c r="J11" s="7">
        <v>524</v>
      </c>
      <c r="L11" s="13">
        <v>1200</v>
      </c>
      <c r="M11" s="1">
        <v>1499</v>
      </c>
      <c r="N11" s="25">
        <v>25</v>
      </c>
      <c r="O11" s="26">
        <v>50</v>
      </c>
      <c r="P11" s="27">
        <v>75</v>
      </c>
      <c r="Q11" s="28">
        <v>125</v>
      </c>
      <c r="R11" s="29">
        <v>300</v>
      </c>
      <c r="Z11"/>
    </row>
    <row r="12" spans="2:29" x14ac:dyDescent="0.25">
      <c r="B12" s="1" t="s">
        <v>19</v>
      </c>
      <c r="C12" s="1" t="str">
        <f>VLOOKUP(C11,M27:O31,3,TRUE)</f>
        <v>Gold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NightTimeDrive11[[#This Row],[Penalty Weight]]*NightTimeDrive11[[#This Row],[Duration]]</f>
        <v>0</v>
      </c>
      <c r="I13" s="30" t="s">
        <v>20</v>
      </c>
      <c r="J13" s="30">
        <v>0</v>
      </c>
      <c r="L13" s="14">
        <v>1800</v>
      </c>
      <c r="M13" s="12">
        <v>1800</v>
      </c>
      <c r="N13" s="32">
        <v>5</v>
      </c>
      <c r="O13" s="33">
        <v>10</v>
      </c>
      <c r="P13" s="34">
        <v>25</v>
      </c>
      <c r="Q13" s="35">
        <v>60</v>
      </c>
      <c r="R13" s="36">
        <v>100</v>
      </c>
      <c r="W13"/>
      <c r="Z13" s="9"/>
      <c r="AA13" s="3"/>
    </row>
    <row r="14" spans="2:29" x14ac:dyDescent="0.25">
      <c r="B14" s="1" t="s">
        <v>20</v>
      </c>
      <c r="C14" s="37">
        <f>J13</f>
        <v>0</v>
      </c>
      <c r="E14" s="1" t="s">
        <v>47</v>
      </c>
      <c r="F14" s="1">
        <f>SUBTOTAL(109,NightTimeDrive11[Duration])</f>
        <v>0</v>
      </c>
      <c r="G14" s="1">
        <f>SUBTOTAL(109,NightTimeDrive11[Points])</f>
        <v>0</v>
      </c>
      <c r="I14" s="7" t="s">
        <v>37</v>
      </c>
      <c r="J14" s="7" t="s">
        <v>17</v>
      </c>
      <c r="T14"/>
      <c r="U14"/>
      <c r="V14"/>
      <c r="W14"/>
      <c r="X14"/>
    </row>
    <row r="15" spans="2:29" x14ac:dyDescent="0.25">
      <c r="B15" s="1" t="s">
        <v>23</v>
      </c>
      <c r="C15" s="38" t="str">
        <f>_xlfn.CONCAT("Đ",J32*VLOOKUP(C12,O26:P31,2,FALSE)*10)</f>
        <v>Đ0</v>
      </c>
      <c r="D15" s="4"/>
      <c r="N15" s="68" t="str">
        <f>_xlfn.CONCAT("Distance Points for ",J14)</f>
        <v>Distance Points for Gold</v>
      </c>
      <c r="O15" s="69"/>
      <c r="P15" s="70"/>
      <c r="T15"/>
      <c r="U15"/>
      <c r="V15" s="10"/>
      <c r="W15"/>
      <c r="X15"/>
      <c r="AA15" s="3"/>
      <c r="AB15" s="3"/>
    </row>
    <row r="16" spans="2:29" x14ac:dyDescent="0.25">
      <c r="B16" s="1" t="s">
        <v>48</v>
      </c>
      <c r="C16" s="37">
        <f>MAX(0,C11-C14)</f>
        <v>2493</v>
      </c>
      <c r="I16" s="65" t="s">
        <v>38</v>
      </c>
      <c r="J16" s="65"/>
      <c r="N16" s="18" t="s">
        <v>5</v>
      </c>
      <c r="O16" s="18" t="s">
        <v>6</v>
      </c>
      <c r="P16" s="18" t="s">
        <v>2</v>
      </c>
      <c r="T16"/>
      <c r="U16"/>
      <c r="W16"/>
    </row>
    <row r="17" spans="9:17" ht="14.45" customHeight="1" x14ac:dyDescent="0.25">
      <c r="I17" s="18" t="s">
        <v>30</v>
      </c>
      <c r="J17" s="18" t="s">
        <v>31</v>
      </c>
      <c r="N17" s="1" cm="1">
        <f t="array" ref="N17:N23">DistancePointsDerrick[Lower]</f>
        <v>0</v>
      </c>
      <c r="O17" s="1" cm="1">
        <f t="array" ref="O17:O23">DistancePointsDerrick[Upper]</f>
        <v>299</v>
      </c>
      <c r="P17" s="1" cm="1">
        <f t="array" ref="P17:P23">_xlfn.XLOOKUP(J14,DistancePointsDerrick[#Headers],DistancePointsDerrick[])</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57</v>
      </c>
      <c r="J20" s="64">
        <v>45740</v>
      </c>
      <c r="N20" s="1">
        <v>900</v>
      </c>
      <c r="O20" s="1">
        <v>1199</v>
      </c>
      <c r="P20" s="1">
        <v>175</v>
      </c>
    </row>
    <row r="21" spans="9:17" x14ac:dyDescent="0.25">
      <c r="N21" s="1">
        <v>1200</v>
      </c>
      <c r="O21" s="1">
        <v>1499</v>
      </c>
      <c r="P21" s="1">
        <v>125</v>
      </c>
    </row>
    <row r="22" spans="9:17" x14ac:dyDescent="0.25">
      <c r="I22" s="65" t="s">
        <v>29</v>
      </c>
      <c r="J22" s="65"/>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8</v>
      </c>
      <c r="M28" s="42">
        <v>800</v>
      </c>
      <c r="N28" s="26">
        <v>1599</v>
      </c>
      <c r="O28" s="26" t="s">
        <v>12</v>
      </c>
      <c r="P28" s="43">
        <v>0.1</v>
      </c>
      <c r="Q28" s="44" t="s">
        <v>51</v>
      </c>
    </row>
    <row r="29" spans="9:17" x14ac:dyDescent="0.25">
      <c r="I29" s="56" t="s">
        <v>39</v>
      </c>
      <c r="J29" s="62">
        <f>C11-VLOOKUP(C11,M27:O31,1,TRUE)</f>
        <v>293</v>
      </c>
      <c r="M29" s="45">
        <v>1600</v>
      </c>
      <c r="N29" s="27">
        <v>2199</v>
      </c>
      <c r="O29" s="27" t="s">
        <v>15</v>
      </c>
      <c r="P29" s="46">
        <v>0.2</v>
      </c>
      <c r="Q29" s="47" t="s">
        <v>52</v>
      </c>
    </row>
    <row r="30" spans="9:17" x14ac:dyDescent="0.25">
      <c r="I30" s="58" t="s">
        <v>40</v>
      </c>
      <c r="J30" s="63">
        <f>MAX(0,C9-J29)</f>
        <v>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0</v>
      </c>
    </row>
    <row r="33" spans="9:10" x14ac:dyDescent="0.25">
      <c r="I33" s="11" t="s">
        <v>56</v>
      </c>
      <c r="J33" s="7">
        <f>SUM(J7:J10,J12)</f>
        <v>2093</v>
      </c>
    </row>
  </sheetData>
  <protectedRanges>
    <protectedRange sqref="C7:C8 C10 C16 C14" name="RequiresInput_1"/>
    <protectedRange sqref="F6:G6" name="RequiresInput_1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disablePrompts="1"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E72BB58-1177-473B-BF7A-A98C86835AA3}"/>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2025-03-31T08:55:52Z</dcterms:modified>
  <cp:category/>
  <cp:contentStatus/>
</cp:coreProperties>
</file>