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GA\Desktop\"/>
    </mc:Choice>
  </mc:AlternateContent>
  <xr:revisionPtr revIDLastSave="0" documentId="8_{C79BFD7A-9188-4420-9474-FA128A58671C}" xr6:coauthVersionLast="36" xr6:coauthVersionMax="36" xr10:uidLastSave="{00000000-0000-0000-0000-000000000000}"/>
  <bookViews>
    <workbookView xWindow="0" yWindow="0" windowWidth="28800" windowHeight="11805" xr2:uid="{3D3808CA-EA54-442D-838C-280ABB729A51}"/>
  </bookViews>
  <sheets>
    <sheet name="Telefonía Fij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\0">'[2]PIB POR SECTORES'!#REF!</definedName>
    <definedName name="\1">#REF!</definedName>
    <definedName name="\2">#REF!</definedName>
    <definedName name="\3">#REF!</definedName>
    <definedName name="\4">#REF!</definedName>
    <definedName name="\5">#REF!</definedName>
    <definedName name="\6">#REF!</definedName>
    <definedName name="\7">#REF!</definedName>
    <definedName name="\a">#N/A</definedName>
    <definedName name="\AV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XA">#REF!</definedName>
    <definedName name="\XB">#REF!</definedName>
    <definedName name="\XC">#REF!</definedName>
    <definedName name="\XD">#REF!</definedName>
    <definedName name="\XE">#REF!</definedName>
    <definedName name="\XF">#REF!</definedName>
    <definedName name="\XG">#REF!</definedName>
    <definedName name="\y">#REF!</definedName>
    <definedName name="\z">#REF!</definedName>
    <definedName name="__" hidden="1">'[3]Prod. Agrícolas de Exportación'!#REF!</definedName>
    <definedName name="__11" hidden="1">'[4]indice 97-98'!#REF!</definedName>
    <definedName name="__123Graph_A" hidden="1">'[3]Prod. Agrícolas de Exportación'!#REF!</definedName>
    <definedName name="__123Graph_B" hidden="1">'[3]Prod. Agrícolas de Exportación'!#REF!</definedName>
    <definedName name="_1">'[3]Prod. Agrícolas de Exportación'!#REF!</definedName>
    <definedName name="_13B">#REF!</definedName>
    <definedName name="_13BB">#REF!</definedName>
    <definedName name="_14A">#REF!</definedName>
    <definedName name="_14B">#REF!</definedName>
    <definedName name="_14D">#REF!</definedName>
    <definedName name="_14E">#REF!</definedName>
    <definedName name="_14EE">#REF!</definedName>
    <definedName name="_2">'[5]IMBANCA Y SEGUROS FINAL'!#REF!</definedName>
    <definedName name="_58">#REF!</definedName>
    <definedName name="_5A">#REF!</definedName>
    <definedName name="_5AA">#REF!</definedName>
    <definedName name="_AGO2">#N/A</definedName>
    <definedName name="_AGO3">#N/A</definedName>
    <definedName name="_INE1">#REF!</definedName>
    <definedName name="_JUL1">#N/A</definedName>
    <definedName name="_JUL2">#N/A</definedName>
    <definedName name="_JUL4">#N/A</definedName>
    <definedName name="_JUN1">#N/A</definedName>
    <definedName name="_JUN3">#N/A</definedName>
    <definedName name="_JUN4">#N/A</definedName>
    <definedName name="_Key1" hidden="1">#REF!</definedName>
    <definedName name="_Order1" hidden="1">255</definedName>
    <definedName name="_otro" hidden="1">'[3]Prod. Agrícolas de Exportación'!#REF!</definedName>
    <definedName name="_R">#REF!</definedName>
    <definedName name="_RTI58">#REF!</definedName>
    <definedName name="_Sort" hidden="1">#REF!</definedName>
    <definedName name="A">#REF!</definedName>
    <definedName name="A_impresión_IM">'[2]PIB POR SECTORES'!#REF!</definedName>
    <definedName name="AAA">#REF!</definedName>
    <definedName name="B">#REF!</definedName>
    <definedName name="BASICA">#N/A</definedName>
    <definedName name="BONO">#REF!</definedName>
    <definedName name="C_">#REF!</definedName>
    <definedName name="CONS">'[6]CONSTRUCCIÓN PRIVADA Y PUBLICA'!#REF!</definedName>
    <definedName name="CONSTPRIV">'[6]CONSTRUCCIÓN PRIVADA Y PUBLICA'!#REF!</definedName>
    <definedName name="CORE">#REF!</definedName>
    <definedName name="CRE">#REF!</definedName>
    <definedName name="CT">#N/A</definedName>
    <definedName name="CT1_">#N/A</definedName>
    <definedName name="DEUDA">#REF!</definedName>
    <definedName name="E">#REF!</definedName>
    <definedName name="EJEMPLO">#REF!</definedName>
    <definedName name="EXPORT">'[3]Prod. Agrícolas de Exportación'!#REF!</definedName>
    <definedName name="FECHA">#REF!</definedName>
    <definedName name="FER">#REF!</definedName>
    <definedName name="FONDO">#REF!</definedName>
    <definedName name="FRV">'[2]PIB POR SECTORES'!#REF!</definedName>
    <definedName name="GATO">'[2]PIB POR SECTORES'!#REF!</definedName>
    <definedName name="_xlnm.Recorder">#REF!</definedName>
    <definedName name="HOJA1">#REF!</definedName>
    <definedName name="HOJA2">#REF!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"C:\Mis documentos\ceie01.htm"</definedName>
    <definedName name="HTML_Title" hidden="1">""</definedName>
    <definedName name="IMAE">'[5]IMBANCA Y SEGUROS FINAL'!#REF!</definedName>
    <definedName name="IMPRESION" hidden="1">'[3]Prod. Agrícolas de Exportación'!#REF!</definedName>
    <definedName name="IND">'[5]IMBANCA Y SEGUROS FINAL'!#REF!</definedName>
    <definedName name="INDCONST">'[6]CONSTRUCCIÓN PRIVADA Y PUBLICA'!$AA$11:$AA$124</definedName>
    <definedName name="INDCONST2">'[6]CONSTRUCCIÓN PRIVADA Y PUBLICA'!$AE$778:$AE$891</definedName>
    <definedName name="INDICE">#REF!</definedName>
    <definedName name="INE">#REF!</definedName>
    <definedName name="IS">#REF!</definedName>
    <definedName name="M">#REF!</definedName>
    <definedName name="OTO">'[2]PIB POR SECTORES'!#REF!</definedName>
    <definedName name="PETRO">#REF!</definedName>
    <definedName name="PIB_K">#REF!</definedName>
    <definedName name="PIBSEC">'[2]PIB POR SECTORES'!#REF!</definedName>
    <definedName name="PIBSEC58">'[2]PIB POR SECTORES'!#REF!</definedName>
    <definedName name="pibsect">#REF!</definedName>
    <definedName name="PRINT_AREA">#REF!</definedName>
    <definedName name="PRINT_TITLES">#REF!</definedName>
    <definedName name="REL">#REF!</definedName>
    <definedName name="RES">#REF!</definedName>
    <definedName name="RESERV">#REF!</definedName>
    <definedName name="ROSA">'[2]PIB POR SECTORES'!#REF!</definedName>
    <definedName name="S">#REF!</definedName>
    <definedName name="SEC">#REF!</definedName>
    <definedName name="SECT">'[2]PIB POR SECTORES'!#REF!</definedName>
    <definedName name="SECT58PIB">#REF!</definedName>
    <definedName name="SECTOR">#REF!</definedName>
    <definedName name="slslss">'[2]PIB POR SECTORES'!#REF!</definedName>
    <definedName name="T">#REF!</definedName>
    <definedName name="TERM">#REF!</definedName>
    <definedName name="TITULO">#REF!</definedName>
    <definedName name="TM">#N/A</definedName>
    <definedName name="TODO">#N/A</definedName>
    <definedName name="TRAS">#N/A</definedName>
    <definedName name="UNO">'[3]Prod. Agrícolas de Exportación'!#REF!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I53" i="1"/>
  <c r="P52" i="1"/>
  <c r="O52" i="1"/>
  <c r="N52" i="1"/>
  <c r="M52" i="1"/>
  <c r="J52" i="1"/>
  <c r="H52" i="1"/>
  <c r="F52" i="1"/>
  <c r="E52" i="1"/>
  <c r="D52" i="1"/>
  <c r="P51" i="1"/>
  <c r="O51" i="1"/>
  <c r="N51" i="1"/>
  <c r="M51" i="1"/>
  <c r="J51" i="1"/>
  <c r="H51" i="1"/>
  <c r="F51" i="1"/>
  <c r="E51" i="1"/>
  <c r="D51" i="1"/>
  <c r="P50" i="1"/>
  <c r="O50" i="1"/>
  <c r="N50" i="1"/>
  <c r="M50" i="1"/>
  <c r="J50" i="1"/>
  <c r="H50" i="1"/>
  <c r="F50" i="1"/>
  <c r="E50" i="1"/>
  <c r="D50" i="1"/>
  <c r="P49" i="1"/>
  <c r="O49" i="1"/>
  <c r="N49" i="1"/>
  <c r="M49" i="1"/>
  <c r="J49" i="1"/>
  <c r="H49" i="1"/>
  <c r="F49" i="1" s="1"/>
  <c r="P48" i="1"/>
  <c r="O48" i="1"/>
  <c r="N48" i="1"/>
  <c r="M48" i="1"/>
  <c r="J48" i="1"/>
  <c r="H48" i="1"/>
  <c r="F48" i="1" s="1"/>
  <c r="P47" i="1"/>
  <c r="O47" i="1"/>
  <c r="N47" i="1"/>
  <c r="M47" i="1"/>
  <c r="J47" i="1"/>
  <c r="H47" i="1"/>
  <c r="D47" i="1" s="1"/>
  <c r="F47" i="1"/>
  <c r="E47" i="1"/>
  <c r="P46" i="1"/>
  <c r="O46" i="1"/>
  <c r="N46" i="1"/>
  <c r="M46" i="1"/>
  <c r="J46" i="1"/>
  <c r="H46" i="1"/>
  <c r="D46" i="1" s="1"/>
  <c r="F46" i="1"/>
  <c r="E46" i="1"/>
  <c r="P45" i="1"/>
  <c r="O45" i="1"/>
  <c r="N45" i="1"/>
  <c r="M45" i="1"/>
  <c r="J45" i="1"/>
  <c r="H45" i="1"/>
  <c r="F45" i="1"/>
  <c r="E45" i="1"/>
  <c r="D45" i="1"/>
  <c r="P44" i="1"/>
  <c r="O44" i="1"/>
  <c r="N44" i="1"/>
  <c r="M44" i="1"/>
  <c r="J44" i="1"/>
  <c r="H44" i="1"/>
  <c r="F44" i="1"/>
  <c r="E44" i="1"/>
  <c r="D44" i="1"/>
  <c r="P43" i="1"/>
  <c r="O43" i="1"/>
  <c r="N43" i="1"/>
  <c r="M43" i="1"/>
  <c r="J43" i="1"/>
  <c r="H43" i="1"/>
  <c r="F43" i="1"/>
  <c r="E43" i="1"/>
  <c r="D43" i="1"/>
  <c r="P42" i="1"/>
  <c r="O42" i="1"/>
  <c r="N42" i="1"/>
  <c r="M42" i="1"/>
  <c r="J42" i="1"/>
  <c r="H42" i="1"/>
  <c r="F42" i="1"/>
  <c r="E42" i="1"/>
  <c r="D42" i="1"/>
  <c r="P41" i="1"/>
  <c r="O41" i="1"/>
  <c r="N41" i="1"/>
  <c r="M41" i="1"/>
  <c r="J41" i="1"/>
  <c r="H41" i="1"/>
  <c r="F41" i="1"/>
  <c r="E41" i="1"/>
  <c r="D41" i="1"/>
  <c r="P40" i="1"/>
  <c r="O40" i="1"/>
  <c r="N40" i="1"/>
  <c r="M40" i="1"/>
  <c r="J40" i="1"/>
  <c r="H40" i="1"/>
  <c r="F40" i="1" s="1"/>
  <c r="E40" i="1"/>
  <c r="D40" i="1"/>
  <c r="P39" i="1"/>
  <c r="O39" i="1"/>
  <c r="N39" i="1"/>
  <c r="M39" i="1"/>
  <c r="J39" i="1"/>
  <c r="H39" i="1"/>
  <c r="F39" i="1"/>
  <c r="E39" i="1"/>
  <c r="D39" i="1"/>
  <c r="P38" i="1"/>
  <c r="O38" i="1"/>
  <c r="N38" i="1"/>
  <c r="M38" i="1"/>
  <c r="J38" i="1"/>
  <c r="H38" i="1"/>
  <c r="E38" i="1" s="1"/>
  <c r="F38" i="1"/>
  <c r="P37" i="1"/>
  <c r="O37" i="1"/>
  <c r="N37" i="1"/>
  <c r="M37" i="1"/>
  <c r="J37" i="1"/>
  <c r="H37" i="1"/>
  <c r="E37" i="1" s="1"/>
  <c r="F37" i="1"/>
  <c r="P36" i="1"/>
  <c r="O36" i="1"/>
  <c r="N36" i="1"/>
  <c r="M36" i="1"/>
  <c r="J36" i="1"/>
  <c r="H36" i="1"/>
  <c r="F36" i="1"/>
  <c r="E36" i="1"/>
  <c r="D36" i="1"/>
  <c r="P35" i="1"/>
  <c r="O35" i="1"/>
  <c r="N35" i="1"/>
  <c r="M35" i="1"/>
  <c r="J35" i="1"/>
  <c r="H35" i="1"/>
  <c r="F35" i="1"/>
  <c r="E35" i="1"/>
  <c r="D35" i="1"/>
  <c r="P34" i="1"/>
  <c r="O34" i="1"/>
  <c r="N34" i="1"/>
  <c r="M34" i="1"/>
  <c r="J34" i="1"/>
  <c r="H34" i="1"/>
  <c r="F34" i="1"/>
  <c r="E34" i="1"/>
  <c r="D34" i="1"/>
  <c r="P33" i="1"/>
  <c r="O33" i="1"/>
  <c r="N33" i="1"/>
  <c r="M33" i="1"/>
  <c r="J33" i="1"/>
  <c r="H33" i="1"/>
  <c r="F33" i="1"/>
  <c r="E33" i="1"/>
  <c r="D33" i="1"/>
  <c r="P32" i="1"/>
  <c r="O32" i="1"/>
  <c r="N32" i="1"/>
  <c r="M32" i="1"/>
  <c r="J32" i="1"/>
  <c r="H32" i="1"/>
  <c r="H53" i="1" s="1"/>
  <c r="F32" i="1"/>
  <c r="E32" i="1"/>
  <c r="D32" i="1"/>
  <c r="P31" i="1"/>
  <c r="P53" i="1" s="1"/>
  <c r="O31" i="1"/>
  <c r="O53" i="1" s="1"/>
  <c r="N31" i="1"/>
  <c r="N53" i="1" s="1"/>
  <c r="M31" i="1"/>
  <c r="M53" i="1" s="1"/>
  <c r="J31" i="1"/>
  <c r="H31" i="1"/>
  <c r="F31" i="1"/>
  <c r="E31" i="1"/>
  <c r="D31" i="1"/>
  <c r="K25" i="1"/>
  <c r="U18" i="1" s="1"/>
  <c r="D25" i="1"/>
  <c r="C25" i="1"/>
  <c r="N21" i="1" s="1"/>
  <c r="O24" i="1"/>
  <c r="N24" i="1"/>
  <c r="L24" i="1"/>
  <c r="J24" i="1"/>
  <c r="I24" i="1"/>
  <c r="S24" i="1" s="1"/>
  <c r="H24" i="1"/>
  <c r="R24" i="1" s="1"/>
  <c r="G24" i="1"/>
  <c r="Q24" i="1" s="1"/>
  <c r="F24" i="1"/>
  <c r="P24" i="1" s="1"/>
  <c r="E24" i="1"/>
  <c r="O23" i="1"/>
  <c r="N23" i="1"/>
  <c r="L23" i="1"/>
  <c r="J23" i="1"/>
  <c r="I23" i="1"/>
  <c r="H23" i="1"/>
  <c r="G23" i="1"/>
  <c r="F23" i="1"/>
  <c r="E23" i="1"/>
  <c r="U22" i="1"/>
  <c r="O22" i="1"/>
  <c r="N22" i="1"/>
  <c r="L22" i="1"/>
  <c r="J22" i="1"/>
  <c r="I22" i="1"/>
  <c r="H22" i="1"/>
  <c r="R22" i="1" s="1"/>
  <c r="G22" i="1"/>
  <c r="Q22" i="1" s="1"/>
  <c r="F22" i="1"/>
  <c r="P22" i="1" s="1"/>
  <c r="E22" i="1"/>
  <c r="O21" i="1"/>
  <c r="E21" i="1" s="1"/>
  <c r="L21" i="1"/>
  <c r="J21" i="1"/>
  <c r="H21" i="1"/>
  <c r="G21" i="1"/>
  <c r="F21" i="1"/>
  <c r="O20" i="1"/>
  <c r="E20" i="1" s="1"/>
  <c r="N20" i="1"/>
  <c r="L20" i="1"/>
  <c r="J20" i="1"/>
  <c r="I20" i="1"/>
  <c r="S20" i="1" s="1"/>
  <c r="H20" i="1"/>
  <c r="G20" i="1"/>
  <c r="F20" i="1"/>
  <c r="O19" i="1"/>
  <c r="N19" i="1"/>
  <c r="L19" i="1"/>
  <c r="V19" i="1" s="1"/>
  <c r="J19" i="1"/>
  <c r="T19" i="1" s="1"/>
  <c r="I19" i="1"/>
  <c r="S19" i="1" s="1"/>
  <c r="H19" i="1"/>
  <c r="R19" i="1" s="1"/>
  <c r="G19" i="1"/>
  <c r="Q19" i="1" s="1"/>
  <c r="F19" i="1"/>
  <c r="P19" i="1" s="1"/>
  <c r="E19" i="1"/>
  <c r="O18" i="1"/>
  <c r="N18" i="1"/>
  <c r="L18" i="1"/>
  <c r="J18" i="1"/>
  <c r="I18" i="1"/>
  <c r="S18" i="1" s="1"/>
  <c r="H18" i="1"/>
  <c r="G18" i="1"/>
  <c r="F18" i="1"/>
  <c r="E18" i="1"/>
  <c r="U17" i="1"/>
  <c r="O17" i="1"/>
  <c r="N17" i="1"/>
  <c r="L17" i="1"/>
  <c r="J17" i="1"/>
  <c r="I17" i="1"/>
  <c r="H17" i="1"/>
  <c r="G17" i="1"/>
  <c r="Q17" i="1" s="1"/>
  <c r="F17" i="1"/>
  <c r="P17" i="1" s="1"/>
  <c r="E17" i="1"/>
  <c r="O16" i="1"/>
  <c r="E16" i="1" s="1"/>
  <c r="N16" i="1"/>
  <c r="L16" i="1"/>
  <c r="J16" i="1"/>
  <c r="I16" i="1"/>
  <c r="H16" i="1"/>
  <c r="G16" i="1"/>
  <c r="F16" i="1"/>
  <c r="O15" i="1"/>
  <c r="E15" i="1" s="1"/>
  <c r="N15" i="1"/>
  <c r="L15" i="1"/>
  <c r="J15" i="1"/>
  <c r="I15" i="1"/>
  <c r="S15" i="1" s="1"/>
  <c r="H15" i="1"/>
  <c r="H25" i="1" s="1"/>
  <c r="G15" i="1"/>
  <c r="F15" i="1"/>
  <c r="O14" i="1"/>
  <c r="N14" i="1"/>
  <c r="L14" i="1"/>
  <c r="V14" i="1" s="1"/>
  <c r="J14" i="1"/>
  <c r="T14" i="1" s="1"/>
  <c r="H14" i="1"/>
  <c r="G14" i="1"/>
  <c r="F14" i="1"/>
  <c r="E14" i="1"/>
  <c r="U13" i="1"/>
  <c r="O13" i="1"/>
  <c r="N13" i="1"/>
  <c r="L13" i="1"/>
  <c r="J13" i="1"/>
  <c r="H13" i="1"/>
  <c r="G13" i="1"/>
  <c r="Q13" i="1" s="1"/>
  <c r="F13" i="1"/>
  <c r="E13" i="1"/>
  <c r="O12" i="1"/>
  <c r="L12" i="1"/>
  <c r="J12" i="1"/>
  <c r="H12" i="1"/>
  <c r="G12" i="1"/>
  <c r="F12" i="1"/>
  <c r="E12" i="1"/>
  <c r="O11" i="1"/>
  <c r="E11" i="1" s="1"/>
  <c r="N11" i="1"/>
  <c r="L11" i="1"/>
  <c r="J11" i="1"/>
  <c r="I11" i="1"/>
  <c r="I25" i="1" s="1"/>
  <c r="H11" i="1"/>
  <c r="G11" i="1"/>
  <c r="F11" i="1"/>
  <c r="O10" i="1"/>
  <c r="N10" i="1"/>
  <c r="L10" i="1"/>
  <c r="J10" i="1"/>
  <c r="H10" i="1"/>
  <c r="G10" i="1"/>
  <c r="Q10" i="1" s="1"/>
  <c r="F10" i="1"/>
  <c r="P10" i="1" s="1"/>
  <c r="E10" i="1"/>
  <c r="O9" i="1"/>
  <c r="N9" i="1"/>
  <c r="L9" i="1"/>
  <c r="J9" i="1"/>
  <c r="T9" i="1" s="1"/>
  <c r="H9" i="1"/>
  <c r="G9" i="1"/>
  <c r="F9" i="1"/>
  <c r="E9" i="1"/>
  <c r="O8" i="1"/>
  <c r="L8" i="1"/>
  <c r="J8" i="1"/>
  <c r="H8" i="1"/>
  <c r="G8" i="1"/>
  <c r="F8" i="1"/>
  <c r="E8" i="1"/>
  <c r="O7" i="1"/>
  <c r="E7" i="1" s="1"/>
  <c r="N7" i="1"/>
  <c r="L7" i="1"/>
  <c r="L25" i="1" s="1"/>
  <c r="J7" i="1"/>
  <c r="J25" i="1" s="1"/>
  <c r="I7" i="1"/>
  <c r="H7" i="1"/>
  <c r="G7" i="1"/>
  <c r="F7" i="1"/>
  <c r="O6" i="1"/>
  <c r="E6" i="1" s="1"/>
  <c r="N6" i="1"/>
  <c r="L6" i="1"/>
  <c r="J6" i="1"/>
  <c r="I6" i="1"/>
  <c r="H6" i="1"/>
  <c r="G6" i="1"/>
  <c r="F6" i="1"/>
  <c r="O5" i="1"/>
  <c r="N5" i="1"/>
  <c r="L5" i="1"/>
  <c r="J5" i="1"/>
  <c r="H5" i="1"/>
  <c r="G5" i="1"/>
  <c r="Q5" i="1" s="1"/>
  <c r="F5" i="1"/>
  <c r="P5" i="1" s="1"/>
  <c r="E5" i="1"/>
  <c r="U4" i="1"/>
  <c r="O4" i="1"/>
  <c r="N4" i="1"/>
  <c r="L4" i="1"/>
  <c r="J4" i="1"/>
  <c r="I4" i="1"/>
  <c r="H4" i="1"/>
  <c r="G4" i="1"/>
  <c r="F4" i="1"/>
  <c r="E4" i="1"/>
  <c r="O3" i="1"/>
  <c r="E3" i="1" s="1"/>
  <c r="L3" i="1"/>
  <c r="J3" i="1"/>
  <c r="I3" i="1"/>
  <c r="H3" i="1"/>
  <c r="G3" i="1"/>
  <c r="G25" i="1" s="1"/>
  <c r="F3" i="1"/>
  <c r="F25" i="1" s="1"/>
  <c r="T21" i="1" l="1"/>
  <c r="T12" i="1"/>
  <c r="T8" i="1"/>
  <c r="T4" i="1"/>
  <c r="T3" i="1"/>
  <c r="T17" i="1"/>
  <c r="T22" i="1"/>
  <c r="T16" i="1"/>
  <c r="R21" i="1"/>
  <c r="R3" i="1"/>
  <c r="R12" i="1"/>
  <c r="R8" i="1"/>
  <c r="R17" i="1"/>
  <c r="R16" i="1"/>
  <c r="R11" i="1"/>
  <c r="R7" i="1"/>
  <c r="P21" i="1"/>
  <c r="P11" i="1"/>
  <c r="P7" i="1"/>
  <c r="P16" i="1"/>
  <c r="P12" i="1"/>
  <c r="P3" i="1"/>
  <c r="P20" i="1"/>
  <c r="P15" i="1"/>
  <c r="V13" i="1"/>
  <c r="V12" i="1"/>
  <c r="V17" i="1"/>
  <c r="V4" i="1"/>
  <c r="V18" i="1"/>
  <c r="V9" i="1"/>
  <c r="V8" i="1"/>
  <c r="V22" i="1"/>
  <c r="V16" i="1"/>
  <c r="V21" i="1"/>
  <c r="V3" i="1"/>
  <c r="P13" i="1"/>
  <c r="Q16" i="1"/>
  <c r="Q3" i="1"/>
  <c r="Q7" i="1"/>
  <c r="Q8" i="1"/>
  <c r="Q21" i="1"/>
  <c r="Q12" i="1"/>
  <c r="Q20" i="1"/>
  <c r="Q15" i="1"/>
  <c r="Q11" i="1"/>
  <c r="V10" i="1"/>
  <c r="P8" i="1"/>
  <c r="P18" i="1"/>
  <c r="Q18" i="1"/>
  <c r="T20" i="1"/>
  <c r="P6" i="1"/>
  <c r="R18" i="1"/>
  <c r="V20" i="1"/>
  <c r="P23" i="1"/>
  <c r="Q6" i="1"/>
  <c r="Q23" i="1"/>
  <c r="R6" i="1"/>
  <c r="T24" i="1"/>
  <c r="R10" i="1"/>
  <c r="V24" i="1"/>
  <c r="R5" i="1"/>
  <c r="T10" i="1"/>
  <c r="T15" i="1"/>
  <c r="T5" i="1"/>
  <c r="V15" i="1"/>
  <c r="V5" i="1"/>
  <c r="R13" i="1"/>
  <c r="R20" i="1"/>
  <c r="T13" i="1"/>
  <c r="S22" i="1"/>
  <c r="S13" i="1"/>
  <c r="S5" i="1"/>
  <c r="S10" i="1"/>
  <c r="S21" i="1"/>
  <c r="S17" i="1"/>
  <c r="S4" i="1"/>
  <c r="S9" i="1"/>
  <c r="S14" i="1"/>
  <c r="S16" i="1"/>
  <c r="S3" i="1"/>
  <c r="S25" i="1" s="1"/>
  <c r="S12" i="1"/>
  <c r="S8" i="1"/>
  <c r="S7" i="1"/>
  <c r="T18" i="1"/>
  <c r="R23" i="1"/>
  <c r="P4" i="1"/>
  <c r="S6" i="1"/>
  <c r="T11" i="1"/>
  <c r="S23" i="1"/>
  <c r="Q4" i="1"/>
  <c r="T6" i="1"/>
  <c r="P9" i="1"/>
  <c r="V11" i="1"/>
  <c r="P14" i="1"/>
  <c r="T23" i="1"/>
  <c r="R4" i="1"/>
  <c r="V6" i="1"/>
  <c r="Q9" i="1"/>
  <c r="Q14" i="1"/>
  <c r="V23" i="1"/>
  <c r="R9" i="1"/>
  <c r="R14" i="1"/>
  <c r="U3" i="1"/>
  <c r="U21" i="1"/>
  <c r="O25" i="1"/>
  <c r="U16" i="1"/>
  <c r="T7" i="1"/>
  <c r="S11" i="1"/>
  <c r="R15" i="1"/>
  <c r="D48" i="1"/>
  <c r="U7" i="1"/>
  <c r="D37" i="1"/>
  <c r="E48" i="1"/>
  <c r="V7" i="1"/>
  <c r="U11" i="1"/>
  <c r="U20" i="1"/>
  <c r="U10" i="1"/>
  <c r="U24" i="1"/>
  <c r="U14" i="1"/>
  <c r="U5" i="1"/>
  <c r="N8" i="1"/>
  <c r="D49" i="1"/>
  <c r="U8" i="1"/>
  <c r="U12" i="1"/>
  <c r="U15" i="1"/>
  <c r="U6" i="1"/>
  <c r="K26" i="1"/>
  <c r="U19" i="1"/>
  <c r="N12" i="1"/>
  <c r="U23" i="1"/>
  <c r="D38" i="1"/>
  <c r="E49" i="1"/>
  <c r="N3" i="1"/>
  <c r="N25" i="1" s="1"/>
  <c r="U9" i="1"/>
  <c r="V25" i="1" l="1"/>
  <c r="U25" i="1"/>
  <c r="Q25" i="1"/>
  <c r="R25" i="1"/>
  <c r="P25" i="1"/>
  <c r="T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Carolina Elizabeth Ramos Gomez</author>
  </authors>
  <commentList>
    <comment ref="D25" authorId="0" shapeId="0" xr:uid="{D3BF9A19-8475-4E65-A248-5CBBF3CB4B33}">
      <text>
        <r>
          <rPr>
            <b/>
            <sz val="9"/>
            <color indexed="81"/>
            <rFont val="Tahoma"/>
            <family val="2"/>
          </rPr>
          <t>Carolina Elizabeth Ramos Gomez:</t>
        </r>
        <r>
          <rPr>
            <sz val="9"/>
            <color indexed="81"/>
            <rFont val="Tahoma"/>
            <family val="2"/>
          </rPr>
          <t xml:space="preserve">
La SIT registra 1,718,851</t>
        </r>
      </text>
    </comment>
    <comment ref="C53" authorId="0" shapeId="0" xr:uid="{D7A094EF-00A0-49B5-840A-8EA9D014835D}">
      <text>
        <r>
          <rPr>
            <b/>
            <sz val="9"/>
            <color indexed="81"/>
            <rFont val="Tahoma"/>
            <family val="2"/>
          </rPr>
          <t>Carolina Elizabeth Ramos Gomez:</t>
        </r>
        <r>
          <rPr>
            <sz val="9"/>
            <color indexed="81"/>
            <rFont val="Tahoma"/>
            <family val="2"/>
          </rPr>
          <t xml:space="preserve">
La SIT registra 1,718,851</t>
        </r>
      </text>
    </comment>
  </commentList>
</comments>
</file>

<file path=xl/sharedStrings.xml><?xml version="1.0" encoding="utf-8"?>
<sst xmlns="http://schemas.openxmlformats.org/spreadsheetml/2006/main" count="80" uniqueCount="61">
  <si>
    <t>Departamento</t>
  </si>
  <si>
    <t>2014-2</t>
  </si>
  <si>
    <t>2015-2</t>
  </si>
  <si>
    <t>2016-2</t>
  </si>
  <si>
    <t>2017-2</t>
  </si>
  <si>
    <t>2018-2</t>
  </si>
  <si>
    <t>2019-2</t>
  </si>
  <si>
    <t>2020-2</t>
  </si>
  <si>
    <t>2021-2</t>
  </si>
  <si>
    <t>2022-2</t>
  </si>
  <si>
    <t>2023-2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</si>
  <si>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</si>
  <si>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</si>
  <si>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</si>
  <si>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</si>
  <si>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</si>
  <si>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</si>
  <si>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</si>
  <si>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</si>
  <si>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</si>
  <si>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</si>
  <si>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</si>
  <si>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</si>
  <si>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</si>
  <si>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</si>
  <si>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</si>
  <si>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</si>
  <si>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</si>
  <si>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</si>
  <si>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</si>
  <si>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</si>
  <si>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</si>
  <si>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</si>
  <si>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Total</t>
  </si>
  <si>
    <t>POBLACIÓN</t>
  </si>
  <si>
    <t xml:space="preserve">PERSONAS CON ACCESO A TELEFONÍA FIJA </t>
  </si>
  <si>
    <t>2015-2021</t>
  </si>
  <si>
    <t>Censo 2018</t>
  </si>
  <si>
    <t>2022-1</t>
  </si>
  <si>
    <t>Alta Verapaz</t>
  </si>
  <si>
    <t>Baja Verapaz</t>
  </si>
  <si>
    <t>Chimaltenango</t>
  </si>
  <si>
    <t>Chiquimula</t>
  </si>
  <si>
    <t>Escuintla</t>
  </si>
  <si>
    <t>Guatemala</t>
  </si>
  <si>
    <t>Huehuetenango</t>
  </si>
  <si>
    <t>Izabal</t>
  </si>
  <si>
    <t>Jalapa</t>
  </si>
  <si>
    <t>Jutiapa</t>
  </si>
  <si>
    <t>El Petén</t>
  </si>
  <si>
    <t>El Progreso</t>
  </si>
  <si>
    <t>Quetzaltenango</t>
  </si>
  <si>
    <t>Quiché</t>
  </si>
  <si>
    <t>Retalhuleu</t>
  </si>
  <si>
    <t>Sacatepéquez</t>
  </si>
  <si>
    <t>San Marcos</t>
  </si>
  <si>
    <t>Santa Rosa</t>
  </si>
  <si>
    <t>Sololá</t>
  </si>
  <si>
    <t>Suchitepéquez</t>
  </si>
  <si>
    <t>Totonicapán</t>
  </si>
  <si>
    <t>Zacapa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</si>
</sst>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164" fontId="0" fillId="0" borderId="4" xfId="1" applyNumberFormat="1" applyFont="1" applyBorder="1"/>
    <xf numFmtId="164" fontId="0" fillId="0" borderId="4" xfId="1" applyNumberFormat="1" applyFont="1" applyFill="1" applyBorder="1"/>
    <xf numFmtId="165" fontId="0" fillId="0" borderId="4" xfId="2" applyNumberFormat="1" applyFont="1" applyFill="1" applyBorder="1"/>
    <xf numFmtId="165" fontId="0" fillId="0" borderId="5" xfId="2" applyNumberFormat="1" applyFont="1" applyFill="1" applyBorder="1"/>
    <xf numFmtId="165" fontId="0" fillId="0" borderId="4" xfId="2" applyNumberFormat="1" applyFont="1" applyBorder="1"/>
    <xf numFmtId="165" fontId="0" fillId="0" borderId="6" xfId="2" applyNumberFormat="1" applyFont="1" applyBorder="1"/>
    <xf numFmtId="165" fontId="0" fillId="0" borderId="7" xfId="2" applyNumberFormat="1" applyFont="1" applyBorder="1"/>
    <xf numFmtId="0" fontId="3" fillId="3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4" fontId="2" fillId="0" borderId="4" xfId="0" applyNumberFormat="1" applyFont="1" applyBorder="1"/>
    <xf numFmtId="165" fontId="2" fillId="0" borderId="9" xfId="0" applyNumberFormat="1" applyFont="1" applyBorder="1"/>
    <xf numFmtId="164" fontId="0" fillId="0" borderId="0" xfId="0" applyNumberFormat="1"/>
    <xf numFmtId="0" fontId="2" fillId="0" borderId="10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43" fontId="0" fillId="0" borderId="4" xfId="0" applyNumberFormat="1" applyBorder="1"/>
    <xf numFmtId="165" fontId="2" fillId="0" borderId="11" xfId="0" applyNumberFormat="1" applyFont="1" applyBorder="1"/>
    <xf numFmtId="164" fontId="2" fillId="0" borderId="4" xfId="1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eco\SCN2008\AREA%20DE%20TRABAJO\5.SERV\17.%20REGIONALIZACI&#211;N\3.%20PREPARATIVOS\CERG\Ejercicios\Ejercicio%20AE098%20ajustes%20de%20varia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1024629\c\WINDOWS\TEMP\PIB%20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1024635\Direcci&#243;n\NUEVO%20IMAE\ACTIVIDAD%20AGRICOLA\&#205;ndice%20Mensual%20de%20la%20Actividad%20Agropecuari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0_iarb\c\1998\IPC%208O%20PRODUCTOS\80%20PROD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0_jrmc\c\PIB%20TRIMESTRAL\PIB%20TRIMESTRAL%20POR%20ACTIVIDAD%20ECON&#211;MICA\IMBANCAYSEGURO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0_jrmc\c\PIB%20TRIMESTRAL\PIB%20TRIMESTRAL%20POR%20ACTIVIDAD%20ECON&#211;MICA\IMCONSTRUCCI&#211;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íneas total"/>
      <sheetName val="Radiobases"/>
      <sheetName val="Telefonía Fija"/>
      <sheetName val="Hoja1"/>
      <sheetName val="SALIDA"/>
      <sheetName val="Ajustes"/>
      <sheetName val="TOP BD"/>
    </sheetNames>
    <sheetDataSet>
      <sheetData sheetId="0">
        <row r="35">
          <cell r="C35">
            <v>1917670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 POR SECTORES"/>
      <sheetName val="PNB 1958 Y CORRIENTES"/>
      <sheetName val="AJUSTES PARA CALCULAR EL PNB"/>
      <sheetName val="IND. DEFLACTOR DE LAS EXPORTA."/>
      <sheetName val="Nuevo Ind. Deflactor Exportac"/>
      <sheetName val="IND. DEFLACTOR DE LAS IMPORTA."/>
      <sheetName val="FORMACIÓN G. B. DE CAPITAL FIJO"/>
      <sheetName val="BIENES DE CAPITAL IMPORTADOS"/>
      <sheetName val="INDICES DEFLACTORES DE BKIMP."/>
      <sheetName val="PIB RAMAS2000-2005"/>
      <sheetName val="PIB GASTO2000-2005"/>
      <sheetName val="IGB2000-2005"/>
      <sheetName val="PIB,Pma,SECTOR EXTERNO"/>
      <sheetName val="PARTICIP."/>
      <sheetName val="IPM"/>
      <sheetName val="IP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FRAS ANUALES"/>
      <sheetName val="Cifras Mensualizadas"/>
      <sheetName val="Prod. Agrícolas de Exportación"/>
      <sheetName val="Prod. Agrícolas de Con. Interno"/>
      <sheetName val="Prod. Agrícolas de C. Industria"/>
      <sheetName val="Productos Pecuarios"/>
      <sheetName val="IMAA"/>
      <sheetName val="Cuadros del IMAA"/>
      <sheetName val="Componentes de las Series"/>
      <sheetName val="Componentes con TRAMO-SEATS"/>
      <sheetName val="NOTRAD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97-98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BANCA Y SEGUROS FINAL"/>
      <sheetName val="BANCA"/>
      <sheetName val="SEGUROS"/>
      <sheetName val="INDICADORES AJUSTADOS"/>
      <sheetName val="Indices para procesar"/>
      <sheetName val="Benchmark.Banca y Segur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CONSTRUC.FINAL"/>
      <sheetName val="CONSTRUCCIÓN PRIVADA Y PUBLICA"/>
      <sheetName val="Indices para Procesar"/>
      <sheetName val="Benchmark Sect.Construcción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0BF1-E239-44AE-BF5B-97FEA1424B4D}">
  <dimension ref="B1:V77"/>
  <sheetViews>
    <sheetView tabSelected="1" zoomScale="80" zoomScaleNormal="80" workbookViewId="0">
      <pane xSplit="2" topLeftCell="C1" activePane="topRight" state="frozen"/>
      <selection pane="topRight" activeCell="F5" sqref="F5"/>
    </sheetView>
  </sheetViews>
  <sheetFormatPr baseColWidth="10" defaultRowHeight="15" x14ac:dyDescent="0.25"/>
  <cols>
    <col min="2" max="2" width="20" bestFit="1" customWidth="1"/>
    <col min="10" max="10" width="13.5703125" bestFit="1" customWidth="1"/>
    <col min="11" max="12" width="13.5703125" customWidth="1"/>
    <col min="13" max="16" width="13.5703125" bestFit="1" customWidth="1"/>
  </cols>
  <sheetData>
    <row r="1" spans="2:22" ht="15.75" thickBot="1" x14ac:dyDescent="0.3">
      <c r="N1" s="1"/>
      <c r="O1" s="1"/>
      <c r="P1" s="1"/>
      <c r="Q1" s="1"/>
      <c r="R1" s="1"/>
      <c r="S1" s="1"/>
      <c r="T1" s="1"/>
    </row>
    <row r="2" spans="2:22" ht="16.5" thickBot="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3" t="s">
        <v>1</v>
      </c>
      <c r="O2" s="3" t="s">
        <v>2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3" t="s">
        <v>9</v>
      </c>
      <c r="V2" s="4" t="s">
        <v>10</v>
      </c>
    </row>
    <row r="3" spans="2:22" ht="15.75" x14ac:dyDescent="0.25">
      <c r="B3" s="5" t="s">
        <v>11</v>
      </c>
      <c r="C3" s="6">
        <v>1364776</v>
      </c>
      <c r="D3" s="6">
        <v>1365117</v>
      </c>
      <c r="E3" s="6">
        <f t="shared" ref="E3:E24" si="0">$E$25*O3</f>
        <v>1949593.7277982372</v>
      </c>
      <c r="F3" s="6">
        <f>1652499+226935+107112+209+2+2315+69383+119+898+217</f>
        <v>2059689</v>
      </c>
      <c r="G3" s="6">
        <f>1652499+234422+88099+2+2315+62383+119+736+210</f>
        <v>2040785</v>
      </c>
      <c r="H3" s="6">
        <f>1185855+251748+84140+6+58283+11+197</f>
        <v>1580240</v>
      </c>
      <c r="I3" s="6">
        <f>1328328+258556+70431+6+48958+11+149</f>
        <v>1706439</v>
      </c>
      <c r="J3" s="6">
        <f>1367951+264521+63893+6+47885+11+189</f>
        <v>1744456</v>
      </c>
      <c r="K3" s="7">
        <v>1454745.8208172035</v>
      </c>
      <c r="L3" s="7">
        <f>50779+314301+11+1108288+206+6</f>
        <v>1473591</v>
      </c>
      <c r="N3" s="8">
        <f t="shared" ref="N3:O24" si="1">+C3/C$25</f>
        <v>0.79426036694449975</v>
      </c>
      <c r="O3" s="8">
        <f t="shared" si="1"/>
        <v>0.794203682694825</v>
      </c>
      <c r="P3" s="8">
        <f t="shared" ref="P3:V24" si="2">+F3/F$25</f>
        <v>0.83689466821664538</v>
      </c>
      <c r="Q3" s="8">
        <f t="shared" si="2"/>
        <v>0.83772869098183034</v>
      </c>
      <c r="R3" s="8">
        <f t="shared" si="2"/>
        <v>0.80147936706947565</v>
      </c>
      <c r="S3" s="8">
        <f t="shared" si="2"/>
        <v>0.75115781040565732</v>
      </c>
      <c r="T3" s="8">
        <f t="shared" si="2"/>
        <v>0.75203641249968212</v>
      </c>
      <c r="U3" s="8">
        <f t="shared" si="2"/>
        <v>0.75860070857718143</v>
      </c>
      <c r="V3" s="9">
        <f t="shared" si="2"/>
        <v>0.75997198566070157</v>
      </c>
    </row>
    <row r="4" spans="2:22" ht="15.75" x14ac:dyDescent="0.25">
      <c r="B4" s="5" t="s">
        <v>12</v>
      </c>
      <c r="C4" s="6">
        <v>6566</v>
      </c>
      <c r="D4" s="6">
        <v>6582</v>
      </c>
      <c r="E4" s="6">
        <f t="shared" si="0"/>
        <v>9400.092385024871</v>
      </c>
      <c r="F4" s="6">
        <f>6674+337</f>
        <v>7011</v>
      </c>
      <c r="G4" s="6">
        <f>6674+44</f>
        <v>6718</v>
      </c>
      <c r="H4" s="6">
        <f>5550+34</f>
        <v>5584</v>
      </c>
      <c r="I4" s="6">
        <f>9105+29</f>
        <v>9134</v>
      </c>
      <c r="J4" s="6">
        <f>9345+29</f>
        <v>9374</v>
      </c>
      <c r="K4" s="7">
        <v>9195.3492470520687</v>
      </c>
      <c r="L4" s="7">
        <f>13+9433</f>
        <v>9446</v>
      </c>
      <c r="N4" s="10">
        <f t="shared" si="1"/>
        <v>3.8212230940151241E-3</v>
      </c>
      <c r="O4" s="10">
        <f t="shared" si="1"/>
        <v>3.8293044768304388E-3</v>
      </c>
      <c r="P4" s="10">
        <f t="shared" si="2"/>
        <v>2.8487157618780801E-3</v>
      </c>
      <c r="Q4" s="10">
        <f t="shared" si="2"/>
        <v>2.7576943901566975E-3</v>
      </c>
      <c r="R4" s="10">
        <f t="shared" si="2"/>
        <v>2.8321399190730221E-3</v>
      </c>
      <c r="S4" s="10">
        <f t="shared" si="2"/>
        <v>4.0206977455656337E-3</v>
      </c>
      <c r="T4" s="10">
        <f t="shared" si="2"/>
        <v>4.0411390890753452E-3</v>
      </c>
      <c r="U4" s="10">
        <f t="shared" si="2"/>
        <v>4.7950634087471087E-3</v>
      </c>
      <c r="V4" s="11">
        <f t="shared" si="2"/>
        <v>4.8715657034760574E-3</v>
      </c>
    </row>
    <row r="5" spans="2:22" ht="15.75" x14ac:dyDescent="0.25">
      <c r="B5" s="5" t="s">
        <v>13</v>
      </c>
      <c r="C5" s="6">
        <v>28752</v>
      </c>
      <c r="D5" s="6">
        <v>28785</v>
      </c>
      <c r="E5" s="6">
        <f t="shared" si="0"/>
        <v>41109.337481455623</v>
      </c>
      <c r="F5" s="6">
        <f>35090+1221+26</f>
        <v>36337</v>
      </c>
      <c r="G5" s="6">
        <f>35090+957+29</f>
        <v>36076</v>
      </c>
      <c r="H5" s="6">
        <f>17791+539</f>
        <v>18330</v>
      </c>
      <c r="I5" s="6">
        <v>27070</v>
      </c>
      <c r="J5" s="6">
        <f>27520+496</f>
        <v>28016</v>
      </c>
      <c r="K5" s="7">
        <v>22429.777135332613</v>
      </c>
      <c r="L5" s="7">
        <f>53+22253</f>
        <v>22306</v>
      </c>
      <c r="N5" s="10">
        <f t="shared" si="1"/>
        <v>1.6732836795480179E-2</v>
      </c>
      <c r="O5" s="10">
        <f t="shared" si="1"/>
        <v>1.6746662012392007E-2</v>
      </c>
      <c r="P5" s="10">
        <f t="shared" si="2"/>
        <v>1.4764482190752218E-2</v>
      </c>
      <c r="Q5" s="10">
        <f t="shared" si="2"/>
        <v>1.4808958442883749E-2</v>
      </c>
      <c r="R5" s="10">
        <f t="shared" si="2"/>
        <v>9.2967630223152742E-3</v>
      </c>
      <c r="S5" s="10">
        <f t="shared" si="2"/>
        <v>1.1915950073621819E-2</v>
      </c>
      <c r="T5" s="10">
        <f t="shared" si="2"/>
        <v>1.2077720580278948E-2</v>
      </c>
      <c r="U5" s="10">
        <f t="shared" si="2"/>
        <v>1.1696369623205563E-2</v>
      </c>
      <c r="V5" s="11">
        <f t="shared" si="2"/>
        <v>1.1503826443122691E-2</v>
      </c>
    </row>
    <row r="6" spans="2:22" ht="15.75" x14ac:dyDescent="0.25">
      <c r="B6" s="5" t="s">
        <v>14</v>
      </c>
      <c r="C6" s="6">
        <v>17827</v>
      </c>
      <c r="D6" s="6">
        <v>17839</v>
      </c>
      <c r="E6" s="6">
        <f t="shared" si="0"/>
        <v>25476.792472874306</v>
      </c>
      <c r="F6" s="6">
        <f>19578+1163+76</f>
        <v>20817</v>
      </c>
      <c r="G6" s="6">
        <f>19578+169+54</f>
        <v>19801</v>
      </c>
      <c r="H6" s="6">
        <f>13400+141</f>
        <v>13541</v>
      </c>
      <c r="I6" s="6">
        <f>17240+115</f>
        <v>17355</v>
      </c>
      <c r="J6" s="6">
        <f>17660+119</f>
        <v>17779</v>
      </c>
      <c r="K6" s="7">
        <v>14169.751393522965</v>
      </c>
      <c r="L6" s="7">
        <f>21+14500</f>
        <v>14521</v>
      </c>
      <c r="N6" s="10">
        <f t="shared" si="1"/>
        <v>1.0374801111332261E-2</v>
      </c>
      <c r="O6" s="10">
        <f t="shared" si="1"/>
        <v>1.0378450708322424E-2</v>
      </c>
      <c r="P6" s="10">
        <f t="shared" si="2"/>
        <v>8.4583819733299089E-3</v>
      </c>
      <c r="Q6" s="10">
        <f t="shared" si="2"/>
        <v>8.128179014512172E-3</v>
      </c>
      <c r="R6" s="10">
        <f t="shared" si="2"/>
        <v>6.8678378660758941E-3</v>
      </c>
      <c r="S6" s="10">
        <f t="shared" si="2"/>
        <v>7.6395017926747938E-3</v>
      </c>
      <c r="T6" s="10">
        <f t="shared" si="2"/>
        <v>7.6645414833230808E-3</v>
      </c>
      <c r="U6" s="10">
        <f t="shared" si="2"/>
        <v>7.389045765706803E-3</v>
      </c>
      <c r="V6" s="11">
        <f t="shared" si="2"/>
        <v>7.4888847745263427E-3</v>
      </c>
    </row>
    <row r="7" spans="2:22" ht="15.75" x14ac:dyDescent="0.25">
      <c r="B7" s="5" t="s">
        <v>15</v>
      </c>
      <c r="C7" s="6">
        <v>37209</v>
      </c>
      <c r="D7" s="6">
        <v>37402</v>
      </c>
      <c r="E7" s="6">
        <f t="shared" si="0"/>
        <v>53415.717925357072</v>
      </c>
      <c r="F7" s="6">
        <f>39451+4048+1276+475</f>
        <v>45250</v>
      </c>
      <c r="G7" s="6">
        <f>39451+6324+380+406</f>
        <v>46561</v>
      </c>
      <c r="H7" s="6">
        <f>25040+7920+466</f>
        <v>33426</v>
      </c>
      <c r="I7" s="6">
        <f>31045+8950+447</f>
        <v>40442</v>
      </c>
      <c r="J7" s="6">
        <f>31435+8466+456</f>
        <v>40357</v>
      </c>
      <c r="K7" s="7">
        <v>25463.58286387533</v>
      </c>
      <c r="L7" s="7">
        <f>62+24684</f>
        <v>24746</v>
      </c>
      <c r="N7" s="10">
        <f t="shared" si="1"/>
        <v>2.165456748480182E-2</v>
      </c>
      <c r="O7" s="10">
        <f t="shared" si="1"/>
        <v>2.1759897605957472E-2</v>
      </c>
      <c r="P7" s="10">
        <f t="shared" si="2"/>
        <v>1.8386020285976769E-2</v>
      </c>
      <c r="Q7" s="10">
        <f t="shared" si="2"/>
        <v>1.9112981318857695E-2</v>
      </c>
      <c r="R7" s="10">
        <f t="shared" si="2"/>
        <v>1.6953278820726152E-2</v>
      </c>
      <c r="S7" s="10">
        <f t="shared" si="2"/>
        <v>1.7802174099645868E-2</v>
      </c>
      <c r="T7" s="10">
        <f t="shared" si="2"/>
        <v>1.7397935803052454E-2</v>
      </c>
      <c r="U7" s="10">
        <f t="shared" si="2"/>
        <v>1.3278396629177769E-2</v>
      </c>
      <c r="V7" s="11">
        <f t="shared" si="2"/>
        <v>1.2762202508809922E-2</v>
      </c>
    </row>
    <row r="8" spans="2:22" ht="15.75" x14ac:dyDescent="0.25">
      <c r="B8" s="5" t="s">
        <v>16</v>
      </c>
      <c r="C8" s="6">
        <v>8620</v>
      </c>
      <c r="D8" s="6">
        <v>8590</v>
      </c>
      <c r="E8" s="6">
        <f t="shared" si="0"/>
        <v>12267.820356633796</v>
      </c>
      <c r="F8" s="6">
        <f>9032+214+3</f>
        <v>9249</v>
      </c>
      <c r="G8" s="6">
        <f>9032+10+3</f>
        <v>9045</v>
      </c>
      <c r="H8" s="6">
        <f>6477+8</f>
        <v>6485</v>
      </c>
      <c r="I8" s="6">
        <v>11625</v>
      </c>
      <c r="J8" s="6">
        <f>12015+8</f>
        <v>12023</v>
      </c>
      <c r="K8" s="7">
        <v>9978.7826104175128</v>
      </c>
      <c r="L8" s="7">
        <f>37+9818</f>
        <v>9855</v>
      </c>
      <c r="N8" s="10">
        <f t="shared" si="1"/>
        <v>5.0165919997578997E-3</v>
      </c>
      <c r="O8" s="10">
        <f t="shared" si="1"/>
        <v>4.9975274165866713E-3</v>
      </c>
      <c r="P8" s="10">
        <f t="shared" si="2"/>
        <v>3.7580619143646218E-3</v>
      </c>
      <c r="Q8" s="10">
        <f t="shared" si="2"/>
        <v>3.7129124380719455E-3</v>
      </c>
      <c r="R8" s="10">
        <f t="shared" si="2"/>
        <v>3.289116650284482E-3</v>
      </c>
      <c r="S8" s="10">
        <f t="shared" si="2"/>
        <v>5.1172116588789679E-3</v>
      </c>
      <c r="T8" s="10">
        <f t="shared" si="2"/>
        <v>5.1831251619322456E-3</v>
      </c>
      <c r="U8" s="10">
        <f t="shared" si="2"/>
        <v>5.2035973918440155E-3</v>
      </c>
      <c r="V8" s="11">
        <f t="shared" si="2"/>
        <v>5.0824984128474008E-3</v>
      </c>
    </row>
    <row r="9" spans="2:22" ht="15.75" x14ac:dyDescent="0.25">
      <c r="B9" s="5" t="s">
        <v>17</v>
      </c>
      <c r="C9" s="6">
        <v>7259</v>
      </c>
      <c r="D9" s="6">
        <v>7263</v>
      </c>
      <c r="E9" s="6">
        <f t="shared" si="0"/>
        <v>10372.663474997818</v>
      </c>
      <c r="F9" s="6">
        <f>7946+566</f>
        <v>8512</v>
      </c>
      <c r="G9" s="6">
        <f>7946+46</f>
        <v>7992</v>
      </c>
      <c r="H9" s="6">
        <f>7589+31</f>
        <v>7620</v>
      </c>
      <c r="I9" s="6">
        <v>11351</v>
      </c>
      <c r="J9" s="6">
        <f>11921+31</f>
        <v>11952</v>
      </c>
      <c r="K9" s="7">
        <v>9741.953902359337</v>
      </c>
      <c r="L9" s="7">
        <f>20+9887</f>
        <v>9907</v>
      </c>
      <c r="N9" s="10">
        <f t="shared" si="1"/>
        <v>4.2245291561766353E-3</v>
      </c>
      <c r="O9" s="10">
        <f t="shared" si="1"/>
        <v>4.2254996072955756E-3</v>
      </c>
      <c r="P9" s="10">
        <f t="shared" si="2"/>
        <v>3.4586034182151216E-3</v>
      </c>
      <c r="Q9" s="10">
        <f t="shared" si="2"/>
        <v>3.280662930356107E-3</v>
      </c>
      <c r="R9" s="10">
        <f t="shared" si="2"/>
        <v>3.8647754626318816E-3</v>
      </c>
      <c r="S9" s="10">
        <f t="shared" si="2"/>
        <v>4.996599530317003E-3</v>
      </c>
      <c r="T9" s="10">
        <f t="shared" si="2"/>
        <v>5.1525170036941029E-3</v>
      </c>
      <c r="U9" s="10">
        <f t="shared" si="2"/>
        <v>5.0800992362394657E-3</v>
      </c>
      <c r="V9" s="11">
        <f t="shared" si="2"/>
        <v>5.10931626342762E-3</v>
      </c>
    </row>
    <row r="10" spans="2:22" ht="15.75" x14ac:dyDescent="0.25">
      <c r="B10" s="5" t="s">
        <v>18</v>
      </c>
      <c r="C10" s="6">
        <v>7557</v>
      </c>
      <c r="D10" s="6">
        <v>7499</v>
      </c>
      <c r="E10" s="6">
        <f t="shared" si="0"/>
        <v>10709.707200744684</v>
      </c>
      <c r="F10" s="6">
        <f>5429+817+68</f>
        <v>6314</v>
      </c>
      <c r="G10" s="6">
        <f>5429+82+56</f>
        <v>5567</v>
      </c>
      <c r="H10" s="6">
        <f>9459+63</f>
        <v>9522</v>
      </c>
      <c r="I10" s="6">
        <v>15405</v>
      </c>
      <c r="J10" s="6">
        <f>15555+56</f>
        <v>15611</v>
      </c>
      <c r="K10" s="7">
        <v>12322.087759769511</v>
      </c>
      <c r="L10" s="7">
        <f>9+12634</f>
        <v>12643</v>
      </c>
      <c r="N10" s="10">
        <f t="shared" si="1"/>
        <v>4.3979565826183821E-3</v>
      </c>
      <c r="O10" s="10">
        <f t="shared" si="1"/>
        <v>4.3628007097768857E-3</v>
      </c>
      <c r="P10" s="10">
        <f t="shared" si="2"/>
        <v>2.5655101013404933E-3</v>
      </c>
      <c r="Q10" s="10">
        <f t="shared" si="2"/>
        <v>2.2852165331947506E-3</v>
      </c>
      <c r="R10" s="10">
        <f t="shared" si="2"/>
        <v>4.8294477631470835E-3</v>
      </c>
      <c r="S10" s="10">
        <f t="shared" si="2"/>
        <v>6.7811308047338063E-3</v>
      </c>
      <c r="T10" s="10">
        <f t="shared" si="2"/>
        <v>6.7299149050090894E-3</v>
      </c>
      <c r="U10" s="10">
        <f t="shared" si="2"/>
        <v>6.4255517162856548E-3</v>
      </c>
      <c r="V10" s="11">
        <f t="shared" si="2"/>
        <v>6.5203477862637938E-3</v>
      </c>
    </row>
    <row r="11" spans="2:22" ht="15.75" x14ac:dyDescent="0.25">
      <c r="B11" s="5" t="s">
        <v>19</v>
      </c>
      <c r="C11" s="6">
        <v>57005</v>
      </c>
      <c r="D11" s="6">
        <v>57212</v>
      </c>
      <c r="E11" s="6">
        <f t="shared" si="0"/>
        <v>81707.396768769802</v>
      </c>
      <c r="F11" s="6">
        <f>59013+4763+3148+310</f>
        <v>67234</v>
      </c>
      <c r="G11" s="6">
        <f>59013+7227+464+254</f>
        <v>66958</v>
      </c>
      <c r="H11" s="6">
        <f>91370+9051+418</f>
        <v>100839</v>
      </c>
      <c r="I11" s="6">
        <f>129645+10229+379</f>
        <v>140253</v>
      </c>
      <c r="J11" s="6">
        <f>132675+9675+395</f>
        <v>142745</v>
      </c>
      <c r="K11" s="7">
        <v>142293.08317574725</v>
      </c>
      <c r="L11" s="7">
        <f>39190+105411</f>
        <v>144601</v>
      </c>
      <c r="N11" s="10">
        <f t="shared" si="1"/>
        <v>3.3175269947354882E-2</v>
      </c>
      <c r="O11" s="10">
        <f t="shared" si="1"/>
        <v>3.3285045233731853E-2</v>
      </c>
      <c r="P11" s="10">
        <f t="shared" si="2"/>
        <v>2.7318578738284246E-2</v>
      </c>
      <c r="Q11" s="10">
        <f t="shared" si="2"/>
        <v>2.7485814375723751E-2</v>
      </c>
      <c r="R11" s="10">
        <f t="shared" si="2"/>
        <v>5.1144369143876156E-2</v>
      </c>
      <c r="S11" s="10">
        <f t="shared" si="2"/>
        <v>6.17380031649679E-2</v>
      </c>
      <c r="T11" s="10">
        <f t="shared" si="2"/>
        <v>6.1537486587375727E-2</v>
      </c>
      <c r="U11" s="10">
        <f t="shared" si="2"/>
        <v>7.4201026858503938E-2</v>
      </c>
      <c r="V11" s="11">
        <f t="shared" si="2"/>
        <v>7.4574769456737397E-2</v>
      </c>
    </row>
    <row r="12" spans="2:22" ht="15.75" x14ac:dyDescent="0.25">
      <c r="B12" s="5" t="s">
        <v>20</v>
      </c>
      <c r="C12" s="6">
        <v>18020</v>
      </c>
      <c r="D12" s="6">
        <v>18010</v>
      </c>
      <c r="E12" s="6">
        <f t="shared" si="0"/>
        <v>25721.006358902756</v>
      </c>
      <c r="F12" s="6">
        <f>20240+768+239</f>
        <v>21247</v>
      </c>
      <c r="G12" s="6">
        <f>20240+75+179</f>
        <v>20494</v>
      </c>
      <c r="H12" s="6">
        <f>11460+57</f>
        <v>11517</v>
      </c>
      <c r="I12" s="6">
        <v>17679</v>
      </c>
      <c r="J12" s="6">
        <f>18249+50</f>
        <v>18299</v>
      </c>
      <c r="K12" s="7">
        <v>14531.489757729969</v>
      </c>
      <c r="L12" s="7">
        <f>27+14483</f>
        <v>14510</v>
      </c>
      <c r="N12" s="10">
        <f t="shared" si="1"/>
        <v>1.0487121558658627E-2</v>
      </c>
      <c r="O12" s="10">
        <f t="shared" si="1"/>
        <v>1.047793582918812E-2</v>
      </c>
      <c r="P12" s="10">
        <f t="shared" si="2"/>
        <v>8.6330999561579757E-3</v>
      </c>
      <c r="Q12" s="10">
        <f t="shared" si="2"/>
        <v>8.4126509127525097E-3</v>
      </c>
      <c r="R12" s="10">
        <f t="shared" si="2"/>
        <v>5.8412885830881073E-3</v>
      </c>
      <c r="S12" s="10">
        <f t="shared" si="2"/>
        <v>7.7821234337480663E-3</v>
      </c>
      <c r="T12" s="10">
        <f t="shared" si="2"/>
        <v>7.8887139098559565E-3</v>
      </c>
      <c r="U12" s="10">
        <f t="shared" si="2"/>
        <v>7.5776800793306296E-3</v>
      </c>
      <c r="V12" s="11">
        <f t="shared" si="2"/>
        <v>7.4832117676728342E-3</v>
      </c>
    </row>
    <row r="13" spans="2:22" ht="15.75" x14ac:dyDescent="0.25">
      <c r="B13" s="5" t="s">
        <v>21</v>
      </c>
      <c r="C13" s="6">
        <v>13370</v>
      </c>
      <c r="D13" s="6">
        <v>13379</v>
      </c>
      <c r="E13" s="6">
        <f t="shared" si="0"/>
        <v>19107.237316810661</v>
      </c>
      <c r="F13" s="6">
        <f>12252+549+174</f>
        <v>12975</v>
      </c>
      <c r="G13" s="6">
        <f>12252+65+131</f>
        <v>12448</v>
      </c>
      <c r="H13" s="6">
        <f>8078+53</f>
        <v>8131</v>
      </c>
      <c r="I13" s="6">
        <v>13386</v>
      </c>
      <c r="J13" s="6">
        <f>13626+46</f>
        <v>13672</v>
      </c>
      <c r="K13" s="7">
        <v>10955.076482876746</v>
      </c>
      <c r="L13" s="7">
        <f>8+10722</f>
        <v>10730</v>
      </c>
      <c r="N13" s="10">
        <f t="shared" si="1"/>
        <v>7.7809553406917777E-3</v>
      </c>
      <c r="O13" s="10">
        <f t="shared" si="1"/>
        <v>7.783692585158682E-3</v>
      </c>
      <c r="P13" s="10">
        <f t="shared" si="2"/>
        <v>5.2720135516143331E-3</v>
      </c>
      <c r="Q13" s="10">
        <f t="shared" si="2"/>
        <v>5.1098213409750777E-3</v>
      </c>
      <c r="R13" s="10">
        <f t="shared" si="2"/>
        <v>4.1239487252834424E-3</v>
      </c>
      <c r="S13" s="10">
        <f t="shared" si="2"/>
        <v>5.8923866895272134E-3</v>
      </c>
      <c r="T13" s="10">
        <f t="shared" si="2"/>
        <v>5.8940104145336156E-3</v>
      </c>
      <c r="U13" s="10">
        <f t="shared" si="2"/>
        <v>5.7127016029226855E-3</v>
      </c>
      <c r="V13" s="11">
        <f t="shared" si="2"/>
        <v>5.5337603216491739E-3</v>
      </c>
    </row>
    <row r="14" spans="2:22" ht="15.75" x14ac:dyDescent="0.25">
      <c r="B14" s="5" t="s">
        <v>22</v>
      </c>
      <c r="C14" s="6">
        <v>19725</v>
      </c>
      <c r="D14" s="6">
        <v>19687</v>
      </c>
      <c r="E14" s="6">
        <f t="shared" si="0"/>
        <v>28116.0162236379</v>
      </c>
      <c r="F14" s="6">
        <f>19529+1019+1567</f>
        <v>22115</v>
      </c>
      <c r="G14" s="6">
        <f>19529+48+1273</f>
        <v>20850</v>
      </c>
      <c r="H14" s="6">
        <f>25118+38</f>
        <v>25156</v>
      </c>
      <c r="I14" s="6">
        <v>38141</v>
      </c>
      <c r="J14" s="6">
        <f>38921+32</f>
        <v>38953</v>
      </c>
      <c r="K14" s="7">
        <v>20761.983406433472</v>
      </c>
      <c r="L14" s="7">
        <f>32+20810</f>
        <v>20842</v>
      </c>
      <c r="N14" s="10">
        <f t="shared" si="1"/>
        <v>1.1479382505246471E-2</v>
      </c>
      <c r="O14" s="10">
        <f t="shared" si="1"/>
        <v>1.145358815487099E-2</v>
      </c>
      <c r="P14" s="10">
        <f t="shared" si="2"/>
        <v>8.9857864889364911E-3</v>
      </c>
      <c r="Q14" s="10">
        <f t="shared" si="2"/>
        <v>8.5587865487893929E-3</v>
      </c>
      <c r="R14" s="10">
        <f t="shared" si="2"/>
        <v>1.2758830910494437E-2</v>
      </c>
      <c r="S14" s="10">
        <f t="shared" si="2"/>
        <v>1.6789296333875502E-2</v>
      </c>
      <c r="T14" s="10">
        <f t="shared" si="2"/>
        <v>1.6792670251413688E-2</v>
      </c>
      <c r="U14" s="10">
        <f t="shared" si="2"/>
        <v>1.0826671641332174E-2</v>
      </c>
      <c r="V14" s="11">
        <f t="shared" si="2"/>
        <v>1.0748800803710353E-2</v>
      </c>
    </row>
    <row r="15" spans="2:22" ht="15.75" x14ac:dyDescent="0.25">
      <c r="B15" s="5" t="s">
        <v>23</v>
      </c>
      <c r="C15" s="6">
        <v>19985</v>
      </c>
      <c r="D15" s="6">
        <v>19969</v>
      </c>
      <c r="E15" s="6">
        <f t="shared" si="0"/>
        <v>28518.754912877797</v>
      </c>
      <c r="F15" s="6">
        <f>21913+594+504</f>
        <v>23011</v>
      </c>
      <c r="G15" s="6">
        <f>21913+148+389</f>
        <v>22450</v>
      </c>
      <c r="H15" s="6">
        <f>16622+139</f>
        <v>16761</v>
      </c>
      <c r="I15" s="6">
        <f>28616+132</f>
        <v>28748</v>
      </c>
      <c r="J15" s="6">
        <f>29276+131</f>
        <v>29407</v>
      </c>
      <c r="K15" s="7">
        <v>23332.124491351744</v>
      </c>
      <c r="L15" s="7">
        <f>46+23343</f>
        <v>23389</v>
      </c>
      <c r="N15" s="8">
        <f t="shared" si="1"/>
        <v>1.1630695024960745E-2</v>
      </c>
      <c r="O15" s="8">
        <f t="shared" si="1"/>
        <v>1.1617651336649505E-2</v>
      </c>
      <c r="P15" s="8">
        <f t="shared" si="2"/>
        <v>9.3498500066433472E-3</v>
      </c>
      <c r="Q15" s="8">
        <f t="shared" si="2"/>
        <v>9.2155759242360611E-3</v>
      </c>
      <c r="R15" s="8">
        <f t="shared" si="2"/>
        <v>8.5009844526473706E-3</v>
      </c>
      <c r="S15" s="8">
        <f t="shared" si="2"/>
        <v>1.2654589313501295E-2</v>
      </c>
      <c r="T15" s="8">
        <f t="shared" si="2"/>
        <v>1.2677381821254391E-2</v>
      </c>
      <c r="U15" s="8">
        <f t="shared" si="2"/>
        <v>1.2166913228736823E-2</v>
      </c>
      <c r="V15" s="9">
        <f t="shared" si="2"/>
        <v>1.2062359754245343E-2</v>
      </c>
    </row>
    <row r="16" spans="2:22" ht="15.75" x14ac:dyDescent="0.25">
      <c r="B16" s="5" t="s">
        <v>24</v>
      </c>
      <c r="C16" s="6">
        <v>9466</v>
      </c>
      <c r="D16" s="6">
        <v>9463</v>
      </c>
      <c r="E16" s="6">
        <f t="shared" si="0"/>
        <v>13514.596511621141</v>
      </c>
      <c r="F16" s="6">
        <f>9040+269+174</f>
        <v>9483</v>
      </c>
      <c r="G16" s="6">
        <f>9040+21+139</f>
        <v>9200</v>
      </c>
      <c r="H16" s="6">
        <f>8556+19</f>
        <v>8575</v>
      </c>
      <c r="I16" s="6">
        <f>15912+19</f>
        <v>15931</v>
      </c>
      <c r="J16" s="6">
        <f>16392+19</f>
        <v>16411</v>
      </c>
      <c r="K16" s="7">
        <v>9309.2668534597997</v>
      </c>
      <c r="L16" s="7">
        <f>21+9353</f>
        <v>9374</v>
      </c>
      <c r="N16" s="10">
        <f t="shared" si="1"/>
        <v>5.508939660058965E-3</v>
      </c>
      <c r="O16" s="10">
        <f t="shared" si="1"/>
        <v>5.5054251389010092E-3</v>
      </c>
      <c r="P16" s="10">
        <f t="shared" si="2"/>
        <v>3.853141002694314E-3</v>
      </c>
      <c r="Q16" s="10">
        <f t="shared" si="2"/>
        <v>3.7765389088183416E-3</v>
      </c>
      <c r="R16" s="10">
        <f t="shared" si="2"/>
        <v>4.3491403664131737E-3</v>
      </c>
      <c r="S16" s="10">
        <f t="shared" si="2"/>
        <v>7.0126708763527598E-3</v>
      </c>
      <c r="T16" s="10">
        <f t="shared" si="2"/>
        <v>7.0747955612135141E-3</v>
      </c>
      <c r="U16" s="10">
        <f t="shared" si="2"/>
        <v>4.8544675848606897E-3</v>
      </c>
      <c r="V16" s="11">
        <f t="shared" si="2"/>
        <v>4.8344332949803691E-3</v>
      </c>
    </row>
    <row r="17" spans="2:22" ht="15.75" x14ac:dyDescent="0.25">
      <c r="B17" s="5" t="s">
        <v>25</v>
      </c>
      <c r="C17" s="6">
        <v>4853</v>
      </c>
      <c r="D17" s="6">
        <v>4785</v>
      </c>
      <c r="E17" s="6">
        <f t="shared" si="0"/>
        <v>6833.7043546557288</v>
      </c>
      <c r="F17" s="6">
        <f>5585+112+15</f>
        <v>5712</v>
      </c>
      <c r="G17" s="6">
        <f>5585+12+10</f>
        <v>5607</v>
      </c>
      <c r="H17" s="6">
        <f>3863+9</f>
        <v>3872</v>
      </c>
      <c r="I17" s="6">
        <f>6136+9</f>
        <v>6145</v>
      </c>
      <c r="J17" s="6">
        <f>6316+9</f>
        <v>6325</v>
      </c>
      <c r="K17" s="7">
        <v>5000.3833549498531</v>
      </c>
      <c r="L17" s="7">
        <f>8+4929</f>
        <v>4937</v>
      </c>
      <c r="N17" s="10">
        <f t="shared" si="1"/>
        <v>2.8243063775899176E-3</v>
      </c>
      <c r="O17" s="10">
        <f t="shared" si="1"/>
        <v>2.7838380312418184E-3</v>
      </c>
      <c r="P17" s="10">
        <f t="shared" si="2"/>
        <v>2.3209049253812E-3</v>
      </c>
      <c r="Q17" s="10">
        <f t="shared" si="2"/>
        <v>2.3016362675809176E-3</v>
      </c>
      <c r="R17" s="10">
        <f t="shared" si="2"/>
        <v>1.9638334109331555E-3</v>
      </c>
      <c r="S17" s="10">
        <f t="shared" si="2"/>
        <v>2.7049690876396778E-3</v>
      </c>
      <c r="T17" s="10">
        <f t="shared" si="2"/>
        <v>2.7267126881162316E-3</v>
      </c>
      <c r="U17" s="10">
        <f t="shared" si="2"/>
        <v>2.607530677827704E-3</v>
      </c>
      <c r="V17" s="11">
        <f t="shared" si="2"/>
        <v>2.5461486214335481E-3</v>
      </c>
    </row>
    <row r="18" spans="2:22" ht="15.75" x14ac:dyDescent="0.25">
      <c r="B18" s="5" t="s">
        <v>26</v>
      </c>
      <c r="C18" s="6">
        <v>13289</v>
      </c>
      <c r="D18" s="6">
        <v>13251</v>
      </c>
      <c r="E18" s="6">
        <f t="shared" si="0"/>
        <v>18924.433940134393</v>
      </c>
      <c r="F18" s="6">
        <f>12776+786</f>
        <v>13562</v>
      </c>
      <c r="G18" s="6">
        <f>12776+193</f>
        <v>12969</v>
      </c>
      <c r="H18" s="6">
        <f>9698+37</f>
        <v>9735</v>
      </c>
      <c r="I18" s="6">
        <f>16638+33</f>
        <v>16671</v>
      </c>
      <c r="J18" s="6">
        <f>17088+36</f>
        <v>17124</v>
      </c>
      <c r="K18" s="7">
        <v>13217.440175044305</v>
      </c>
      <c r="L18" s="7">
        <f>38+12538</f>
        <v>12576</v>
      </c>
      <c r="N18" s="12">
        <f t="shared" si="1"/>
        <v>7.733815671088484E-3</v>
      </c>
      <c r="O18" s="12">
        <f t="shared" si="1"/>
        <v>7.7092241905925476E-3</v>
      </c>
      <c r="P18" s="12">
        <f t="shared" si="2"/>
        <v>5.5105239142191585E-3</v>
      </c>
      <c r="Q18" s="12">
        <f t="shared" si="2"/>
        <v>5.3236883813548991E-3</v>
      </c>
      <c r="R18" s="12">
        <f t="shared" si="2"/>
        <v>4.937478888283644E-3</v>
      </c>
      <c r="S18" s="12">
        <f t="shared" si="2"/>
        <v>7.3384116615201091E-3</v>
      </c>
      <c r="T18" s="12">
        <f t="shared" si="2"/>
        <v>7.3821704460557075E-3</v>
      </c>
      <c r="U18" s="12">
        <f t="shared" si="2"/>
        <v>6.8924476969678336E-3</v>
      </c>
      <c r="V18" s="11">
        <f t="shared" si="2"/>
        <v>6.4857940172469725E-3</v>
      </c>
    </row>
    <row r="19" spans="2:22" ht="15.75" x14ac:dyDescent="0.25">
      <c r="B19" s="5" t="s">
        <v>27</v>
      </c>
      <c r="C19" s="6">
        <v>9544</v>
      </c>
      <c r="D19" s="6">
        <v>9550</v>
      </c>
      <c r="E19" s="6">
        <f t="shared" si="0"/>
        <v>13638.845681705792</v>
      </c>
      <c r="F19" s="6">
        <f>9273+33</f>
        <v>9306</v>
      </c>
      <c r="G19" s="6">
        <f>9273+2</f>
        <v>9275</v>
      </c>
      <c r="H19" s="6">
        <f>8146+1</f>
        <v>8147</v>
      </c>
      <c r="I19" s="6">
        <f>13461+1</f>
        <v>13462</v>
      </c>
      <c r="J19" s="6">
        <f>13821+1</f>
        <v>13822</v>
      </c>
      <c r="K19" s="7">
        <v>12275.121729057553</v>
      </c>
      <c r="L19" s="7">
        <f>36+12093</f>
        <v>12129</v>
      </c>
      <c r="N19" s="10">
        <f t="shared" si="1"/>
        <v>5.5543334159732479E-3</v>
      </c>
      <c r="O19" s="10">
        <f t="shared" si="1"/>
        <v>5.5560403758326792E-3</v>
      </c>
      <c r="P19" s="10">
        <f t="shared" si="2"/>
        <v>3.7812222051115982E-3</v>
      </c>
      <c r="Q19" s="10">
        <f t="shared" si="2"/>
        <v>3.807325910792404E-3</v>
      </c>
      <c r="R19" s="10">
        <f t="shared" si="2"/>
        <v>4.1320637393782072E-3</v>
      </c>
      <c r="S19" s="10">
        <f t="shared" si="2"/>
        <v>5.925841148544401E-3</v>
      </c>
      <c r="T19" s="10">
        <f t="shared" si="2"/>
        <v>5.9586755375719454E-3</v>
      </c>
      <c r="U19" s="10">
        <f t="shared" si="2"/>
        <v>6.4010605208704068E-3</v>
      </c>
      <c r="V19" s="11">
        <f t="shared" si="2"/>
        <v>6.2552636478362374E-3</v>
      </c>
    </row>
    <row r="20" spans="2:22" ht="15.75" x14ac:dyDescent="0.25">
      <c r="B20" s="5" t="s">
        <v>28</v>
      </c>
      <c r="C20" s="6">
        <v>19524</v>
      </c>
      <c r="D20" s="6">
        <v>19482</v>
      </c>
      <c r="E20" s="6">
        <f t="shared" si="0"/>
        <v>27823.245190679816</v>
      </c>
      <c r="F20" s="6">
        <f>24444+566+222</f>
        <v>25232</v>
      </c>
      <c r="G20" s="6">
        <f>24444+28+180</f>
        <v>24652</v>
      </c>
      <c r="H20" s="6">
        <f>17336+21</f>
        <v>17357</v>
      </c>
      <c r="I20" s="6">
        <f>25570+19</f>
        <v>25589</v>
      </c>
      <c r="J20" s="6">
        <f>25720+18</f>
        <v>25738</v>
      </c>
      <c r="K20" s="7">
        <v>20636.074473035456</v>
      </c>
      <c r="L20" s="7">
        <f>25+20597</f>
        <v>20622</v>
      </c>
      <c r="N20" s="10">
        <f t="shared" si="1"/>
        <v>1.1362406288082742E-2</v>
      </c>
      <c r="O20" s="10">
        <f t="shared" si="1"/>
        <v>1.1334322366698665E-2</v>
      </c>
      <c r="P20" s="10">
        <f t="shared" si="2"/>
        <v>1.0252288703994824E-2</v>
      </c>
      <c r="Q20" s="10">
        <f t="shared" si="2"/>
        <v>1.0119482302194539E-2</v>
      </c>
      <c r="R20" s="10">
        <f t="shared" si="2"/>
        <v>8.803268727677371E-3</v>
      </c>
      <c r="S20" s="10">
        <f t="shared" si="2"/>
        <v>1.1264028313036894E-2</v>
      </c>
      <c r="T20" s="10">
        <f t="shared" si="2"/>
        <v>1.1095672911736848E-2</v>
      </c>
      <c r="U20" s="10">
        <f t="shared" si="2"/>
        <v>1.0761014394048744E-2</v>
      </c>
      <c r="V20" s="11">
        <f t="shared" si="2"/>
        <v>1.0635340666640193E-2</v>
      </c>
    </row>
    <row r="21" spans="2:22" ht="15.75" x14ac:dyDescent="0.25">
      <c r="B21" s="5" t="s">
        <v>29</v>
      </c>
      <c r="C21" s="6">
        <v>16990</v>
      </c>
      <c r="D21" s="6">
        <v>16977</v>
      </c>
      <c r="E21" s="6">
        <f t="shared" si="0"/>
        <v>24245.725983070075</v>
      </c>
      <c r="F21" s="6">
        <f>15346+279+530</f>
        <v>16155</v>
      </c>
      <c r="G21" s="6">
        <f>15346+24+479</f>
        <v>15849</v>
      </c>
      <c r="H21" s="6">
        <f>11534+17</f>
        <v>11551</v>
      </c>
      <c r="I21" s="6">
        <v>16461</v>
      </c>
      <c r="J21" s="6">
        <f>16761+17</f>
        <v>16778</v>
      </c>
      <c r="K21" s="7">
        <v>13414.297793134858</v>
      </c>
      <c r="L21" s="7">
        <f>25+13767</f>
        <v>13792</v>
      </c>
      <c r="N21" s="10">
        <f t="shared" si="1"/>
        <v>9.8876911920982268E-3</v>
      </c>
      <c r="O21" s="10">
        <f t="shared" si="1"/>
        <v>9.8769526136661141E-3</v>
      </c>
      <c r="P21" s="10">
        <f t="shared" si="2"/>
        <v>6.5641139827614303E-3</v>
      </c>
      <c r="Q21" s="10">
        <f t="shared" si="2"/>
        <v>6.5059092571589016E-3</v>
      </c>
      <c r="R21" s="10">
        <f t="shared" si="2"/>
        <v>5.8585329880394832E-3</v>
      </c>
      <c r="S21" s="10">
        <f t="shared" si="2"/>
        <v>7.2459717089726179E-3</v>
      </c>
      <c r="T21" s="10">
        <f t="shared" si="2"/>
        <v>7.2330095622472942E-3</v>
      </c>
      <c r="U21" s="10">
        <f t="shared" si="2"/>
        <v>6.9951022820062148E-3</v>
      </c>
      <c r="V21" s="11">
        <f t="shared" si="2"/>
        <v>7.1129191385074942E-3</v>
      </c>
    </row>
    <row r="22" spans="2:22" ht="15.75" x14ac:dyDescent="0.25">
      <c r="B22" s="5" t="s">
        <v>30</v>
      </c>
      <c r="C22" s="6">
        <v>16275</v>
      </c>
      <c r="D22" s="6">
        <v>16390</v>
      </c>
      <c r="E22" s="6">
        <f t="shared" si="0"/>
        <v>23407.401122843763</v>
      </c>
      <c r="F22" s="6">
        <f>15664+2381+310+138</f>
        <v>18493</v>
      </c>
      <c r="G22" s="6">
        <f>15664+4517+21+110</f>
        <v>20312</v>
      </c>
      <c r="H22" s="6">
        <f>12069+5657+16</f>
        <v>17742</v>
      </c>
      <c r="I22" s="6">
        <f>16276+6393+16</f>
        <v>22685</v>
      </c>
      <c r="J22" s="6">
        <f>16546+6047+16</f>
        <v>22609</v>
      </c>
      <c r="K22" s="7">
        <v>12849.706147342158</v>
      </c>
      <c r="L22" s="7">
        <f>73+12631</f>
        <v>12704</v>
      </c>
      <c r="N22" s="10">
        <f t="shared" si="1"/>
        <v>9.4715817628839693E-3</v>
      </c>
      <c r="O22" s="10">
        <f t="shared" si="1"/>
        <v>9.5354452104604824E-3</v>
      </c>
      <c r="P22" s="10">
        <f t="shared" si="2"/>
        <v>7.5140922242777543E-3</v>
      </c>
      <c r="Q22" s="10">
        <f t="shared" si="2"/>
        <v>8.3379411212954509E-3</v>
      </c>
      <c r="R22" s="10">
        <f t="shared" si="2"/>
        <v>8.9985362543326571E-3</v>
      </c>
      <c r="S22" s="10">
        <f t="shared" si="2"/>
        <v>9.9857158263801614E-3</v>
      </c>
      <c r="T22" s="10">
        <f t="shared" si="2"/>
        <v>9.7467584451572942E-3</v>
      </c>
      <c r="U22" s="10">
        <f t="shared" si="2"/>
        <v>6.7006868477590817E-3</v>
      </c>
      <c r="V22" s="11">
        <f t="shared" si="2"/>
        <v>6.5518071879059744E-3</v>
      </c>
    </row>
    <row r="23" spans="2:22" ht="15.75" x14ac:dyDescent="0.25">
      <c r="B23" s="5" t="s">
        <v>31</v>
      </c>
      <c r="C23" s="6">
        <v>7761</v>
      </c>
      <c r="D23" s="6">
        <v>7758</v>
      </c>
      <c r="E23" s="6">
        <f t="shared" si="0"/>
        <v>11079.598408238066</v>
      </c>
      <c r="F23" s="6">
        <f>9009+346</f>
        <v>9355</v>
      </c>
      <c r="G23" s="6">
        <f>9009+13</f>
        <v>9022</v>
      </c>
      <c r="H23" s="6">
        <f>6778+10</f>
        <v>6788</v>
      </c>
      <c r="I23" s="6">
        <f>9956+10</f>
        <v>9966</v>
      </c>
      <c r="J23" s="6">
        <f>9956+10</f>
        <v>9966</v>
      </c>
      <c r="K23" s="7">
        <v>8777.6513568903883</v>
      </c>
      <c r="L23" s="7">
        <f>14+9006</f>
        <v>9020</v>
      </c>
      <c r="N23" s="10">
        <f t="shared" si="1"/>
        <v>4.5166787134711213E-3</v>
      </c>
      <c r="O23" s="10">
        <f t="shared" si="1"/>
        <v>4.5134828519067978E-3</v>
      </c>
      <c r="P23" s="10">
        <f t="shared" si="2"/>
        <v>3.8011319287361918E-3</v>
      </c>
      <c r="Q23" s="10">
        <f t="shared" si="2"/>
        <v>3.7034710907998996E-3</v>
      </c>
      <c r="R23" s="10">
        <f t="shared" si="2"/>
        <v>3.4427947297040961E-3</v>
      </c>
      <c r="S23" s="10">
        <f t="shared" si="2"/>
        <v>4.3869360337537881E-3</v>
      </c>
      <c r="T23" s="10">
        <f t="shared" si="2"/>
        <v>4.296350774666619E-3</v>
      </c>
      <c r="U23" s="10">
        <f t="shared" si="2"/>
        <v>4.5772480963306448E-3</v>
      </c>
      <c r="V23" s="11">
        <f t="shared" si="2"/>
        <v>4.6518656198765657E-3</v>
      </c>
    </row>
    <row r="24" spans="2:22" ht="16.5" thickBot="1" x14ac:dyDescent="0.3">
      <c r="B24" s="13" t="s">
        <v>32</v>
      </c>
      <c r="C24" s="6">
        <v>13925</v>
      </c>
      <c r="D24" s="6">
        <v>13860</v>
      </c>
      <c r="E24" s="6">
        <f t="shared" si="0"/>
        <v>19794.178130726938</v>
      </c>
      <c r="F24" s="6">
        <f>12876+509+665</f>
        <v>14050</v>
      </c>
      <c r="G24" s="6">
        <f>12876+24+562</f>
        <v>13462</v>
      </c>
      <c r="H24" s="6">
        <f>50719+16</f>
        <v>50735</v>
      </c>
      <c r="I24" s="6">
        <f>67791+16</f>
        <v>67807</v>
      </c>
      <c r="J24" s="6">
        <f>68211+15</f>
        <v>68226</v>
      </c>
      <c r="K24" s="7">
        <v>52269.195073413663</v>
      </c>
      <c r="L24" s="7">
        <f>135+52631</f>
        <v>52766</v>
      </c>
      <c r="N24" s="10">
        <f t="shared" si="1"/>
        <v>8.1039493731587878E-3</v>
      </c>
      <c r="O24" s="10">
        <f t="shared" si="1"/>
        <v>8.0635308491142331E-3</v>
      </c>
      <c r="P24" s="10">
        <f t="shared" si="2"/>
        <v>5.7088085086844991E-3</v>
      </c>
      <c r="Q24" s="10">
        <f t="shared" si="2"/>
        <v>5.5260616076644037E-3</v>
      </c>
      <c r="R24" s="10">
        <f t="shared" si="2"/>
        <v>2.5732202506119229E-2</v>
      </c>
      <c r="S24" s="10">
        <f t="shared" si="2"/>
        <v>2.9847980297084398E-2</v>
      </c>
      <c r="T24" s="10">
        <f t="shared" si="2"/>
        <v>2.9412284562753837E-2</v>
      </c>
      <c r="U24" s="10">
        <f t="shared" si="2"/>
        <v>2.725661614011465E-2</v>
      </c>
      <c r="V24" s="11">
        <f t="shared" si="2"/>
        <v>2.7212898148382136E-2</v>
      </c>
    </row>
    <row r="25" spans="2:22" ht="16.5" thickBot="1" x14ac:dyDescent="0.3">
      <c r="B25" s="14" t="s">
        <v>33</v>
      </c>
      <c r="C25" s="15">
        <f t="shared" ref="C25:L25" si="3">SUM(C3:C24)</f>
        <v>1718298</v>
      </c>
      <c r="D25" s="15">
        <f t="shared" si="3"/>
        <v>1718850</v>
      </c>
      <c r="E25" s="15">
        <v>2454778</v>
      </c>
      <c r="F25" s="15">
        <f t="shared" si="3"/>
        <v>2461109</v>
      </c>
      <c r="G25" s="15">
        <f t="shared" si="3"/>
        <v>2436093</v>
      </c>
      <c r="H25" s="15">
        <f t="shared" si="3"/>
        <v>1971654</v>
      </c>
      <c r="I25" s="15">
        <f t="shared" si="3"/>
        <v>2271745</v>
      </c>
      <c r="J25" s="15">
        <f t="shared" si="3"/>
        <v>2319643</v>
      </c>
      <c r="K25" s="15">
        <f t="shared" si="3"/>
        <v>1917670</v>
      </c>
      <c r="L25" s="15">
        <f t="shared" si="3"/>
        <v>1939007</v>
      </c>
      <c r="N25" s="16">
        <f t="shared" ref="N25:V25" si="4">SUM(N3:N24)</f>
        <v>1</v>
      </c>
      <c r="O25" s="16">
        <f t="shared" si="4"/>
        <v>0.99999999999999978</v>
      </c>
      <c r="P25" s="16">
        <f t="shared" si="4"/>
        <v>1.0000000000000002</v>
      </c>
      <c r="Q25" s="16">
        <f t="shared" si="4"/>
        <v>1</v>
      </c>
      <c r="R25" s="16">
        <f t="shared" si="4"/>
        <v>1.0000000000000002</v>
      </c>
      <c r="S25" s="16">
        <f t="shared" si="4"/>
        <v>1.0000000000000002</v>
      </c>
      <c r="T25" s="16">
        <f t="shared" si="4"/>
        <v>0.99999999999999978</v>
      </c>
      <c r="U25" s="16">
        <f t="shared" si="4"/>
        <v>1</v>
      </c>
      <c r="V25" s="16">
        <f t="shared" si="4"/>
        <v>0.99999999999999967</v>
      </c>
    </row>
    <row r="26" spans="2:22" x14ac:dyDescent="0.25">
      <c r="K26" s="17">
        <f>K25-'[1]Líneas total'!C35</f>
        <v>0</v>
      </c>
      <c r="L26" s="17"/>
    </row>
    <row r="27" spans="2:22" x14ac:dyDescent="0.25">
      <c r="F27" s="17"/>
      <c r="G27" s="17"/>
    </row>
    <row r="29" spans="2:22" ht="15.75" hidden="1" thickBot="1" x14ac:dyDescent="0.3">
      <c r="H29" s="18"/>
      <c r="I29" s="19" t="s">
        <v>34</v>
      </c>
      <c r="J29" s="20" t="s">
        <v>35</v>
      </c>
      <c r="K29" s="20"/>
      <c r="L29" s="20"/>
      <c r="M29" s="20"/>
      <c r="N29" s="20"/>
      <c r="O29" s="20"/>
      <c r="P29" s="20"/>
    </row>
    <row r="30" spans="2:22" ht="16.5" hidden="1" thickBot="1" x14ac:dyDescent="0.3">
      <c r="B30" s="2" t="s">
        <v>0</v>
      </c>
      <c r="C30" s="2" t="s">
        <v>2</v>
      </c>
      <c r="D30" s="2" t="s">
        <v>4</v>
      </c>
      <c r="E30" s="2" t="s">
        <v>6</v>
      </c>
      <c r="F30" s="2" t="s">
        <v>8</v>
      </c>
      <c r="H30" s="3" t="s">
        <v>36</v>
      </c>
      <c r="I30" s="2" t="s">
        <v>37</v>
      </c>
      <c r="J30" s="2" t="s">
        <v>1</v>
      </c>
      <c r="K30" s="2"/>
      <c r="L30" s="2"/>
      <c r="M30" s="2" t="s">
        <v>3</v>
      </c>
      <c r="N30" s="2" t="s">
        <v>5</v>
      </c>
      <c r="O30" s="2" t="s">
        <v>7</v>
      </c>
      <c r="P30" s="2" t="s">
        <v>38</v>
      </c>
    </row>
    <row r="31" spans="2:22" ht="15.75" hidden="1" x14ac:dyDescent="0.25">
      <c r="B31" s="14" t="s">
        <v>39</v>
      </c>
      <c r="C31" s="21">
        <v>13251</v>
      </c>
      <c r="D31" s="21">
        <f t="shared" ref="D31:D52" si="5">$D$53*H31</f>
        <v>18973.23000015708</v>
      </c>
      <c r="E31" s="21">
        <f t="shared" ref="E31:E52" si="6">$E$53*H31</f>
        <v>15218.045953954124</v>
      </c>
      <c r="F31" s="21">
        <f t="shared" ref="F31:F52" si="7">$F$53*H31</f>
        <v>17882.629816080625</v>
      </c>
      <c r="H31" s="12">
        <f t="shared" ref="H31:H52" si="8">+C31/C$53</f>
        <v>7.7092197054893065E-3</v>
      </c>
      <c r="I31" s="6">
        <v>742889</v>
      </c>
      <c r="J31" s="22" t="e">
        <f>#REF!*I31</f>
        <v>#REF!</v>
      </c>
      <c r="K31" s="22"/>
      <c r="L31" s="22"/>
      <c r="M31" s="22" t="e">
        <f>#REF!</f>
        <v>#REF!</v>
      </c>
      <c r="N31" s="22" t="e">
        <f>#REF!</f>
        <v>#REF!</v>
      </c>
      <c r="O31" s="22" t="e">
        <f>#REF!</f>
        <v>#REF!</v>
      </c>
      <c r="P31" s="22" t="e">
        <f>#REF!</f>
        <v>#REF!</v>
      </c>
    </row>
    <row r="32" spans="2:22" ht="15.75" hidden="1" x14ac:dyDescent="0.25">
      <c r="B32" s="14" t="s">
        <v>40</v>
      </c>
      <c r="C32" s="21">
        <v>4785</v>
      </c>
      <c r="D32" s="21">
        <f t="shared" si="5"/>
        <v>6851.3248472380674</v>
      </c>
      <c r="E32" s="21">
        <f t="shared" si="6"/>
        <v>5495.3097796144048</v>
      </c>
      <c r="F32" s="21">
        <f t="shared" si="7"/>
        <v>6457.5038615912608</v>
      </c>
      <c r="H32" s="12">
        <f t="shared" si="8"/>
        <v>2.7838364116494099E-3</v>
      </c>
      <c r="I32" s="6">
        <v>194087</v>
      </c>
      <c r="J32" s="22" t="e">
        <f>#REF!*I32</f>
        <v>#REF!</v>
      </c>
      <c r="K32" s="22"/>
      <c r="L32" s="22"/>
      <c r="M32" s="22" t="e">
        <f>#REF!</f>
        <v>#REF!</v>
      </c>
      <c r="N32" s="22" t="e">
        <f>#REF!</f>
        <v>#REF!</v>
      </c>
      <c r="O32" s="22" t="e">
        <f>#REF!</f>
        <v>#REF!</v>
      </c>
      <c r="P32" s="22" t="e">
        <f>#REF!</f>
        <v>#REF!</v>
      </c>
    </row>
    <row r="33" spans="2:16" ht="15.75" hidden="1" x14ac:dyDescent="0.25">
      <c r="B33" s="14" t="s">
        <v>41</v>
      </c>
      <c r="C33" s="21">
        <v>17839</v>
      </c>
      <c r="D33" s="21">
        <f t="shared" si="5"/>
        <v>25542.48358409193</v>
      </c>
      <c r="E33" s="21">
        <f t="shared" si="6"/>
        <v>20487.112049851905</v>
      </c>
      <c r="F33" s="21">
        <f t="shared" si="7"/>
        <v>24074.276151917762</v>
      </c>
      <c r="H33" s="12">
        <f t="shared" si="8"/>
        <v>1.0378444670305919E-2</v>
      </c>
      <c r="I33" s="6">
        <v>406333</v>
      </c>
      <c r="J33" s="22" t="e">
        <f>#REF!*I33</f>
        <v>#REF!</v>
      </c>
      <c r="K33" s="22"/>
      <c r="L33" s="22"/>
      <c r="M33" s="22" t="e">
        <f>#REF!</f>
        <v>#REF!</v>
      </c>
      <c r="N33" s="22" t="e">
        <f>#REF!</f>
        <v>#REF!</v>
      </c>
      <c r="O33" s="22" t="e">
        <f>#REF!</f>
        <v>#REF!</v>
      </c>
      <c r="P33" s="22" t="e">
        <f>#REF!</f>
        <v>#REF!</v>
      </c>
    </row>
    <row r="34" spans="2:16" ht="15.75" hidden="1" x14ac:dyDescent="0.25">
      <c r="B34" s="14" t="s">
        <v>42</v>
      </c>
      <c r="C34" s="21">
        <v>16390</v>
      </c>
      <c r="D34" s="21">
        <f t="shared" si="5"/>
        <v>23467.756373298209</v>
      </c>
      <c r="E34" s="21">
        <f t="shared" si="6"/>
        <v>18823.015107184972</v>
      </c>
      <c r="F34" s="21">
        <f t="shared" si="7"/>
        <v>22118.806330507996</v>
      </c>
      <c r="H34" s="12">
        <f t="shared" si="8"/>
        <v>9.535439662891082E-3</v>
      </c>
      <c r="I34" s="6">
        <v>268989</v>
      </c>
      <c r="J34" s="22" t="e">
        <f>#REF!*I34</f>
        <v>#REF!</v>
      </c>
      <c r="K34" s="22"/>
      <c r="L34" s="22"/>
      <c r="M34" s="22" t="e">
        <f>#REF!</f>
        <v>#REF!</v>
      </c>
      <c r="N34" s="22" t="e">
        <f>#REF!</f>
        <v>#REF!</v>
      </c>
      <c r="O34" s="22" t="e">
        <f>#REF!</f>
        <v>#REF!</v>
      </c>
      <c r="P34" s="22" t="e">
        <f>#REF!</f>
        <v>#REF!</v>
      </c>
    </row>
    <row r="35" spans="2:16" ht="15.75" hidden="1" x14ac:dyDescent="0.25">
      <c r="B35" s="14" t="s">
        <v>43</v>
      </c>
      <c r="C35" s="21">
        <v>37402</v>
      </c>
      <c r="D35" s="21">
        <f t="shared" si="5"/>
        <v>53553.448680542991</v>
      </c>
      <c r="E35" s="21">
        <f t="shared" si="6"/>
        <v>42954.143443498011</v>
      </c>
      <c r="F35" s="21">
        <f t="shared" si="7"/>
        <v>50475.143036831003</v>
      </c>
      <c r="H35" s="12">
        <f t="shared" si="8"/>
        <v>2.1759884946397332E-2</v>
      </c>
      <c r="I35" s="6">
        <v>503903</v>
      </c>
      <c r="J35" s="22" t="e">
        <f>#REF!*I35</f>
        <v>#REF!</v>
      </c>
      <c r="K35" s="22"/>
      <c r="L35" s="22"/>
      <c r="M35" s="22" t="e">
        <f>#REF!</f>
        <v>#REF!</v>
      </c>
      <c r="N35" s="22" t="e">
        <f>#REF!</f>
        <v>#REF!</v>
      </c>
      <c r="O35" s="22" t="e">
        <f>#REF!</f>
        <v>#REF!</v>
      </c>
      <c r="P35" s="22" t="e">
        <f>#REF!</f>
        <v>#REF!</v>
      </c>
    </row>
    <row r="36" spans="2:16" ht="15.75" hidden="1" x14ac:dyDescent="0.25">
      <c r="B36" s="14" t="s">
        <v>44</v>
      </c>
      <c r="C36" s="21">
        <v>1365117</v>
      </c>
      <c r="D36" s="21">
        <f t="shared" si="5"/>
        <v>1954620.6941456823</v>
      </c>
      <c r="E36" s="21">
        <f t="shared" si="6"/>
        <v>1567761.9227623569</v>
      </c>
      <c r="F36" s="21">
        <f t="shared" si="7"/>
        <v>1842267.1471314267</v>
      </c>
      <c r="H36" s="12">
        <f t="shared" si="8"/>
        <v>0.7942032206398344</v>
      </c>
      <c r="I36" s="6">
        <v>2208202</v>
      </c>
      <c r="J36" s="22" t="e">
        <f>#REF!*I36</f>
        <v>#REF!</v>
      </c>
      <c r="K36" s="22"/>
      <c r="L36" s="22"/>
      <c r="M36" s="22" t="e">
        <f>#REF!</f>
        <v>#REF!</v>
      </c>
      <c r="N36" s="22" t="e">
        <f>#REF!</f>
        <v>#REF!</v>
      </c>
      <c r="O36" s="22" t="e">
        <f>#REF!</f>
        <v>#REF!</v>
      </c>
      <c r="P36" s="22" t="e">
        <f>#REF!</f>
        <v>#REF!</v>
      </c>
    </row>
    <row r="37" spans="2:16" ht="15.75" hidden="1" x14ac:dyDescent="0.25">
      <c r="B37" s="14" t="s">
        <v>45</v>
      </c>
      <c r="C37" s="21">
        <v>19969</v>
      </c>
      <c r="D37" s="21">
        <f t="shared" si="5"/>
        <v>28592.289628943985</v>
      </c>
      <c r="E37" s="21">
        <f t="shared" si="6"/>
        <v>22933.300102219448</v>
      </c>
      <c r="F37" s="21">
        <f t="shared" si="7"/>
        <v>26948.776303472496</v>
      </c>
      <c r="H37" s="12">
        <f t="shared" si="8"/>
        <v>1.1617644577685908E-2</v>
      </c>
      <c r="I37" s="6">
        <v>717486</v>
      </c>
      <c r="J37" s="22" t="e">
        <f>#REF!*I37</f>
        <v>#REF!</v>
      </c>
      <c r="K37" s="22"/>
      <c r="L37" s="22"/>
      <c r="M37" s="22" t="e">
        <f>#REF!</f>
        <v>#REF!</v>
      </c>
      <c r="N37" s="22" t="e">
        <f>#REF!</f>
        <v>#REF!</v>
      </c>
      <c r="O37" s="22" t="e">
        <f>#REF!</f>
        <v>#REF!</v>
      </c>
      <c r="P37" s="22" t="e">
        <f>#REF!</f>
        <v>#REF!</v>
      </c>
    </row>
    <row r="38" spans="2:16" ht="15.75" hidden="1" x14ac:dyDescent="0.25">
      <c r="B38" s="14" t="s">
        <v>46</v>
      </c>
      <c r="C38" s="21">
        <v>19482</v>
      </c>
      <c r="D38" s="21">
        <f t="shared" si="5"/>
        <v>27894.986556717246</v>
      </c>
      <c r="E38" s="21">
        <f t="shared" si="6"/>
        <v>22374.007340950437</v>
      </c>
      <c r="F38" s="21">
        <f t="shared" si="7"/>
        <v>26291.554907318899</v>
      </c>
      <c r="H38" s="12">
        <f t="shared" si="8"/>
        <v>1.1334315772571327E-2</v>
      </c>
      <c r="I38" s="6">
        <v>270138</v>
      </c>
      <c r="J38" s="22" t="e">
        <f>#REF!*I38</f>
        <v>#REF!</v>
      </c>
      <c r="K38" s="22"/>
      <c r="L38" s="22"/>
      <c r="M38" s="22" t="e">
        <f>#REF!</f>
        <v>#REF!</v>
      </c>
      <c r="N38" s="22" t="e">
        <f>#REF!</f>
        <v>#REF!</v>
      </c>
      <c r="O38" s="22" t="e">
        <f>#REF!</f>
        <v>#REF!</v>
      </c>
      <c r="P38" s="22" t="e">
        <f>#REF!</f>
        <v>#REF!</v>
      </c>
    </row>
    <row r="39" spans="2:16" ht="15.75" hidden="1" x14ac:dyDescent="0.25">
      <c r="B39" s="14" t="s">
        <v>47</v>
      </c>
      <c r="C39" s="21">
        <v>7758</v>
      </c>
      <c r="D39" s="21">
        <f t="shared" si="5"/>
        <v>11108.166805616076</v>
      </c>
      <c r="E39" s="21">
        <f t="shared" si="6"/>
        <v>8909.6370470738875</v>
      </c>
      <c r="F39" s="21">
        <f t="shared" si="7"/>
        <v>10469.658298479624</v>
      </c>
      <c r="H39" s="12">
        <f t="shared" si="8"/>
        <v>4.5134802260347173E-3</v>
      </c>
      <c r="I39" s="6">
        <v>220149</v>
      </c>
      <c r="J39" s="22" t="e">
        <f>#REF!*I39</f>
        <v>#REF!</v>
      </c>
      <c r="K39" s="22"/>
      <c r="L39" s="22"/>
      <c r="M39" s="22" t="e">
        <f>#REF!</f>
        <v>#REF!</v>
      </c>
      <c r="N39" s="22" t="e">
        <f>#REF!</f>
        <v>#REF!</v>
      </c>
      <c r="O39" s="22" t="e">
        <f>#REF!</f>
        <v>#REF!</v>
      </c>
      <c r="P39" s="22" t="e">
        <f>#REF!</f>
        <v>#REF!</v>
      </c>
    </row>
    <row r="40" spans="2:16" ht="15.75" hidden="1" x14ac:dyDescent="0.25">
      <c r="B40" s="14" t="s">
        <v>48</v>
      </c>
      <c r="C40" s="21">
        <v>13860</v>
      </c>
      <c r="D40" s="21">
        <f t="shared" si="5"/>
        <v>19845.216798896472</v>
      </c>
      <c r="E40" s="21">
        <f t="shared" si="6"/>
        <v>15917.44901681414</v>
      </c>
      <c r="F40" s="21">
        <f t="shared" si="7"/>
        <v>18704.493943919515</v>
      </c>
      <c r="H40" s="12">
        <f t="shared" si="8"/>
        <v>8.0635261578810499E-3</v>
      </c>
      <c r="I40" s="6">
        <v>334228</v>
      </c>
      <c r="J40" s="22" t="e">
        <f>#REF!*I40</f>
        <v>#REF!</v>
      </c>
      <c r="K40" s="22"/>
      <c r="L40" s="22"/>
      <c r="M40" s="22" t="e">
        <f>#REF!</f>
        <v>#REF!</v>
      </c>
      <c r="N40" s="22" t="e">
        <f>#REF!</f>
        <v>#REF!</v>
      </c>
      <c r="O40" s="22" t="e">
        <f>#REF!</f>
        <v>#REF!</v>
      </c>
      <c r="P40" s="22" t="e">
        <f>#REF!</f>
        <v>#REF!</v>
      </c>
    </row>
    <row r="41" spans="2:16" ht="15.75" hidden="1" x14ac:dyDescent="0.25">
      <c r="B41" s="14" t="s">
        <v>49</v>
      </c>
      <c r="C41" s="21">
        <v>9550</v>
      </c>
      <c r="D41" s="21">
        <f t="shared" si="5"/>
        <v>13674.013017998652</v>
      </c>
      <c r="E41" s="21">
        <f t="shared" si="6"/>
        <v>10967.650657328646</v>
      </c>
      <c r="F41" s="21">
        <f t="shared" si="7"/>
        <v>12888.017111430834</v>
      </c>
      <c r="H41" s="12">
        <f t="shared" si="8"/>
        <v>5.5560371434173177E-3</v>
      </c>
      <c r="I41" s="6">
        <v>347416</v>
      </c>
      <c r="J41" s="22" t="e">
        <f>#REF!*I41</f>
        <v>#REF!</v>
      </c>
      <c r="K41" s="22"/>
      <c r="L41" s="22"/>
      <c r="M41" s="22" t="e">
        <f>#REF!</f>
        <v>#REF!</v>
      </c>
      <c r="N41" s="22" t="e">
        <f>#REF!</f>
        <v>#REF!</v>
      </c>
      <c r="O41" s="22" t="e">
        <f>#REF!</f>
        <v>#REF!</v>
      </c>
      <c r="P41" s="22" t="e">
        <f>#REF!</f>
        <v>#REF!</v>
      </c>
    </row>
    <row r="42" spans="2:16" ht="15.75" hidden="1" x14ac:dyDescent="0.25">
      <c r="B42" s="14" t="s">
        <v>50</v>
      </c>
      <c r="C42" s="21">
        <v>6582</v>
      </c>
      <c r="D42" s="21">
        <f t="shared" si="5"/>
        <v>9424.3302287400129</v>
      </c>
      <c r="E42" s="21">
        <f t="shared" si="6"/>
        <v>7559.0656153442033</v>
      </c>
      <c r="F42" s="21">
        <f t="shared" si="7"/>
        <v>8882.6103274803918</v>
      </c>
      <c r="H42" s="12">
        <f t="shared" si="8"/>
        <v>3.8293022490023857E-3</v>
      </c>
      <c r="I42" s="6">
        <v>122703</v>
      </c>
      <c r="J42" s="22" t="e">
        <f>#REF!*I42</f>
        <v>#REF!</v>
      </c>
      <c r="K42" s="22"/>
      <c r="L42" s="22"/>
      <c r="M42" s="22" t="e">
        <f>#REF!</f>
        <v>#REF!</v>
      </c>
      <c r="N42" s="22" t="e">
        <f>#REF!</f>
        <v>#REF!</v>
      </c>
      <c r="O42" s="22" t="e">
        <f>#REF!</f>
        <v>#REF!</v>
      </c>
      <c r="P42" s="22" t="e">
        <f>#REF!</f>
        <v>#REF!</v>
      </c>
    </row>
    <row r="43" spans="2:16" ht="15.75" hidden="1" x14ac:dyDescent="0.25">
      <c r="B43" s="14" t="s">
        <v>51</v>
      </c>
      <c r="C43" s="21">
        <v>57212</v>
      </c>
      <c r="D43" s="21">
        <f t="shared" si="5"/>
        <v>81918.07673149099</v>
      </c>
      <c r="E43" s="21">
        <f t="shared" si="6"/>
        <v>65704.840775611156</v>
      </c>
      <c r="F43" s="21">
        <f t="shared" si="7"/>
        <v>77209.343976877586</v>
      </c>
      <c r="H43" s="12">
        <f t="shared" si="8"/>
        <v>3.3285025869025299E-2</v>
      </c>
      <c r="I43" s="6">
        <v>548868</v>
      </c>
      <c r="J43" s="22" t="e">
        <f>#REF!*I43</f>
        <v>#REF!</v>
      </c>
      <c r="K43" s="22"/>
      <c r="L43" s="22"/>
      <c r="M43" s="22" t="e">
        <f>#REF!</f>
        <v>#REF!</v>
      </c>
      <c r="N43" s="22" t="e">
        <f>#REF!</f>
        <v>#REF!</v>
      </c>
      <c r="O43" s="22" t="e">
        <f>#REF!</f>
        <v>#REF!</v>
      </c>
      <c r="P43" s="22" t="e">
        <f>#REF!</f>
        <v>#REF!</v>
      </c>
    </row>
    <row r="44" spans="2:16" ht="15.75" hidden="1" x14ac:dyDescent="0.25">
      <c r="B44" s="14" t="s">
        <v>52</v>
      </c>
      <c r="C44" s="21">
        <v>9463</v>
      </c>
      <c r="D44" s="21">
        <f t="shared" si="5"/>
        <v>13549.443475321594</v>
      </c>
      <c r="E44" s="21">
        <f t="shared" si="6"/>
        <v>10867.735934062928</v>
      </c>
      <c r="F44" s="21">
        <f t="shared" si="7"/>
        <v>12770.607950310992</v>
      </c>
      <c r="H44" s="12">
        <f t="shared" si="8"/>
        <v>5.5054219359327826E-3</v>
      </c>
      <c r="I44" s="6">
        <v>580371</v>
      </c>
      <c r="J44" s="22" t="e">
        <f>#REF!*I44</f>
        <v>#REF!</v>
      </c>
      <c r="K44" s="22"/>
      <c r="L44" s="22"/>
      <c r="M44" s="22" t="e">
        <f>#REF!</f>
        <v>#REF!</v>
      </c>
      <c r="N44" s="22" t="e">
        <f>#REF!</f>
        <v>#REF!</v>
      </c>
      <c r="O44" s="22" t="e">
        <f>#REF!</f>
        <v>#REF!</v>
      </c>
      <c r="P44" s="22" t="e">
        <f>#REF!</f>
        <v>#REF!</v>
      </c>
    </row>
    <row r="45" spans="2:16" ht="15.75" hidden="1" x14ac:dyDescent="0.25">
      <c r="B45" s="14" t="s">
        <v>53</v>
      </c>
      <c r="C45" s="21">
        <v>13379</v>
      </c>
      <c r="D45" s="21">
        <f t="shared" si="5"/>
        <v>19156.504729612978</v>
      </c>
      <c r="E45" s="21">
        <f t="shared" si="6"/>
        <v>15365.046926115177</v>
      </c>
      <c r="F45" s="21">
        <f t="shared" si="7"/>
        <v>18055.369731291426</v>
      </c>
      <c r="H45" s="12">
        <f t="shared" si="8"/>
        <v>7.7836880567309207E-3</v>
      </c>
      <c r="I45" s="6">
        <v>217930</v>
      </c>
      <c r="J45" s="22" t="e">
        <f>#REF!*I45</f>
        <v>#REF!</v>
      </c>
      <c r="K45" s="22"/>
      <c r="L45" s="22"/>
      <c r="M45" s="22" t="e">
        <f>#REF!</f>
        <v>#REF!</v>
      </c>
      <c r="N45" s="22" t="e">
        <f>#REF!</f>
        <v>#REF!</v>
      </c>
      <c r="O45" s="22" t="e">
        <f>#REF!</f>
        <v>#REF!</v>
      </c>
      <c r="P45" s="22" t="e">
        <f>#REF!</f>
        <v>#REF!</v>
      </c>
    </row>
    <row r="46" spans="2:16" ht="15.75" hidden="1" x14ac:dyDescent="0.25">
      <c r="B46" s="14" t="s">
        <v>54</v>
      </c>
      <c r="C46" s="21">
        <v>28785</v>
      </c>
      <c r="D46" s="21">
        <f t="shared" si="5"/>
        <v>41215.336620218972</v>
      </c>
      <c r="E46" s="21">
        <f t="shared" si="6"/>
        <v>33057.992059812052</v>
      </c>
      <c r="F46" s="21">
        <f t="shared" si="7"/>
        <v>38846.23796361639</v>
      </c>
      <c r="H46" s="12">
        <f t="shared" si="8"/>
        <v>1.6746652269452093E-2</v>
      </c>
      <c r="I46" s="6">
        <v>235375</v>
      </c>
      <c r="J46" s="22" t="e">
        <f>#REF!*I46</f>
        <v>#REF!</v>
      </c>
      <c r="K46" s="22"/>
      <c r="L46" s="22"/>
      <c r="M46" s="22" t="e">
        <f>#REF!</f>
        <v>#REF!</v>
      </c>
      <c r="N46" s="22" t="e">
        <f>#REF!</f>
        <v>#REF!</v>
      </c>
      <c r="O46" s="22" t="e">
        <f>#REF!</f>
        <v>#REF!</v>
      </c>
      <c r="P46" s="22" t="e">
        <f>#REF!</f>
        <v>#REF!</v>
      </c>
    </row>
    <row r="47" spans="2:16" ht="15.75" hidden="1" x14ac:dyDescent="0.25">
      <c r="B47" s="14" t="s">
        <v>55</v>
      </c>
      <c r="C47" s="21">
        <v>19687</v>
      </c>
      <c r="D47" s="21">
        <f t="shared" si="5"/>
        <v>28188.512490611458</v>
      </c>
      <c r="E47" s="21">
        <f t="shared" si="6"/>
        <v>22609.438585427124</v>
      </c>
      <c r="F47" s="21">
        <f t="shared" si="7"/>
        <v>26568.208677773699</v>
      </c>
      <c r="H47" s="12">
        <f t="shared" si="8"/>
        <v>1.1453581491356725E-2</v>
      </c>
      <c r="I47" s="6">
        <v>648975</v>
      </c>
      <c r="J47" s="22" t="e">
        <f>#REF!*I47</f>
        <v>#REF!</v>
      </c>
      <c r="K47" s="22"/>
      <c r="L47" s="22"/>
      <c r="M47" s="22" t="e">
        <f>#REF!</f>
        <v>#REF!</v>
      </c>
      <c r="N47" s="22" t="e">
        <f>#REF!</f>
        <v>#REF!</v>
      </c>
      <c r="O47" s="22" t="e">
        <f>#REF!</f>
        <v>#REF!</v>
      </c>
      <c r="P47" s="22" t="e">
        <f>#REF!</f>
        <v>#REF!</v>
      </c>
    </row>
    <row r="48" spans="2:16" ht="15.75" hidden="1" x14ac:dyDescent="0.25">
      <c r="B48" s="14" t="s">
        <v>56</v>
      </c>
      <c r="C48" s="21">
        <v>8590</v>
      </c>
      <c r="D48" s="21">
        <f t="shared" si="5"/>
        <v>12299.452547079416</v>
      </c>
      <c r="E48" s="21">
        <f t="shared" si="6"/>
        <v>9865.1433661207411</v>
      </c>
      <c r="F48" s="21">
        <f t="shared" si="7"/>
        <v>11592.467747349829</v>
      </c>
      <c r="H48" s="12">
        <f t="shared" si="8"/>
        <v>4.9975245091052108E-3</v>
      </c>
      <c r="I48" s="6">
        <v>270166</v>
      </c>
      <c r="J48" s="22" t="e">
        <f>#REF!*I48</f>
        <v>#REF!</v>
      </c>
      <c r="K48" s="22"/>
      <c r="L48" s="22"/>
      <c r="M48" s="22" t="e">
        <f>#REF!</f>
        <v>#REF!</v>
      </c>
      <c r="N48" s="22" t="e">
        <f>#REF!</f>
        <v>#REF!</v>
      </c>
      <c r="O48" s="22" t="e">
        <f>#REF!</f>
        <v>#REF!</v>
      </c>
      <c r="P48" s="22" t="e">
        <f>#REF!</f>
        <v>#REF!</v>
      </c>
    </row>
    <row r="49" spans="2:16" ht="15.75" hidden="1" x14ac:dyDescent="0.25">
      <c r="B49" s="14" t="s">
        <v>57</v>
      </c>
      <c r="C49" s="21">
        <v>7263</v>
      </c>
      <c r="D49" s="21">
        <f t="shared" si="5"/>
        <v>10399.409062798346</v>
      </c>
      <c r="E49" s="21">
        <f t="shared" si="6"/>
        <v>8341.1567250448115</v>
      </c>
      <c r="F49" s="21">
        <f t="shared" si="7"/>
        <v>9801.6406576253557</v>
      </c>
      <c r="H49" s="12">
        <f t="shared" si="8"/>
        <v>4.225497148967537E-3</v>
      </c>
      <c r="I49" s="6">
        <v>282335</v>
      </c>
      <c r="J49" s="22" t="e">
        <f>#REF!*I49</f>
        <v>#REF!</v>
      </c>
      <c r="K49" s="22"/>
      <c r="L49" s="22"/>
      <c r="M49" s="22" t="e">
        <f>#REF!</f>
        <v>#REF!</v>
      </c>
      <c r="N49" s="22" t="e">
        <f>#REF!</f>
        <v>#REF!</v>
      </c>
      <c r="O49" s="22" t="e">
        <f>#REF!</f>
        <v>#REF!</v>
      </c>
      <c r="P49" s="22" t="e">
        <f>#REF!</f>
        <v>#REF!</v>
      </c>
    </row>
    <row r="50" spans="2:16" ht="15.75" hidden="1" x14ac:dyDescent="0.25">
      <c r="B50" s="14" t="s">
        <v>58</v>
      </c>
      <c r="C50" s="21">
        <v>18010</v>
      </c>
      <c r="D50" s="21">
        <f t="shared" si="5"/>
        <v>25787.327167974421</v>
      </c>
      <c r="E50" s="21">
        <f t="shared" si="6"/>
        <v>20683.496161098315</v>
      </c>
      <c r="F50" s="21">
        <f t="shared" si="7"/>
        <v>24305.045882394694</v>
      </c>
      <c r="H50" s="12">
        <f t="shared" si="8"/>
        <v>1.0477929733292764E-2</v>
      </c>
      <c r="I50" s="6">
        <v>364761</v>
      </c>
      <c r="J50" s="22" t="e">
        <f>#REF!*I50</f>
        <v>#REF!</v>
      </c>
      <c r="K50" s="22"/>
      <c r="L50" s="22"/>
      <c r="M50" s="22" t="e">
        <f>#REF!</f>
        <v>#REF!</v>
      </c>
      <c r="N50" s="22" t="e">
        <f>#REF!</f>
        <v>#REF!</v>
      </c>
      <c r="O50" s="22" t="e">
        <f>#REF!</f>
        <v>#REF!</v>
      </c>
      <c r="P50" s="22" t="e">
        <f>#REF!</f>
        <v>#REF!</v>
      </c>
    </row>
    <row r="51" spans="2:16" ht="15.75" hidden="1" x14ac:dyDescent="0.25">
      <c r="B51" s="14" t="s">
        <v>59</v>
      </c>
      <c r="C51" s="21">
        <v>7499</v>
      </c>
      <c r="D51" s="21">
        <f t="shared" si="5"/>
        <v>10737.321845232658</v>
      </c>
      <c r="E51" s="21">
        <f t="shared" si="6"/>
        <v>8612.1897674667543</v>
      </c>
      <c r="F51" s="21">
        <f t="shared" si="7"/>
        <v>10120.129876295268</v>
      </c>
      <c r="H51" s="12">
        <f t="shared" si="8"/>
        <v>4.3627981715692633E-3</v>
      </c>
      <c r="I51" s="6">
        <v>274247</v>
      </c>
      <c r="J51" s="22" t="e">
        <f>#REF!*I51</f>
        <v>#REF!</v>
      </c>
      <c r="K51" s="22"/>
      <c r="L51" s="22"/>
      <c r="M51" s="22" t="e">
        <f>#REF!</f>
        <v>#REF!</v>
      </c>
      <c r="N51" s="22" t="e">
        <f>#REF!</f>
        <v>#REF!</v>
      </c>
      <c r="O51" s="22" t="e">
        <f>#REF!</f>
        <v>#REF!</v>
      </c>
      <c r="P51" s="22" t="e">
        <f>#REF!</f>
        <v>#REF!</v>
      </c>
    </row>
    <row r="52" spans="2:16" ht="15.75" hidden="1" x14ac:dyDescent="0.25">
      <c r="B52" s="14" t="s">
        <v>60</v>
      </c>
      <c r="C52" s="21">
        <v>16977</v>
      </c>
      <c r="D52" s="21">
        <f t="shared" si="5"/>
        <v>24308.242827912367</v>
      </c>
      <c r="E52" s="21">
        <f t="shared" si="6"/>
        <v>19497.152377954808</v>
      </c>
      <c r="F52" s="21">
        <f t="shared" si="7"/>
        <v>22910.98078542003</v>
      </c>
      <c r="H52" s="12">
        <f t="shared" si="8"/>
        <v>9.8769468674131736E-3</v>
      </c>
      <c r="I52" s="6">
        <v>169010</v>
      </c>
      <c r="J52" s="22" t="e">
        <f>#REF!*I52</f>
        <v>#REF!</v>
      </c>
      <c r="K52" s="22"/>
      <c r="L52" s="22"/>
      <c r="M52" s="22" t="e">
        <f>#REF!</f>
        <v>#REF!</v>
      </c>
      <c r="N52" s="22" t="e">
        <f>#REF!</f>
        <v>#REF!</v>
      </c>
      <c r="O52" s="22" t="e">
        <f>#REF!</f>
        <v>#REF!</v>
      </c>
      <c r="P52" s="22" t="e">
        <f>#REF!</f>
        <v>#REF!</v>
      </c>
    </row>
    <row r="53" spans="2:16" ht="16.5" hidden="1" thickBot="1" x14ac:dyDescent="0.3">
      <c r="B53" s="14" t="s">
        <v>33</v>
      </c>
      <c r="C53" s="17">
        <v>1718851</v>
      </c>
      <c r="D53" s="17">
        <v>2461109</v>
      </c>
      <c r="E53" s="17">
        <v>1974006</v>
      </c>
      <c r="F53" s="17">
        <v>2319642</v>
      </c>
      <c r="H53" s="23">
        <f t="shared" ref="H53" si="9">SUM(H31:H52)</f>
        <v>0.9999994182160058</v>
      </c>
      <c r="I53" s="24">
        <f>SUM(I31:I52)</f>
        <v>9928561</v>
      </c>
      <c r="J53" s="24" t="e">
        <f>SUM(J31:J52)</f>
        <v>#REF!</v>
      </c>
      <c r="K53" s="24"/>
      <c r="L53" s="24"/>
      <c r="M53" s="24" t="e">
        <f t="shared" ref="M53:P53" si="10">SUM(M31:M52)</f>
        <v>#REF!</v>
      </c>
      <c r="N53" s="24" t="e">
        <f t="shared" si="10"/>
        <v>#REF!</v>
      </c>
      <c r="O53" s="24" t="e">
        <f t="shared" si="10"/>
        <v>#REF!</v>
      </c>
      <c r="P53" s="24" t="e">
        <f t="shared" si="10"/>
        <v>#REF!</v>
      </c>
    </row>
    <row r="54" spans="2:16" hidden="1" x14ac:dyDescent="0.25"/>
    <row r="56" spans="2:16" x14ac:dyDescent="0.25">
      <c r="M56" s="17"/>
    </row>
    <row r="57" spans="2:16" x14ac:dyDescent="0.25">
      <c r="M57" s="17"/>
    </row>
    <row r="58" spans="2:16" x14ac:dyDescent="0.25">
      <c r="M58" s="17"/>
    </row>
    <row r="59" spans="2:16" x14ac:dyDescent="0.25">
      <c r="M59" s="17"/>
    </row>
    <row r="60" spans="2:16" x14ac:dyDescent="0.25">
      <c r="M60" s="17"/>
    </row>
    <row r="61" spans="2:16" x14ac:dyDescent="0.25">
      <c r="M61" s="17"/>
    </row>
    <row r="62" spans="2:16" x14ac:dyDescent="0.25">
      <c r="M62" s="17"/>
    </row>
    <row r="63" spans="2:16" x14ac:dyDescent="0.25">
      <c r="M63" s="17"/>
    </row>
    <row r="64" spans="2:16" x14ac:dyDescent="0.25">
      <c r="M64" s="17"/>
    </row>
    <row r="65" spans="13:13" x14ac:dyDescent="0.25">
      <c r="M65" s="17"/>
    </row>
    <row r="66" spans="13:13" x14ac:dyDescent="0.25">
      <c r="M66" s="17"/>
    </row>
    <row r="67" spans="13:13" x14ac:dyDescent="0.25">
      <c r="M67" s="17"/>
    </row>
    <row r="68" spans="13:13" x14ac:dyDescent="0.25">
      <c r="M68" s="17"/>
    </row>
    <row r="69" spans="13:13" x14ac:dyDescent="0.25">
      <c r="M69" s="17"/>
    </row>
    <row r="70" spans="13:13" x14ac:dyDescent="0.25">
      <c r="M70" s="17"/>
    </row>
    <row r="71" spans="13:13" x14ac:dyDescent="0.25">
      <c r="M71" s="17"/>
    </row>
    <row r="72" spans="13:13" x14ac:dyDescent="0.25">
      <c r="M72" s="17"/>
    </row>
    <row r="73" spans="13:13" x14ac:dyDescent="0.25">
      <c r="M73" s="17"/>
    </row>
    <row r="74" spans="13:13" x14ac:dyDescent="0.25">
      <c r="M74" s="17"/>
    </row>
    <row r="75" spans="13:13" x14ac:dyDescent="0.25">
      <c r="M75" s="17"/>
    </row>
    <row r="76" spans="13:13" x14ac:dyDescent="0.25">
      <c r="M76" s="17"/>
    </row>
    <row r="77" spans="13:13" x14ac:dyDescent="0.25">
      <c r="M77" s="17"/>
    </row>
  </sheetData>
  <mergeCells count="1">
    <mergeCell ref="J29:P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Telefonía Fija</vt:lpstr>
    </vt:vector>
  </TitlesOfParts>
  <Company>Banco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Alejandra González Anavisca</dc:creator>
  <cp:lastModifiedBy>Cindy Alejandra González Anavisca</cp:lastModifiedBy>
  <dcterms:created xsi:type="dcterms:W3CDTF">2025-10-03T00:18:15Z</dcterms:created>
  <dcterms:modified xsi:type="dcterms:W3CDTF">2025-10-03T00:18:27Z</dcterms:modified>
</cp:coreProperties>
</file>