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ji.kume\Desktop\Work Projects\STOP\STOP Publication\Steffanic\"/>
    </mc:Choice>
  </mc:AlternateContent>
  <xr:revisionPtr revIDLastSave="0" documentId="13_ncr:1_{78A5D4D0-870D-4BBF-8016-FF986213ABDE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ummaryStats" sheetId="1" r:id="rId1"/>
    <sheet name="Class 1" sheetId="8" r:id="rId2"/>
    <sheet name="Class 2" sheetId="9" r:id="rId3"/>
    <sheet name="Class 3" sheetId="10" r:id="rId4"/>
    <sheet name="Class 3+" sheetId="11" r:id="rId5"/>
    <sheet name="Class 4" sheetId="12" r:id="rId6"/>
    <sheet name="Class 4+" sheetId="13" r:id="rId7"/>
    <sheet name="Class 5" sheetId="14" r:id="rId8"/>
    <sheet name="Class 6" sheetId="15" r:id="rId9"/>
    <sheet name="Class 7" sheetId="16" r:id="rId10"/>
  </sheets>
  <externalReferences>
    <externalReference r:id="rId11"/>
    <externalReference r:id="rId12"/>
    <externalReference r:id="rId13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1">'Class 1'!$A$1:$N$136</definedName>
    <definedName name="_xlnm.Print_Area" localSheetId="2">'Class 2'!$A$1:$K$136</definedName>
    <definedName name="_xlnm.Print_Area" localSheetId="3">'Class 3'!$A$1:$P$136</definedName>
    <definedName name="_xlnm.Print_Area" localSheetId="4">'Class 3+'!$A$1:$P$136</definedName>
    <definedName name="_xlnm.Print_Area" localSheetId="5">'Class 4'!$A$1:$J$136</definedName>
    <definedName name="_xlnm.Print_Area" localSheetId="6">'Class 4+'!$A$1:$H$136</definedName>
    <definedName name="_xlnm.Print_Area" localSheetId="7">'Class 5'!$A$1:$F$136</definedName>
    <definedName name="_xlnm.Print_Area" localSheetId="8">'Class 6'!$A$1:$G$136</definedName>
    <definedName name="_xlnm.Print_Area" localSheetId="9">'Class 7'!$A$1:$G$136</definedName>
    <definedName name="_xlnm.Print_Area" localSheetId="0">SummaryStats!$A$1:$K$33</definedName>
    <definedName name="_xlnm.Print_Titles" localSheetId="1">'Class 1'!$A:$B</definedName>
    <definedName name="_xlnm.Print_Titles" localSheetId="2">'Class 2'!$A:$B</definedName>
    <definedName name="_xlnm.Print_Titles" localSheetId="3">'Class 3'!$A:$B</definedName>
    <definedName name="_xlnm.Print_Titles" localSheetId="4">'Class 3+'!$A:$B</definedName>
    <definedName name="_xlnm.Print_Titles" localSheetId="5">'Class 4'!$A:$B</definedName>
    <definedName name="_xlnm.Print_Titles" localSheetId="6">'Class 4+'!$A:$B</definedName>
    <definedName name="_xlnm.Print_Titles" localSheetId="7">'Class 5'!$A:$B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1" i="9" l="1"/>
  <c r="J118" i="9"/>
  <c r="J116" i="9"/>
  <c r="J108" i="9"/>
  <c r="J107" i="9"/>
  <c r="J106" i="9"/>
  <c r="J110" i="9" s="1"/>
  <c r="J103" i="9"/>
  <c r="J93" i="9"/>
  <c r="J62" i="9"/>
  <c r="J51" i="9"/>
  <c r="J63" i="9" s="1"/>
  <c r="J31" i="9"/>
  <c r="J9" i="9"/>
  <c r="J111" i="9" l="1"/>
  <c r="J112" i="9" s="1"/>
  <c r="J123" i="9"/>
  <c r="J125" i="9"/>
  <c r="J121" i="9"/>
  <c r="J56" i="9"/>
  <c r="J54" i="9"/>
  <c r="J57" i="9"/>
  <c r="J65" i="9" s="1"/>
  <c r="J64" i="9"/>
  <c r="E91" i="14"/>
  <c r="E93" i="14"/>
  <c r="E103" i="14"/>
  <c r="E110" i="14"/>
  <c r="E118" i="14"/>
  <c r="E62" i="14"/>
  <c r="E51" i="14"/>
  <c r="E63" i="14" s="1"/>
  <c r="E31" i="14"/>
  <c r="E9" i="14"/>
  <c r="J55" i="9" l="1"/>
  <c r="J114" i="9"/>
  <c r="E57" i="14"/>
  <c r="E65" i="14" s="1"/>
  <c r="E123" i="14"/>
  <c r="E116" i="14"/>
  <c r="E64" i="14"/>
  <c r="E54" i="14"/>
  <c r="E56" i="14"/>
  <c r="E55" i="14" l="1"/>
  <c r="E114" i="14"/>
  <c r="E111" i="14"/>
  <c r="E112" i="14" s="1"/>
  <c r="E125" i="14"/>
  <c r="E121" i="14"/>
  <c r="F46" i="14" l="1"/>
  <c r="F50" i="14"/>
  <c r="F30" i="14" l="1"/>
  <c r="F28" i="14"/>
  <c r="G128" i="16" l="1"/>
  <c r="G91" i="16"/>
  <c r="O106" i="11" l="1"/>
  <c r="O91" i="11"/>
  <c r="O38" i="11"/>
  <c r="O27" i="11"/>
  <c r="O28" i="11"/>
  <c r="O59" i="11" l="1"/>
  <c r="G118" i="16"/>
  <c r="G116" i="16"/>
  <c r="G110" i="16"/>
  <c r="G103" i="16"/>
  <c r="G111" i="16" s="1"/>
  <c r="G93" i="16"/>
  <c r="G121" i="16" s="1"/>
  <c r="G62" i="16"/>
  <c r="G51" i="16"/>
  <c r="G63" i="16" s="1"/>
  <c r="G31" i="16"/>
  <c r="G9" i="16"/>
  <c r="O118" i="11"/>
  <c r="O116" i="11"/>
  <c r="O110" i="11"/>
  <c r="O103" i="11"/>
  <c r="O111" i="11" s="1"/>
  <c r="O93" i="11"/>
  <c r="O123" i="11" s="1"/>
  <c r="O51" i="11"/>
  <c r="O31" i="11"/>
  <c r="O9" i="11"/>
  <c r="G91" i="10"/>
  <c r="G65" i="16" l="1"/>
  <c r="G64" i="16"/>
  <c r="G125" i="16"/>
  <c r="G123" i="16"/>
  <c r="G57" i="16"/>
  <c r="G54" i="16"/>
  <c r="G56" i="16"/>
  <c r="O125" i="11"/>
  <c r="O121" i="11"/>
  <c r="O57" i="11"/>
  <c r="O63" i="11"/>
  <c r="O54" i="11"/>
  <c r="O56" i="11"/>
  <c r="O62" i="11"/>
  <c r="G118" i="10"/>
  <c r="G116" i="10"/>
  <c r="G110" i="10"/>
  <c r="G103" i="10"/>
  <c r="G111" i="10" s="1"/>
  <c r="G93" i="10"/>
  <c r="G62" i="10"/>
  <c r="G51" i="10"/>
  <c r="G63" i="10" s="1"/>
  <c r="G31" i="10"/>
  <c r="G9" i="10"/>
  <c r="G55" i="16" l="1"/>
  <c r="G114" i="16"/>
  <c r="O55" i="11"/>
  <c r="O114" i="11"/>
  <c r="G123" i="10"/>
  <c r="G125" i="10"/>
  <c r="G121" i="10"/>
  <c r="G57" i="10"/>
  <c r="G54" i="10"/>
  <c r="G56" i="10"/>
  <c r="L109" i="12"/>
  <c r="J91" i="12"/>
  <c r="J13" i="12"/>
  <c r="G55" i="10" l="1"/>
  <c r="G114" i="10"/>
  <c r="J118" i="12"/>
  <c r="J116" i="12"/>
  <c r="J108" i="12"/>
  <c r="J107" i="12"/>
  <c r="J106" i="12"/>
  <c r="J110" i="12" s="1"/>
  <c r="J103" i="12"/>
  <c r="J93" i="12"/>
  <c r="J62" i="12"/>
  <c r="J51" i="12"/>
  <c r="J63" i="12" s="1"/>
  <c r="J31" i="12"/>
  <c r="J9" i="12"/>
  <c r="J121" i="12" l="1"/>
  <c r="J123" i="12"/>
  <c r="J111" i="12"/>
  <c r="J125" i="12"/>
  <c r="J56" i="12"/>
  <c r="J54" i="12"/>
  <c r="J57" i="12"/>
  <c r="G91" i="11"/>
  <c r="J55" i="12" l="1"/>
  <c r="J114" i="12"/>
  <c r="G9" i="11"/>
  <c r="G31" i="11"/>
  <c r="G51" i="11"/>
  <c r="G63" i="11" s="1"/>
  <c r="G62" i="11"/>
  <c r="G76" i="11"/>
  <c r="G93" i="11"/>
  <c r="G103" i="11"/>
  <c r="G111" i="11" s="1"/>
  <c r="G110" i="11"/>
  <c r="G118" i="11"/>
  <c r="G116" i="11"/>
  <c r="G125" i="11" l="1"/>
  <c r="G123" i="11"/>
  <c r="G57" i="11"/>
  <c r="G65" i="11" s="1"/>
  <c r="G54" i="11"/>
  <c r="G56" i="11"/>
  <c r="G121" i="11"/>
  <c r="G55" i="11" l="1"/>
  <c r="G114" i="11"/>
  <c r="N118" i="10" l="1"/>
  <c r="N116" i="10"/>
  <c r="N110" i="10"/>
  <c r="N103" i="10"/>
  <c r="N111" i="10" s="1"/>
  <c r="N93" i="10"/>
  <c r="N62" i="10"/>
  <c r="N51" i="10"/>
  <c r="N63" i="10" s="1"/>
  <c r="N31" i="10"/>
  <c r="N9" i="10"/>
  <c r="N121" i="10" l="1"/>
  <c r="N125" i="10"/>
  <c r="N123" i="10"/>
  <c r="N54" i="10"/>
  <c r="N114" i="10" s="1"/>
  <c r="N57" i="10"/>
  <c r="N56" i="10"/>
  <c r="J91" i="8"/>
  <c r="J93" i="8" s="1"/>
  <c r="J118" i="8"/>
  <c r="J116" i="8"/>
  <c r="J108" i="8"/>
  <c r="J107" i="8"/>
  <c r="J106" i="8"/>
  <c r="J103" i="8"/>
  <c r="J62" i="8"/>
  <c r="J51" i="8"/>
  <c r="J63" i="8" s="1"/>
  <c r="J31" i="8"/>
  <c r="J9" i="8"/>
  <c r="N55" i="10" l="1"/>
  <c r="J121" i="8"/>
  <c r="J111" i="8"/>
  <c r="J57" i="8"/>
  <c r="J54" i="8"/>
  <c r="J114" i="8" s="1"/>
  <c r="J55" i="8"/>
  <c r="J56" i="8"/>
  <c r="J110" i="8"/>
  <c r="F99" i="14"/>
  <c r="F91" i="14"/>
  <c r="J125" i="8" l="1"/>
  <c r="J123" i="8"/>
  <c r="F118" i="14"/>
  <c r="F116" i="14"/>
  <c r="F110" i="14"/>
  <c r="F103" i="14"/>
  <c r="F111" i="14" s="1"/>
  <c r="F93" i="14"/>
  <c r="F62" i="14"/>
  <c r="F51" i="14"/>
  <c r="F63" i="14" s="1"/>
  <c r="F31" i="14"/>
  <c r="F9" i="14"/>
  <c r="F123" i="14" l="1"/>
  <c r="F125" i="14"/>
  <c r="F121" i="14"/>
  <c r="F57" i="14"/>
  <c r="F56" i="14"/>
  <c r="F54" i="14"/>
  <c r="O76" i="11"/>
  <c r="F55" i="14" l="1"/>
  <c r="F114" i="14"/>
  <c r="G65" i="10" l="1"/>
  <c r="F118" i="16" l="1"/>
  <c r="E118" i="16"/>
  <c r="D118" i="16"/>
  <c r="C118" i="16"/>
  <c r="F116" i="16"/>
  <c r="E116" i="16"/>
  <c r="D116" i="16"/>
  <c r="C116" i="16"/>
  <c r="G118" i="15"/>
  <c r="F118" i="15"/>
  <c r="E118" i="15"/>
  <c r="D118" i="15"/>
  <c r="C118" i="15"/>
  <c r="G116" i="15"/>
  <c r="F116" i="15"/>
  <c r="E116" i="15"/>
  <c r="D116" i="15"/>
  <c r="C116" i="15"/>
  <c r="C118" i="14"/>
  <c r="C116" i="14"/>
  <c r="H118" i="13"/>
  <c r="G118" i="13"/>
  <c r="F118" i="13"/>
  <c r="D118" i="13"/>
  <c r="C118" i="13"/>
  <c r="H116" i="13"/>
  <c r="G116" i="13"/>
  <c r="F116" i="13"/>
  <c r="D116" i="13"/>
  <c r="C116" i="13"/>
  <c r="I118" i="12"/>
  <c r="H118" i="12"/>
  <c r="G118" i="12"/>
  <c r="F118" i="12"/>
  <c r="E118" i="12"/>
  <c r="D118" i="12"/>
  <c r="C118" i="12"/>
  <c r="I116" i="12"/>
  <c r="H116" i="12"/>
  <c r="G116" i="12"/>
  <c r="F116" i="12"/>
  <c r="E116" i="12"/>
  <c r="D116" i="12"/>
  <c r="C116" i="12"/>
  <c r="P118" i="11"/>
  <c r="N118" i="11"/>
  <c r="M118" i="11"/>
  <c r="L118" i="11"/>
  <c r="K118" i="11"/>
  <c r="I118" i="11"/>
  <c r="H118" i="11"/>
  <c r="F118" i="11"/>
  <c r="D118" i="11"/>
  <c r="C118" i="11"/>
  <c r="P116" i="11"/>
  <c r="N116" i="11"/>
  <c r="M116" i="11"/>
  <c r="L116" i="11"/>
  <c r="K116" i="11"/>
  <c r="I116" i="11"/>
  <c r="H116" i="11"/>
  <c r="F116" i="11"/>
  <c r="D116" i="11"/>
  <c r="C116" i="11"/>
  <c r="P118" i="10"/>
  <c r="O118" i="10"/>
  <c r="M118" i="10"/>
  <c r="K118" i="10"/>
  <c r="I118" i="10"/>
  <c r="H118" i="10"/>
  <c r="E118" i="10"/>
  <c r="C118" i="10"/>
  <c r="P116" i="10"/>
  <c r="O116" i="10"/>
  <c r="M116" i="10"/>
  <c r="K116" i="10"/>
  <c r="I116" i="10"/>
  <c r="H116" i="10"/>
  <c r="E116" i="10"/>
  <c r="C116" i="10"/>
  <c r="K118" i="9"/>
  <c r="I118" i="9"/>
  <c r="H118" i="9"/>
  <c r="G118" i="9"/>
  <c r="F118" i="9"/>
  <c r="D118" i="9"/>
  <c r="C118" i="9"/>
  <c r="K116" i="9"/>
  <c r="I116" i="9"/>
  <c r="H116" i="9"/>
  <c r="G116" i="9"/>
  <c r="F116" i="9"/>
  <c r="D116" i="9"/>
  <c r="C116" i="9"/>
  <c r="N118" i="8"/>
  <c r="M118" i="8"/>
  <c r="L118" i="8"/>
  <c r="K118" i="8"/>
  <c r="H118" i="8"/>
  <c r="G118" i="8"/>
  <c r="N116" i="8"/>
  <c r="M116" i="8"/>
  <c r="L116" i="8"/>
  <c r="K116" i="8"/>
  <c r="H116" i="8"/>
  <c r="G116" i="8"/>
  <c r="C116" i="8"/>
  <c r="C118" i="8"/>
  <c r="E116" i="8"/>
  <c r="E118" i="8"/>
  <c r="R109" i="10" l="1"/>
  <c r="M85" i="9"/>
  <c r="J23" i="1"/>
  <c r="I23" i="1"/>
  <c r="H23" i="1"/>
  <c r="G23" i="1"/>
  <c r="F23" i="1"/>
  <c r="E23" i="1"/>
  <c r="D23" i="1"/>
  <c r="C23" i="1"/>
  <c r="B23" i="1"/>
  <c r="Q90" i="8" l="1"/>
  <c r="M90" i="9"/>
  <c r="R90" i="10"/>
  <c r="R90" i="11"/>
  <c r="L90" i="12"/>
  <c r="J90" i="13"/>
  <c r="I90" i="16"/>
  <c r="D76" i="15" l="1"/>
  <c r="E12" i="1" l="1"/>
  <c r="E10" i="1"/>
  <c r="E8" i="1"/>
  <c r="D10" i="1"/>
  <c r="J29" i="1"/>
  <c r="J28" i="1"/>
  <c r="J27" i="1"/>
  <c r="I29" i="1"/>
  <c r="I28" i="1"/>
  <c r="I27" i="1"/>
  <c r="H29" i="1"/>
  <c r="H28" i="1"/>
  <c r="H27" i="1"/>
  <c r="G29" i="1"/>
  <c r="G28" i="1"/>
  <c r="G27" i="1"/>
  <c r="F29" i="1"/>
  <c r="F28" i="1"/>
  <c r="F27" i="1"/>
  <c r="E29" i="1"/>
  <c r="E28" i="1"/>
  <c r="E27" i="1"/>
  <c r="D29" i="1"/>
  <c r="D28" i="1"/>
  <c r="D27" i="1"/>
  <c r="C29" i="1"/>
  <c r="C28" i="1"/>
  <c r="C27" i="1"/>
  <c r="B29" i="1"/>
  <c r="B28" i="1"/>
  <c r="B27" i="1"/>
  <c r="J25" i="1"/>
  <c r="I25" i="1"/>
  <c r="H25" i="1"/>
  <c r="G25" i="1"/>
  <c r="F25" i="1"/>
  <c r="E25" i="1"/>
  <c r="D25" i="1"/>
  <c r="C25" i="1"/>
  <c r="B25" i="1"/>
  <c r="J12" i="1"/>
  <c r="I12" i="1"/>
  <c r="H12" i="1"/>
  <c r="G12" i="1"/>
  <c r="F12" i="1"/>
  <c r="D12" i="1"/>
  <c r="C12" i="1"/>
  <c r="J10" i="1"/>
  <c r="I10" i="1"/>
  <c r="H10" i="1"/>
  <c r="G10" i="1"/>
  <c r="F10" i="1"/>
  <c r="C10" i="1"/>
  <c r="J8" i="1"/>
  <c r="I8" i="1"/>
  <c r="H8" i="1"/>
  <c r="G8" i="1"/>
  <c r="F8" i="1"/>
  <c r="D8" i="1"/>
  <c r="C8" i="1"/>
  <c r="K6" i="1"/>
  <c r="K5" i="1"/>
  <c r="H132" i="16"/>
  <c r="H131" i="16"/>
  <c r="H130" i="16"/>
  <c r="I109" i="16"/>
  <c r="F108" i="16"/>
  <c r="E108" i="16"/>
  <c r="D108" i="16"/>
  <c r="C108" i="16"/>
  <c r="F107" i="16"/>
  <c r="E107" i="16"/>
  <c r="D107" i="16"/>
  <c r="C107" i="16"/>
  <c r="F106" i="16"/>
  <c r="E106" i="16"/>
  <c r="D106" i="16"/>
  <c r="C106" i="16"/>
  <c r="I105" i="16"/>
  <c r="I104" i="16"/>
  <c r="F103" i="16"/>
  <c r="E103" i="16"/>
  <c r="D103" i="16"/>
  <c r="C103" i="16"/>
  <c r="I102" i="16"/>
  <c r="I101" i="16"/>
  <c r="I100" i="16"/>
  <c r="I99" i="16"/>
  <c r="I98" i="16"/>
  <c r="I97" i="16"/>
  <c r="I96" i="16"/>
  <c r="I95" i="16"/>
  <c r="F91" i="16"/>
  <c r="F93" i="16" s="1"/>
  <c r="E91" i="16"/>
  <c r="E93" i="16" s="1"/>
  <c r="D91" i="16"/>
  <c r="D93" i="16" s="1"/>
  <c r="C91" i="16"/>
  <c r="I89" i="16"/>
  <c r="I88" i="16"/>
  <c r="I87" i="16"/>
  <c r="I86" i="16"/>
  <c r="I85" i="16"/>
  <c r="I84" i="16"/>
  <c r="I83" i="16"/>
  <c r="I82" i="16"/>
  <c r="I81" i="16"/>
  <c r="I80" i="16"/>
  <c r="E76" i="16"/>
  <c r="C76" i="16"/>
  <c r="F62" i="16"/>
  <c r="E62" i="16"/>
  <c r="D62" i="16"/>
  <c r="C62" i="16"/>
  <c r="H62" i="16" s="1"/>
  <c r="H61" i="16"/>
  <c r="H60" i="16"/>
  <c r="H59" i="16"/>
  <c r="I53" i="16"/>
  <c r="F51" i="16"/>
  <c r="F63" i="16" s="1"/>
  <c r="E51" i="16"/>
  <c r="E56" i="16" s="1"/>
  <c r="D51" i="16"/>
  <c r="D63" i="16" s="1"/>
  <c r="C51" i="16"/>
  <c r="I34" i="16"/>
  <c r="I33" i="16"/>
  <c r="F31" i="16"/>
  <c r="E31" i="16"/>
  <c r="D31" i="16"/>
  <c r="C31" i="16"/>
  <c r="I30" i="16"/>
  <c r="I29" i="16"/>
  <c r="I28" i="16"/>
  <c r="I13" i="16"/>
  <c r="I12" i="16"/>
  <c r="I11" i="16"/>
  <c r="F9" i="16"/>
  <c r="E9" i="16"/>
  <c r="D9" i="16"/>
  <c r="C9" i="16"/>
  <c r="H132" i="15"/>
  <c r="H131" i="15"/>
  <c r="H130" i="15"/>
  <c r="H128" i="15"/>
  <c r="I109" i="15"/>
  <c r="G108" i="15"/>
  <c r="F108" i="15"/>
  <c r="E108" i="15"/>
  <c r="D108" i="15"/>
  <c r="C108" i="15"/>
  <c r="G107" i="15"/>
  <c r="F107" i="15"/>
  <c r="E107" i="15"/>
  <c r="D107" i="15"/>
  <c r="C107" i="15"/>
  <c r="G106" i="15"/>
  <c r="F106" i="15"/>
  <c r="E106" i="15"/>
  <c r="D106" i="15"/>
  <c r="C106" i="15"/>
  <c r="I105" i="15"/>
  <c r="I104" i="15"/>
  <c r="G103" i="15"/>
  <c r="F103" i="15"/>
  <c r="E103" i="15"/>
  <c r="D103" i="15"/>
  <c r="C103" i="15"/>
  <c r="I102" i="15"/>
  <c r="I101" i="15"/>
  <c r="I100" i="15"/>
  <c r="I99" i="15"/>
  <c r="I98" i="15"/>
  <c r="I97" i="15"/>
  <c r="I96" i="15"/>
  <c r="I95" i="15"/>
  <c r="G91" i="15"/>
  <c r="G93" i="15" s="1"/>
  <c r="F91" i="15"/>
  <c r="F93" i="15" s="1"/>
  <c r="E91" i="15"/>
  <c r="E93" i="15" s="1"/>
  <c r="D91" i="15"/>
  <c r="D93" i="15" s="1"/>
  <c r="C91" i="15"/>
  <c r="I90" i="15"/>
  <c r="I89" i="15"/>
  <c r="I88" i="15"/>
  <c r="I87" i="15"/>
  <c r="I86" i="15"/>
  <c r="I85" i="15"/>
  <c r="I84" i="15"/>
  <c r="I83" i="15"/>
  <c r="I82" i="15"/>
  <c r="I81" i="15"/>
  <c r="I80" i="15"/>
  <c r="G76" i="15"/>
  <c r="F76" i="15"/>
  <c r="E76" i="15"/>
  <c r="C76" i="15"/>
  <c r="G62" i="15"/>
  <c r="F62" i="15"/>
  <c r="E62" i="15"/>
  <c r="D62" i="15"/>
  <c r="C62" i="15"/>
  <c r="H61" i="15"/>
  <c r="H60" i="15"/>
  <c r="H59" i="15"/>
  <c r="I53" i="15"/>
  <c r="G51" i="15"/>
  <c r="F51" i="15"/>
  <c r="F63" i="15" s="1"/>
  <c r="E51" i="15"/>
  <c r="E63" i="15" s="1"/>
  <c r="D51" i="15"/>
  <c r="C51" i="15"/>
  <c r="I34" i="15"/>
  <c r="I33" i="15"/>
  <c r="G31" i="15"/>
  <c r="E31" i="15"/>
  <c r="D31" i="15"/>
  <c r="C31" i="15"/>
  <c r="I30" i="15"/>
  <c r="I29" i="15"/>
  <c r="I28" i="15"/>
  <c r="F28" i="15"/>
  <c r="F26" i="15"/>
  <c r="I13" i="15"/>
  <c r="I12" i="15"/>
  <c r="I11" i="15"/>
  <c r="G9" i="15"/>
  <c r="F9" i="15"/>
  <c r="E9" i="15"/>
  <c r="D9" i="15"/>
  <c r="C9" i="15"/>
  <c r="I8" i="15"/>
  <c r="G132" i="14"/>
  <c r="G131" i="14"/>
  <c r="G130" i="14"/>
  <c r="G128" i="14"/>
  <c r="H109" i="14"/>
  <c r="D108" i="14"/>
  <c r="C108" i="14"/>
  <c r="D107" i="14"/>
  <c r="C107" i="14"/>
  <c r="D106" i="14"/>
  <c r="C106" i="14"/>
  <c r="H105" i="14"/>
  <c r="H104" i="14"/>
  <c r="C103" i="14"/>
  <c r="H102" i="14"/>
  <c r="H101" i="14"/>
  <c r="H100" i="14"/>
  <c r="D99" i="14"/>
  <c r="H98" i="14"/>
  <c r="H97" i="14"/>
  <c r="H96" i="14"/>
  <c r="H95" i="14"/>
  <c r="D91" i="14"/>
  <c r="D93" i="14" s="1"/>
  <c r="C91" i="14"/>
  <c r="C93" i="14" s="1"/>
  <c r="H84" i="14"/>
  <c r="H83" i="14"/>
  <c r="H82" i="14"/>
  <c r="H81" i="14"/>
  <c r="H80" i="14"/>
  <c r="F76" i="14"/>
  <c r="E76" i="14"/>
  <c r="D76" i="14"/>
  <c r="C76" i="14"/>
  <c r="D62" i="14"/>
  <c r="C62" i="14"/>
  <c r="G61" i="14"/>
  <c r="G60" i="14"/>
  <c r="G59" i="14"/>
  <c r="H53" i="14"/>
  <c r="D51" i="14"/>
  <c r="D63" i="14" s="1"/>
  <c r="C51" i="14"/>
  <c r="H34" i="14"/>
  <c r="H33" i="14"/>
  <c r="D31" i="14"/>
  <c r="C31" i="14"/>
  <c r="H30" i="14"/>
  <c r="H29" i="14"/>
  <c r="H28" i="14"/>
  <c r="H13" i="14"/>
  <c r="H12" i="14"/>
  <c r="H11" i="14"/>
  <c r="D9" i="14"/>
  <c r="C9" i="14"/>
  <c r="H8" i="14"/>
  <c r="I132" i="13"/>
  <c r="I131" i="13"/>
  <c r="I130" i="13"/>
  <c r="I128" i="13"/>
  <c r="J109" i="13"/>
  <c r="H108" i="13"/>
  <c r="G108" i="13"/>
  <c r="F108" i="13"/>
  <c r="E108" i="13"/>
  <c r="D108" i="13"/>
  <c r="C108" i="13"/>
  <c r="H107" i="13"/>
  <c r="G107" i="13"/>
  <c r="F107" i="13"/>
  <c r="E107" i="13"/>
  <c r="D107" i="13"/>
  <c r="C107" i="13"/>
  <c r="H106" i="13"/>
  <c r="G106" i="13"/>
  <c r="F106" i="13"/>
  <c r="E106" i="13"/>
  <c r="D106" i="13"/>
  <c r="C106" i="13"/>
  <c r="J105" i="13"/>
  <c r="J104" i="13"/>
  <c r="H103" i="13"/>
  <c r="G103" i="13"/>
  <c r="G121" i="13" s="1"/>
  <c r="F103" i="13"/>
  <c r="D103" i="13"/>
  <c r="C103" i="13"/>
  <c r="J102" i="13"/>
  <c r="J101" i="13"/>
  <c r="J100" i="13"/>
  <c r="J99" i="13"/>
  <c r="J98" i="13"/>
  <c r="J97" i="13"/>
  <c r="E96" i="13"/>
  <c r="J96" i="13" s="1"/>
  <c r="J95" i="13"/>
  <c r="F93" i="13"/>
  <c r="H91" i="13"/>
  <c r="H93" i="13" s="1"/>
  <c r="G91" i="13"/>
  <c r="G93" i="13" s="1"/>
  <c r="E91" i="13"/>
  <c r="D91" i="13"/>
  <c r="D93" i="13" s="1"/>
  <c r="C91" i="13"/>
  <c r="C93" i="13" s="1"/>
  <c r="J89" i="13"/>
  <c r="J88" i="13"/>
  <c r="J87" i="13"/>
  <c r="J86" i="13"/>
  <c r="J85" i="13"/>
  <c r="J84" i="13"/>
  <c r="J83" i="13"/>
  <c r="J82" i="13"/>
  <c r="E81" i="13"/>
  <c r="J80" i="13"/>
  <c r="H76" i="13"/>
  <c r="G76" i="13"/>
  <c r="F76" i="13"/>
  <c r="E76" i="13"/>
  <c r="D76" i="13"/>
  <c r="C76" i="13"/>
  <c r="I62" i="13"/>
  <c r="H62" i="13"/>
  <c r="G62" i="13"/>
  <c r="F62" i="13"/>
  <c r="E62" i="13"/>
  <c r="D62" i="13"/>
  <c r="C62" i="13"/>
  <c r="I61" i="13"/>
  <c r="I59" i="13"/>
  <c r="J53" i="13"/>
  <c r="H51" i="13"/>
  <c r="H63" i="13" s="1"/>
  <c r="G51" i="13"/>
  <c r="G63" i="13" s="1"/>
  <c r="F51" i="13"/>
  <c r="F63" i="13" s="1"/>
  <c r="E51" i="13"/>
  <c r="E63" i="13" s="1"/>
  <c r="D51" i="13"/>
  <c r="D63" i="13" s="1"/>
  <c r="C51" i="13"/>
  <c r="J34" i="13"/>
  <c r="J33" i="13"/>
  <c r="H31" i="13"/>
  <c r="H56" i="13" s="1"/>
  <c r="G31" i="13"/>
  <c r="G56" i="13" s="1"/>
  <c r="F31" i="13"/>
  <c r="E31" i="13"/>
  <c r="D31" i="13"/>
  <c r="C31" i="13"/>
  <c r="J30" i="13"/>
  <c r="J29" i="13"/>
  <c r="J28" i="13"/>
  <c r="J13" i="13"/>
  <c r="J12" i="13"/>
  <c r="J11" i="13"/>
  <c r="H9" i="13"/>
  <c r="G9" i="13"/>
  <c r="F9" i="13"/>
  <c r="E9" i="13"/>
  <c r="D9" i="13"/>
  <c r="C9" i="13"/>
  <c r="J8" i="13"/>
  <c r="K132" i="12"/>
  <c r="K131" i="12"/>
  <c r="K130" i="12"/>
  <c r="K128" i="12"/>
  <c r="I108" i="12"/>
  <c r="H108" i="12"/>
  <c r="G108" i="12"/>
  <c r="F108" i="12"/>
  <c r="E108" i="12"/>
  <c r="D108" i="12"/>
  <c r="C108" i="12"/>
  <c r="I107" i="12"/>
  <c r="H107" i="12"/>
  <c r="G107" i="12"/>
  <c r="F107" i="12"/>
  <c r="E107" i="12"/>
  <c r="D107" i="12"/>
  <c r="C107" i="12"/>
  <c r="I106" i="12"/>
  <c r="H106" i="12"/>
  <c r="G106" i="12"/>
  <c r="F106" i="12"/>
  <c r="E106" i="12"/>
  <c r="D106" i="12"/>
  <c r="C106" i="12"/>
  <c r="L105" i="12"/>
  <c r="L104" i="12"/>
  <c r="I103" i="12"/>
  <c r="H103" i="12"/>
  <c r="G103" i="12"/>
  <c r="G121" i="12" s="1"/>
  <c r="F103" i="12"/>
  <c r="E103" i="12"/>
  <c r="D103" i="12"/>
  <c r="C103" i="12"/>
  <c r="L102" i="12"/>
  <c r="L101" i="12"/>
  <c r="L100" i="12"/>
  <c r="L99" i="12"/>
  <c r="L98" i="12"/>
  <c r="L97" i="12"/>
  <c r="L96" i="12"/>
  <c r="L95" i="12"/>
  <c r="I91" i="12"/>
  <c r="I93" i="12" s="1"/>
  <c r="H91" i="12"/>
  <c r="H93" i="12" s="1"/>
  <c r="G91" i="12"/>
  <c r="G93" i="12" s="1"/>
  <c r="F91" i="12"/>
  <c r="F93" i="12" s="1"/>
  <c r="E91" i="12"/>
  <c r="E93" i="12" s="1"/>
  <c r="D91" i="12"/>
  <c r="D93" i="12" s="1"/>
  <c r="C91" i="12"/>
  <c r="C93" i="12" s="1"/>
  <c r="L89" i="12"/>
  <c r="L88" i="12"/>
  <c r="L87" i="12"/>
  <c r="L86" i="12"/>
  <c r="L85" i="12"/>
  <c r="L84" i="12"/>
  <c r="L83" i="12"/>
  <c r="L82" i="12"/>
  <c r="L81" i="12"/>
  <c r="L80" i="12"/>
  <c r="J76" i="12"/>
  <c r="I76" i="12"/>
  <c r="H76" i="12"/>
  <c r="G76" i="12"/>
  <c r="F76" i="12"/>
  <c r="E76" i="12"/>
  <c r="D76" i="12"/>
  <c r="C76" i="12"/>
  <c r="I62" i="12"/>
  <c r="H62" i="12"/>
  <c r="G62" i="12"/>
  <c r="F62" i="12"/>
  <c r="E62" i="12"/>
  <c r="D62" i="12"/>
  <c r="C62" i="12"/>
  <c r="K61" i="12"/>
  <c r="K60" i="12"/>
  <c r="K59" i="12"/>
  <c r="L53" i="12"/>
  <c r="I51" i="12"/>
  <c r="I63" i="12" s="1"/>
  <c r="H51" i="12"/>
  <c r="H63" i="12" s="1"/>
  <c r="G51" i="12"/>
  <c r="F51" i="12"/>
  <c r="F54" i="12" s="1"/>
  <c r="F114" i="12" s="1"/>
  <c r="D51" i="12"/>
  <c r="D63" i="12" s="1"/>
  <c r="C51" i="12"/>
  <c r="E41" i="12"/>
  <c r="E51" i="12" s="1"/>
  <c r="E63" i="12" s="1"/>
  <c r="L34" i="12"/>
  <c r="L33" i="12"/>
  <c r="I31" i="12"/>
  <c r="I57" i="12" s="1"/>
  <c r="H31" i="12"/>
  <c r="G31" i="12"/>
  <c r="F31" i="12"/>
  <c r="D31" i="12"/>
  <c r="C31" i="12"/>
  <c r="L30" i="12"/>
  <c r="L29" i="12"/>
  <c r="L28" i="12"/>
  <c r="E20" i="12"/>
  <c r="E31" i="12" s="1"/>
  <c r="E56" i="12" s="1"/>
  <c r="L13" i="12"/>
  <c r="L12" i="12"/>
  <c r="L11" i="12"/>
  <c r="I9" i="12"/>
  <c r="H9" i="12"/>
  <c r="G9" i="12"/>
  <c r="F9" i="12"/>
  <c r="E9" i="12"/>
  <c r="D9" i="12"/>
  <c r="C9" i="12"/>
  <c r="L8" i="12"/>
  <c r="Q132" i="11"/>
  <c r="Q131" i="11"/>
  <c r="Q130" i="11"/>
  <c r="Q128" i="11"/>
  <c r="R109" i="11"/>
  <c r="P108" i="11"/>
  <c r="N108" i="11"/>
  <c r="M108" i="11"/>
  <c r="L108" i="11"/>
  <c r="K108" i="11"/>
  <c r="J108" i="11"/>
  <c r="I108" i="11"/>
  <c r="H108" i="11"/>
  <c r="F108" i="11"/>
  <c r="E108" i="11"/>
  <c r="D108" i="11"/>
  <c r="C108" i="11"/>
  <c r="P107" i="11"/>
  <c r="N107" i="11"/>
  <c r="M107" i="11"/>
  <c r="L107" i="11"/>
  <c r="K107" i="11"/>
  <c r="J107" i="11"/>
  <c r="I107" i="11"/>
  <c r="H107" i="11"/>
  <c r="F107" i="11"/>
  <c r="E107" i="11"/>
  <c r="D107" i="11"/>
  <c r="C107" i="11"/>
  <c r="P106" i="11"/>
  <c r="N106" i="11"/>
  <c r="M106" i="11"/>
  <c r="L106" i="11"/>
  <c r="K106" i="11"/>
  <c r="J106" i="11"/>
  <c r="I106" i="11"/>
  <c r="H106" i="11"/>
  <c r="F106" i="11"/>
  <c r="E106" i="11"/>
  <c r="D106" i="11"/>
  <c r="C106" i="11"/>
  <c r="R105" i="11"/>
  <c r="R104" i="11"/>
  <c r="P103" i="11"/>
  <c r="N103" i="11"/>
  <c r="M103" i="11"/>
  <c r="L103" i="11"/>
  <c r="K103" i="11"/>
  <c r="K121" i="11" s="1"/>
  <c r="I103" i="11"/>
  <c r="H103" i="11"/>
  <c r="H121" i="11" s="1"/>
  <c r="F103" i="11"/>
  <c r="D103" i="11"/>
  <c r="C103" i="11"/>
  <c r="E102" i="11"/>
  <c r="R101" i="11"/>
  <c r="R100" i="11"/>
  <c r="R99" i="11"/>
  <c r="R98" i="11"/>
  <c r="R97" i="11"/>
  <c r="J96" i="11"/>
  <c r="R95" i="11"/>
  <c r="M93" i="11"/>
  <c r="P91" i="11"/>
  <c r="P93" i="11" s="1"/>
  <c r="N91" i="11"/>
  <c r="N93" i="11" s="1"/>
  <c r="M91" i="11"/>
  <c r="L91" i="11"/>
  <c r="L93" i="11" s="1"/>
  <c r="K91" i="11"/>
  <c r="K93" i="11" s="1"/>
  <c r="J91" i="11"/>
  <c r="I91" i="11"/>
  <c r="I93" i="11" s="1"/>
  <c r="H91" i="11"/>
  <c r="H93" i="11" s="1"/>
  <c r="F91" i="11"/>
  <c r="F93" i="11" s="1"/>
  <c r="E91" i="11"/>
  <c r="D91" i="11"/>
  <c r="D93" i="11" s="1"/>
  <c r="C91" i="11"/>
  <c r="C93" i="11" s="1"/>
  <c r="R87" i="11"/>
  <c r="R86" i="11"/>
  <c r="R85" i="11"/>
  <c r="R84" i="11"/>
  <c r="R83" i="11"/>
  <c r="J82" i="11"/>
  <c r="E82" i="11"/>
  <c r="J81" i="11"/>
  <c r="E81" i="11"/>
  <c r="R80" i="11"/>
  <c r="P76" i="11"/>
  <c r="N76" i="11"/>
  <c r="M76" i="11"/>
  <c r="L76" i="11"/>
  <c r="K76" i="11"/>
  <c r="J76" i="11"/>
  <c r="I76" i="11"/>
  <c r="H76" i="11"/>
  <c r="F76" i="11"/>
  <c r="E76" i="11"/>
  <c r="D76" i="11"/>
  <c r="C76" i="11"/>
  <c r="P62" i="11"/>
  <c r="N62" i="11"/>
  <c r="M62" i="11"/>
  <c r="L62" i="11"/>
  <c r="K62" i="11"/>
  <c r="J62" i="11"/>
  <c r="I62" i="11"/>
  <c r="H62" i="11"/>
  <c r="F62" i="11"/>
  <c r="E62" i="11"/>
  <c r="D62" i="11"/>
  <c r="C62" i="11"/>
  <c r="Q61" i="11"/>
  <c r="Q60" i="11"/>
  <c r="Q59" i="11"/>
  <c r="R53" i="11"/>
  <c r="P51" i="11"/>
  <c r="P63" i="11" s="1"/>
  <c r="N51" i="11"/>
  <c r="N63" i="11" s="1"/>
  <c r="M51" i="11"/>
  <c r="M63" i="11" s="1"/>
  <c r="L51" i="11"/>
  <c r="L63" i="11" s="1"/>
  <c r="K51" i="11"/>
  <c r="K63" i="11" s="1"/>
  <c r="J51" i="11"/>
  <c r="J63" i="11" s="1"/>
  <c r="I51" i="11"/>
  <c r="I63" i="11" s="1"/>
  <c r="H51" i="11"/>
  <c r="H63" i="11" s="1"/>
  <c r="F51" i="11"/>
  <c r="E51" i="11"/>
  <c r="E63" i="11" s="1"/>
  <c r="D51" i="11"/>
  <c r="D63" i="11" s="1"/>
  <c r="C51" i="11"/>
  <c r="R34" i="11"/>
  <c r="R33" i="11"/>
  <c r="P31" i="11"/>
  <c r="N31" i="11"/>
  <c r="M31" i="11"/>
  <c r="M56" i="11" s="1"/>
  <c r="L31" i="11"/>
  <c r="L57" i="11" s="1"/>
  <c r="K31" i="11"/>
  <c r="J31" i="11"/>
  <c r="J57" i="11" s="1"/>
  <c r="I31" i="11"/>
  <c r="I56" i="11" s="1"/>
  <c r="H31" i="11"/>
  <c r="H56" i="11" s="1"/>
  <c r="F31" i="11"/>
  <c r="E31" i="11"/>
  <c r="D31" i="11"/>
  <c r="C31" i="11"/>
  <c r="R30" i="11"/>
  <c r="R29" i="11"/>
  <c r="R28" i="11"/>
  <c r="R13" i="11"/>
  <c r="R12" i="11"/>
  <c r="R11" i="11"/>
  <c r="P9" i="11"/>
  <c r="N9" i="11"/>
  <c r="M9" i="11"/>
  <c r="L9" i="11"/>
  <c r="K9" i="11"/>
  <c r="J9" i="11"/>
  <c r="I9" i="11"/>
  <c r="H9" i="11"/>
  <c r="F9" i="11"/>
  <c r="E9" i="11"/>
  <c r="D9" i="11"/>
  <c r="C9" i="11"/>
  <c r="R8" i="11"/>
  <c r="Q132" i="10"/>
  <c r="Q131" i="10"/>
  <c r="Q130" i="10"/>
  <c r="P108" i="10"/>
  <c r="O108" i="10"/>
  <c r="M108" i="10"/>
  <c r="L108" i="10"/>
  <c r="K108" i="10"/>
  <c r="J108" i="10"/>
  <c r="I108" i="10"/>
  <c r="H108" i="10"/>
  <c r="F108" i="10"/>
  <c r="E108" i="10"/>
  <c r="D108" i="10"/>
  <c r="C108" i="10"/>
  <c r="P107" i="10"/>
  <c r="O107" i="10"/>
  <c r="M107" i="10"/>
  <c r="L107" i="10"/>
  <c r="K107" i="10"/>
  <c r="J107" i="10"/>
  <c r="I107" i="10"/>
  <c r="H107" i="10"/>
  <c r="F107" i="10"/>
  <c r="E107" i="10"/>
  <c r="D107" i="10"/>
  <c r="C107" i="10"/>
  <c r="P106" i="10"/>
  <c r="O106" i="10"/>
  <c r="M106" i="10"/>
  <c r="L106" i="10"/>
  <c r="K106" i="10"/>
  <c r="J106" i="10"/>
  <c r="I106" i="10"/>
  <c r="H106" i="10"/>
  <c r="F106" i="10"/>
  <c r="E106" i="10"/>
  <c r="D106" i="10"/>
  <c r="C106" i="10"/>
  <c r="R105" i="10"/>
  <c r="R104" i="10"/>
  <c r="P103" i="10"/>
  <c r="O103" i="10"/>
  <c r="M103" i="10"/>
  <c r="K103" i="10"/>
  <c r="I103" i="10"/>
  <c r="H103" i="10"/>
  <c r="F103" i="10"/>
  <c r="E103" i="10"/>
  <c r="C103" i="10"/>
  <c r="R102" i="10"/>
  <c r="R101" i="10"/>
  <c r="R100" i="10"/>
  <c r="D99" i="10"/>
  <c r="R98" i="10"/>
  <c r="R97" i="10"/>
  <c r="L96" i="10"/>
  <c r="L103" i="10" s="1"/>
  <c r="J96" i="10"/>
  <c r="J103" i="10" s="1"/>
  <c r="R95" i="10"/>
  <c r="H93" i="10"/>
  <c r="J92" i="10"/>
  <c r="P91" i="10"/>
  <c r="P93" i="10" s="1"/>
  <c r="O91" i="10"/>
  <c r="O93" i="10" s="1"/>
  <c r="M91" i="10"/>
  <c r="M93" i="10" s="1"/>
  <c r="L91" i="10"/>
  <c r="K91" i="10"/>
  <c r="K93" i="10" s="1"/>
  <c r="J91" i="10"/>
  <c r="I91" i="10"/>
  <c r="I93" i="10" s="1"/>
  <c r="H91" i="10"/>
  <c r="F91" i="10"/>
  <c r="E91" i="10"/>
  <c r="E93" i="10" s="1"/>
  <c r="D91" i="10"/>
  <c r="D93" i="10" s="1"/>
  <c r="C91" i="10"/>
  <c r="C93" i="10" s="1"/>
  <c r="R89" i="10"/>
  <c r="R88" i="10"/>
  <c r="R87" i="10"/>
  <c r="R86" i="10"/>
  <c r="R85" i="10"/>
  <c r="R84" i="10"/>
  <c r="R83" i="10"/>
  <c r="L82" i="10"/>
  <c r="J82" i="10"/>
  <c r="L81" i="10"/>
  <c r="J81" i="10"/>
  <c r="F81" i="10"/>
  <c r="R80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P62" i="10"/>
  <c r="O62" i="10"/>
  <c r="M62" i="10"/>
  <c r="L62" i="10"/>
  <c r="K62" i="10"/>
  <c r="J62" i="10"/>
  <c r="I62" i="10"/>
  <c r="H62" i="10"/>
  <c r="F62" i="10"/>
  <c r="E62" i="10"/>
  <c r="D62" i="10"/>
  <c r="C62" i="10"/>
  <c r="Q61" i="10"/>
  <c r="Q60" i="10"/>
  <c r="Q59" i="10"/>
  <c r="R53" i="10"/>
  <c r="P51" i="10"/>
  <c r="P63" i="10" s="1"/>
  <c r="O51" i="10"/>
  <c r="O63" i="10" s="1"/>
  <c r="M51" i="10"/>
  <c r="M63" i="10" s="1"/>
  <c r="L51" i="10"/>
  <c r="L63" i="10" s="1"/>
  <c r="K51" i="10"/>
  <c r="K63" i="10" s="1"/>
  <c r="J51" i="10"/>
  <c r="J63" i="10" s="1"/>
  <c r="I51" i="10"/>
  <c r="H51" i="10"/>
  <c r="H63" i="10" s="1"/>
  <c r="F51" i="10"/>
  <c r="F63" i="10" s="1"/>
  <c r="E51" i="10"/>
  <c r="E63" i="10" s="1"/>
  <c r="D51" i="10"/>
  <c r="D63" i="10" s="1"/>
  <c r="C50" i="10"/>
  <c r="C51" i="10" s="1"/>
  <c r="R34" i="10"/>
  <c r="R33" i="10"/>
  <c r="P31" i="10"/>
  <c r="O31" i="10"/>
  <c r="M31" i="10"/>
  <c r="L31" i="10"/>
  <c r="K31" i="10"/>
  <c r="J31" i="10"/>
  <c r="I31" i="10"/>
  <c r="H31" i="10"/>
  <c r="F31" i="10"/>
  <c r="E31" i="10"/>
  <c r="D31" i="10"/>
  <c r="C30" i="10"/>
  <c r="R30" i="10" s="1"/>
  <c r="R29" i="10"/>
  <c r="R28" i="10"/>
  <c r="L13" i="10"/>
  <c r="J13" i="10"/>
  <c r="J56" i="10" s="1"/>
  <c r="R12" i="10"/>
  <c r="R11" i="10"/>
  <c r="P9" i="10"/>
  <c r="O9" i="10"/>
  <c r="M9" i="10"/>
  <c r="L9" i="10"/>
  <c r="K9" i="10"/>
  <c r="J9" i="10"/>
  <c r="I9" i="10"/>
  <c r="H9" i="10"/>
  <c r="F9" i="10"/>
  <c r="E9" i="10"/>
  <c r="D9" i="10"/>
  <c r="C9" i="10"/>
  <c r="R8" i="10"/>
  <c r="L132" i="9"/>
  <c r="L131" i="9"/>
  <c r="L130" i="9"/>
  <c r="L128" i="9"/>
  <c r="M109" i="9"/>
  <c r="K108" i="9"/>
  <c r="I108" i="9"/>
  <c r="H108" i="9"/>
  <c r="G108" i="9"/>
  <c r="F108" i="9"/>
  <c r="E108" i="9"/>
  <c r="D108" i="9"/>
  <c r="C108" i="9"/>
  <c r="K107" i="9"/>
  <c r="I107" i="9"/>
  <c r="H107" i="9"/>
  <c r="G107" i="9"/>
  <c r="F107" i="9"/>
  <c r="E107" i="9"/>
  <c r="D107" i="9"/>
  <c r="C107" i="9"/>
  <c r="K106" i="9"/>
  <c r="I106" i="9"/>
  <c r="H106" i="9"/>
  <c r="G106" i="9"/>
  <c r="F106" i="9"/>
  <c r="E106" i="9"/>
  <c r="D106" i="9"/>
  <c r="C106" i="9"/>
  <c r="M105" i="9"/>
  <c r="M104" i="9"/>
  <c r="K103" i="9"/>
  <c r="I103" i="9"/>
  <c r="H103" i="9"/>
  <c r="G103" i="9"/>
  <c r="F103" i="9"/>
  <c r="E103" i="9"/>
  <c r="D103" i="9"/>
  <c r="C103" i="9"/>
  <c r="M102" i="9"/>
  <c r="M101" i="9"/>
  <c r="M100" i="9"/>
  <c r="M99" i="9"/>
  <c r="M98" i="9"/>
  <c r="M97" i="9"/>
  <c r="M96" i="9"/>
  <c r="M95" i="9"/>
  <c r="K91" i="9"/>
  <c r="K93" i="9" s="1"/>
  <c r="I91" i="9"/>
  <c r="I93" i="9" s="1"/>
  <c r="H91" i="9"/>
  <c r="H93" i="9" s="1"/>
  <c r="G91" i="9"/>
  <c r="G93" i="9" s="1"/>
  <c r="F91" i="9"/>
  <c r="F93" i="9" s="1"/>
  <c r="E91" i="9"/>
  <c r="D91" i="9"/>
  <c r="D93" i="9" s="1"/>
  <c r="C91" i="9"/>
  <c r="M84" i="9"/>
  <c r="M83" i="9"/>
  <c r="E82" i="9"/>
  <c r="E81" i="9"/>
  <c r="M80" i="9"/>
  <c r="K76" i="9"/>
  <c r="J76" i="9"/>
  <c r="I76" i="9"/>
  <c r="H76" i="9"/>
  <c r="G76" i="9"/>
  <c r="E76" i="9"/>
  <c r="D76" i="9"/>
  <c r="C76" i="9"/>
  <c r="K62" i="9"/>
  <c r="I62" i="9"/>
  <c r="H62" i="9"/>
  <c r="G62" i="9"/>
  <c r="F62" i="9"/>
  <c r="E62" i="9"/>
  <c r="D62" i="9"/>
  <c r="C62" i="9"/>
  <c r="L61" i="9"/>
  <c r="L60" i="9"/>
  <c r="L59" i="9"/>
  <c r="M53" i="9"/>
  <c r="K51" i="9"/>
  <c r="K63" i="9" s="1"/>
  <c r="I51" i="9"/>
  <c r="I63" i="9" s="1"/>
  <c r="H51" i="9"/>
  <c r="H63" i="9" s="1"/>
  <c r="F51" i="9"/>
  <c r="F63" i="9" s="1"/>
  <c r="E51" i="9"/>
  <c r="E63" i="9" s="1"/>
  <c r="D51" i="9"/>
  <c r="D63" i="9" s="1"/>
  <c r="C51" i="9"/>
  <c r="G38" i="9"/>
  <c r="M34" i="9"/>
  <c r="M33" i="9"/>
  <c r="K31" i="9"/>
  <c r="K54" i="9" s="1"/>
  <c r="K114" i="9" s="1"/>
  <c r="I31" i="9"/>
  <c r="H31" i="9"/>
  <c r="G31" i="9"/>
  <c r="F31" i="9"/>
  <c r="E31" i="9"/>
  <c r="D31" i="9"/>
  <c r="C31" i="9"/>
  <c r="M30" i="9"/>
  <c r="M29" i="9"/>
  <c r="M28" i="9"/>
  <c r="F13" i="9"/>
  <c r="M13" i="9" s="1"/>
  <c r="M12" i="9"/>
  <c r="M11" i="9"/>
  <c r="K9" i="9"/>
  <c r="I9" i="9"/>
  <c r="H9" i="9"/>
  <c r="G9" i="9"/>
  <c r="F9" i="9"/>
  <c r="E9" i="9"/>
  <c r="D9" i="9"/>
  <c r="C9" i="9"/>
  <c r="M8" i="9"/>
  <c r="O132" i="8"/>
  <c r="O131" i="8"/>
  <c r="O130" i="8"/>
  <c r="O128" i="8"/>
  <c r="Q109" i="8"/>
  <c r="N108" i="8"/>
  <c r="M108" i="8"/>
  <c r="L108" i="8"/>
  <c r="K108" i="8"/>
  <c r="I108" i="8"/>
  <c r="H108" i="8"/>
  <c r="G108" i="8"/>
  <c r="F108" i="8"/>
  <c r="E108" i="8"/>
  <c r="D108" i="8"/>
  <c r="C108" i="8"/>
  <c r="N107" i="8"/>
  <c r="M107" i="8"/>
  <c r="L107" i="8"/>
  <c r="K107" i="8"/>
  <c r="I107" i="8"/>
  <c r="H107" i="8"/>
  <c r="G107" i="8"/>
  <c r="F107" i="8"/>
  <c r="E107" i="8"/>
  <c r="D107" i="8"/>
  <c r="C107" i="8"/>
  <c r="N106" i="8"/>
  <c r="M106" i="8"/>
  <c r="L106" i="8"/>
  <c r="K106" i="8"/>
  <c r="I106" i="8"/>
  <c r="H106" i="8"/>
  <c r="G106" i="8"/>
  <c r="F106" i="8"/>
  <c r="E106" i="8"/>
  <c r="D106" i="8"/>
  <c r="Q105" i="8"/>
  <c r="N103" i="8"/>
  <c r="M103" i="8"/>
  <c r="L103" i="8"/>
  <c r="K103" i="8"/>
  <c r="I103" i="8"/>
  <c r="H103" i="8"/>
  <c r="G103" i="8"/>
  <c r="F103" i="8"/>
  <c r="E103" i="8"/>
  <c r="C103" i="8"/>
  <c r="Q102" i="8"/>
  <c r="Q101" i="8"/>
  <c r="Q100" i="8"/>
  <c r="Q99" i="8"/>
  <c r="Q98" i="8"/>
  <c r="Q97" i="8"/>
  <c r="D96" i="8"/>
  <c r="Q95" i="8"/>
  <c r="M93" i="8"/>
  <c r="H93" i="8"/>
  <c r="G93" i="8"/>
  <c r="N91" i="8"/>
  <c r="N93" i="8" s="1"/>
  <c r="L91" i="8"/>
  <c r="L93" i="8" s="1"/>
  <c r="K91" i="8"/>
  <c r="K93" i="8" s="1"/>
  <c r="I91" i="8"/>
  <c r="F91" i="8"/>
  <c r="E91" i="8"/>
  <c r="E93" i="8" s="1"/>
  <c r="D91" i="8"/>
  <c r="C91" i="8"/>
  <c r="C93" i="8" s="1"/>
  <c r="Q89" i="8"/>
  <c r="Q88" i="8"/>
  <c r="Q87" i="8"/>
  <c r="Q86" i="8"/>
  <c r="Q85" i="8"/>
  <c r="Q84" i="8"/>
  <c r="Q83" i="8"/>
  <c r="I82" i="8"/>
  <c r="D82" i="8"/>
  <c r="F81" i="8"/>
  <c r="Q80" i="8"/>
  <c r="N76" i="8"/>
  <c r="M76" i="8"/>
  <c r="L76" i="8"/>
  <c r="K76" i="8"/>
  <c r="J76" i="8"/>
  <c r="I76" i="8"/>
  <c r="H76" i="8"/>
  <c r="G76" i="8"/>
  <c r="F76" i="8"/>
  <c r="E76" i="8"/>
  <c r="D76" i="8"/>
  <c r="C76" i="8"/>
  <c r="N62" i="8"/>
  <c r="M62" i="8"/>
  <c r="L62" i="8"/>
  <c r="K62" i="8"/>
  <c r="I62" i="8"/>
  <c r="H62" i="8"/>
  <c r="G62" i="8"/>
  <c r="F62" i="8"/>
  <c r="E62" i="8"/>
  <c r="D62" i="8"/>
  <c r="C59" i="8"/>
  <c r="Q53" i="8"/>
  <c r="N51" i="8"/>
  <c r="N63" i="8" s="1"/>
  <c r="M51" i="8"/>
  <c r="M63" i="8" s="1"/>
  <c r="L51" i="8"/>
  <c r="K51" i="8"/>
  <c r="K63" i="8" s="1"/>
  <c r="I51" i="8"/>
  <c r="I63" i="8" s="1"/>
  <c r="H51" i="8"/>
  <c r="H63" i="8" s="1"/>
  <c r="G51" i="8"/>
  <c r="G63" i="8" s="1"/>
  <c r="F51" i="8"/>
  <c r="F63" i="8" s="1"/>
  <c r="E51" i="8"/>
  <c r="E63" i="8" s="1"/>
  <c r="D51" i="8"/>
  <c r="D63" i="8" s="1"/>
  <c r="C51" i="8"/>
  <c r="Q34" i="8"/>
  <c r="Q33" i="8"/>
  <c r="N31" i="8"/>
  <c r="M31" i="8"/>
  <c r="L31" i="8"/>
  <c r="K31" i="8"/>
  <c r="H31" i="8"/>
  <c r="H55" i="8" s="1"/>
  <c r="G31" i="8"/>
  <c r="F31" i="8"/>
  <c r="E31" i="8"/>
  <c r="D31" i="8"/>
  <c r="C31" i="8"/>
  <c r="I30" i="8"/>
  <c r="Q29" i="8"/>
  <c r="Q28" i="8"/>
  <c r="D13" i="8"/>
  <c r="Q12" i="8"/>
  <c r="Q11" i="8"/>
  <c r="N9" i="8"/>
  <c r="M9" i="8"/>
  <c r="L9" i="8"/>
  <c r="K9" i="8"/>
  <c r="I9" i="8"/>
  <c r="H9" i="8"/>
  <c r="G9" i="8"/>
  <c r="F9" i="8"/>
  <c r="E9" i="8"/>
  <c r="D9" i="8"/>
  <c r="C9" i="8"/>
  <c r="Q8" i="8"/>
  <c r="J118" i="10" l="1"/>
  <c r="J116" i="10"/>
  <c r="I125" i="12"/>
  <c r="I121" i="12"/>
  <c r="E121" i="16"/>
  <c r="F118" i="10"/>
  <c r="F116" i="10"/>
  <c r="C121" i="13"/>
  <c r="F111" i="16"/>
  <c r="F121" i="16"/>
  <c r="K121" i="9"/>
  <c r="E121" i="10"/>
  <c r="I121" i="10"/>
  <c r="K56" i="11"/>
  <c r="E118" i="11"/>
  <c r="E116" i="11"/>
  <c r="J81" i="13"/>
  <c r="E118" i="13"/>
  <c r="E116" i="13"/>
  <c r="D121" i="13"/>
  <c r="K121" i="10"/>
  <c r="J118" i="11"/>
  <c r="J116" i="11"/>
  <c r="L121" i="11"/>
  <c r="L9" i="12"/>
  <c r="F121" i="13"/>
  <c r="L118" i="10"/>
  <c r="L116" i="10"/>
  <c r="M121" i="10"/>
  <c r="M121" i="11"/>
  <c r="D110" i="12"/>
  <c r="D123" i="12" s="1"/>
  <c r="D121" i="15"/>
  <c r="D121" i="16"/>
  <c r="L93" i="12"/>
  <c r="D121" i="9"/>
  <c r="O121" i="10"/>
  <c r="N121" i="11"/>
  <c r="N125" i="11"/>
  <c r="H121" i="13"/>
  <c r="E121" i="15"/>
  <c r="D57" i="9"/>
  <c r="R99" i="10"/>
  <c r="D116" i="10"/>
  <c r="D118" i="10"/>
  <c r="P121" i="10"/>
  <c r="P56" i="11"/>
  <c r="P121" i="11"/>
  <c r="P125" i="11"/>
  <c r="L103" i="12"/>
  <c r="C121" i="12"/>
  <c r="F121" i="15"/>
  <c r="H121" i="12"/>
  <c r="H121" i="10"/>
  <c r="F121" i="9"/>
  <c r="D121" i="12"/>
  <c r="E56" i="13"/>
  <c r="D103" i="14"/>
  <c r="D116" i="14"/>
  <c r="D118" i="14"/>
  <c r="G121" i="15"/>
  <c r="M81" i="9"/>
  <c r="E116" i="9"/>
  <c r="E118" i="9"/>
  <c r="G121" i="9"/>
  <c r="D57" i="11"/>
  <c r="E111" i="12"/>
  <c r="E112" i="12" s="1"/>
  <c r="E121" i="12"/>
  <c r="I121" i="11"/>
  <c r="H121" i="9"/>
  <c r="K57" i="10"/>
  <c r="C121" i="11"/>
  <c r="F121" i="12"/>
  <c r="G54" i="13"/>
  <c r="G114" i="13" s="1"/>
  <c r="G57" i="13"/>
  <c r="I125" i="9"/>
  <c r="I121" i="9"/>
  <c r="C121" i="10"/>
  <c r="D121" i="11"/>
  <c r="I103" i="16"/>
  <c r="F121" i="11"/>
  <c r="C121" i="14"/>
  <c r="D121" i="14"/>
  <c r="I110" i="12"/>
  <c r="E110" i="12"/>
  <c r="F110" i="12"/>
  <c r="D125" i="12"/>
  <c r="F118" i="8"/>
  <c r="F116" i="8"/>
  <c r="I118" i="8"/>
  <c r="I116" i="8"/>
  <c r="I30" i="1"/>
  <c r="D118" i="8"/>
  <c r="D116" i="8"/>
  <c r="B10" i="1"/>
  <c r="E110" i="9"/>
  <c r="E125" i="9" s="1"/>
  <c r="I57" i="9"/>
  <c r="I65" i="9" s="1"/>
  <c r="F64" i="9"/>
  <c r="H30" i="1"/>
  <c r="G30" i="1"/>
  <c r="I9" i="16"/>
  <c r="F31" i="15"/>
  <c r="G56" i="15"/>
  <c r="C63" i="15"/>
  <c r="F64" i="14"/>
  <c r="I56" i="12"/>
  <c r="H110" i="11"/>
  <c r="L64" i="11"/>
  <c r="E103" i="11"/>
  <c r="E93" i="11"/>
  <c r="M54" i="11"/>
  <c r="D57" i="16"/>
  <c r="D64" i="16"/>
  <c r="I108" i="16"/>
  <c r="F56" i="16"/>
  <c r="E110" i="16"/>
  <c r="I51" i="16"/>
  <c r="E64" i="16"/>
  <c r="C63" i="16"/>
  <c r="H128" i="16"/>
  <c r="H31" i="15"/>
  <c r="D110" i="15"/>
  <c r="D123" i="15" s="1"/>
  <c r="E111" i="15"/>
  <c r="E112" i="15" s="1"/>
  <c r="I106" i="15"/>
  <c r="H107" i="14"/>
  <c r="D57" i="14"/>
  <c r="H106" i="14"/>
  <c r="J51" i="13"/>
  <c r="D110" i="13"/>
  <c r="E93" i="13"/>
  <c r="D64" i="13"/>
  <c r="K30" i="13"/>
  <c r="H54" i="13"/>
  <c r="H114" i="13" s="1"/>
  <c r="G110" i="12"/>
  <c r="D57" i="12"/>
  <c r="D65" i="12" s="1"/>
  <c r="C57" i="12"/>
  <c r="D56" i="12"/>
  <c r="D64" i="12"/>
  <c r="D54" i="12"/>
  <c r="D114" i="12" s="1"/>
  <c r="H54" i="11"/>
  <c r="H114" i="11" s="1"/>
  <c r="C57" i="11"/>
  <c r="C65" i="11" s="1"/>
  <c r="E16" i="1"/>
  <c r="L54" i="11"/>
  <c r="P110" i="11"/>
  <c r="P123" i="11" s="1"/>
  <c r="I110" i="11"/>
  <c r="I123" i="11" s="1"/>
  <c r="D56" i="11"/>
  <c r="S30" i="11"/>
  <c r="J56" i="11"/>
  <c r="R102" i="11"/>
  <c r="H64" i="11"/>
  <c r="E56" i="10"/>
  <c r="D64" i="9"/>
  <c r="M91" i="9"/>
  <c r="C57" i="9"/>
  <c r="C65" i="9" s="1"/>
  <c r="G54" i="8"/>
  <c r="G114" i="8" s="1"/>
  <c r="F54" i="8"/>
  <c r="F114" i="8" s="1"/>
  <c r="O57" i="10"/>
  <c r="P56" i="10"/>
  <c r="J54" i="10"/>
  <c r="J114" i="10" s="1"/>
  <c r="P54" i="10"/>
  <c r="P114" i="10" s="1"/>
  <c r="H54" i="10"/>
  <c r="H114" i="10" s="1"/>
  <c r="K65" i="10"/>
  <c r="O64" i="10"/>
  <c r="J57" i="10"/>
  <c r="J65" i="10" s="1"/>
  <c r="H64" i="10"/>
  <c r="M54" i="10"/>
  <c r="L54" i="10"/>
  <c r="D16" i="1"/>
  <c r="L57" i="10"/>
  <c r="L65" i="10" s="1"/>
  <c r="F93" i="10"/>
  <c r="F121" i="10" s="1"/>
  <c r="I30" i="14"/>
  <c r="H15" i="1"/>
  <c r="H16" i="1"/>
  <c r="D54" i="14"/>
  <c r="H31" i="14"/>
  <c r="G111" i="9"/>
  <c r="D110" i="9"/>
  <c r="D123" i="9" s="1"/>
  <c r="M107" i="9"/>
  <c r="K111" i="9"/>
  <c r="K112" i="9" s="1"/>
  <c r="F110" i="10"/>
  <c r="F123" i="10" s="1"/>
  <c r="P110" i="10"/>
  <c r="P123" i="10" s="1"/>
  <c r="I110" i="10"/>
  <c r="I123" i="10" s="1"/>
  <c r="C110" i="10"/>
  <c r="C123" i="10" s="1"/>
  <c r="K110" i="10"/>
  <c r="K123" i="10" s="1"/>
  <c r="M111" i="10"/>
  <c r="M112" i="10" s="1"/>
  <c r="O111" i="10"/>
  <c r="O112" i="10" s="1"/>
  <c r="F110" i="11"/>
  <c r="F123" i="11" s="1"/>
  <c r="N110" i="11"/>
  <c r="N123" i="11" s="1"/>
  <c r="N111" i="11"/>
  <c r="N112" i="11" s="1"/>
  <c r="C110" i="12"/>
  <c r="D111" i="12"/>
  <c r="S30" i="10"/>
  <c r="B30" i="1"/>
  <c r="I111" i="8"/>
  <c r="H57" i="8"/>
  <c r="H65" i="8" s="1"/>
  <c r="L64" i="8"/>
  <c r="O59" i="8"/>
  <c r="F64" i="8"/>
  <c r="O60" i="8"/>
  <c r="D93" i="8"/>
  <c r="N54" i="8"/>
  <c r="N114" i="8" s="1"/>
  <c r="O61" i="8"/>
  <c r="C62" i="8"/>
  <c r="K111" i="8"/>
  <c r="K112" i="8" s="1"/>
  <c r="B16" i="1"/>
  <c r="N55" i="8"/>
  <c r="H110" i="8"/>
  <c r="H125" i="8" s="1"/>
  <c r="I110" i="8"/>
  <c r="I125" i="8" s="1"/>
  <c r="B8" i="1"/>
  <c r="F56" i="8"/>
  <c r="F55" i="8"/>
  <c r="M55" i="8"/>
  <c r="G110" i="8"/>
  <c r="G123" i="8" s="1"/>
  <c r="L57" i="8"/>
  <c r="G56" i="8"/>
  <c r="K55" i="9"/>
  <c r="I31" i="8"/>
  <c r="I64" i="8" s="1"/>
  <c r="L54" i="8"/>
  <c r="L114" i="8" s="1"/>
  <c r="E56" i="15"/>
  <c r="K55" i="8"/>
  <c r="K57" i="8"/>
  <c r="K65" i="8" s="1"/>
  <c r="D110" i="8"/>
  <c r="C63" i="10"/>
  <c r="K110" i="11"/>
  <c r="E110" i="11"/>
  <c r="E123" i="11" s="1"/>
  <c r="J64" i="12"/>
  <c r="H110" i="12"/>
  <c r="E103" i="13"/>
  <c r="E121" i="13" s="1"/>
  <c r="C64" i="15"/>
  <c r="C30" i="1"/>
  <c r="D57" i="8"/>
  <c r="D65" i="8" s="1"/>
  <c r="C54" i="9"/>
  <c r="C114" i="9" s="1"/>
  <c r="R81" i="10"/>
  <c r="R96" i="10"/>
  <c r="H111" i="10"/>
  <c r="H112" i="10" s="1"/>
  <c r="I64" i="11"/>
  <c r="E56" i="11"/>
  <c r="E54" i="11"/>
  <c r="E114" i="11" s="1"/>
  <c r="P54" i="11"/>
  <c r="P114" i="11" s="1"/>
  <c r="J103" i="11"/>
  <c r="R96" i="11"/>
  <c r="C63" i="13"/>
  <c r="F110" i="13"/>
  <c r="D56" i="14"/>
  <c r="H99" i="14"/>
  <c r="H51" i="16"/>
  <c r="F30" i="1"/>
  <c r="K54" i="8"/>
  <c r="K114" i="8" s="1"/>
  <c r="E64" i="9"/>
  <c r="E57" i="9"/>
  <c r="E65" i="9" s="1"/>
  <c r="D65" i="9"/>
  <c r="C93" i="9"/>
  <c r="C121" i="9" s="1"/>
  <c r="Q30" i="8"/>
  <c r="R30" i="8" s="1"/>
  <c r="L56" i="8"/>
  <c r="I111" i="11"/>
  <c r="I112" i="11" s="1"/>
  <c r="C54" i="8"/>
  <c r="D55" i="8"/>
  <c r="C57" i="8"/>
  <c r="L63" i="8"/>
  <c r="H111" i="8"/>
  <c r="L110" i="8"/>
  <c r="L123" i="8" s="1"/>
  <c r="E64" i="8"/>
  <c r="E55" i="8"/>
  <c r="M56" i="8"/>
  <c r="G55" i="8"/>
  <c r="G57" i="8"/>
  <c r="G65" i="8" s="1"/>
  <c r="D64" i="8"/>
  <c r="F110" i="8"/>
  <c r="F125" i="8" s="1"/>
  <c r="N110" i="8"/>
  <c r="N123" i="8" s="1"/>
  <c r="Q108" i="8"/>
  <c r="H110" i="9"/>
  <c r="H123" i="9" s="1"/>
  <c r="J64" i="11"/>
  <c r="F56" i="12"/>
  <c r="F16" i="1"/>
  <c r="F63" i="12"/>
  <c r="I51" i="13"/>
  <c r="J91" i="13"/>
  <c r="D64" i="14"/>
  <c r="E57" i="15"/>
  <c r="C15" i="1"/>
  <c r="J16" i="1"/>
  <c r="Q13" i="8"/>
  <c r="D56" i="8"/>
  <c r="D54" i="8"/>
  <c r="D114" i="8" s="1"/>
  <c r="L55" i="8"/>
  <c r="K121" i="8"/>
  <c r="E64" i="10"/>
  <c r="R13" i="10"/>
  <c r="L56" i="10"/>
  <c r="H110" i="10"/>
  <c r="H123" i="10" s="1"/>
  <c r="G65" i="13"/>
  <c r="C31" i="10"/>
  <c r="L64" i="10"/>
  <c r="J64" i="8"/>
  <c r="L65" i="8"/>
  <c r="L111" i="8"/>
  <c r="L112" i="8" s="1"/>
  <c r="K57" i="9"/>
  <c r="K65" i="9" s="1"/>
  <c r="K56" i="9"/>
  <c r="C56" i="9"/>
  <c r="C64" i="9"/>
  <c r="Q51" i="10"/>
  <c r="P64" i="11"/>
  <c r="F111" i="12"/>
  <c r="F112" i="12" s="1"/>
  <c r="C57" i="13"/>
  <c r="G15" i="1"/>
  <c r="G16" i="1"/>
  <c r="C64" i="13"/>
  <c r="I16" i="1"/>
  <c r="C110" i="15"/>
  <c r="E15" i="1"/>
  <c r="H54" i="8"/>
  <c r="H114" i="8" s="1"/>
  <c r="H56" i="8"/>
  <c r="E111" i="8"/>
  <c r="E112" i="8" s="1"/>
  <c r="M111" i="8"/>
  <c r="I110" i="9"/>
  <c r="I123" i="9" s="1"/>
  <c r="K57" i="11"/>
  <c r="K65" i="11" s="1"/>
  <c r="R108" i="11"/>
  <c r="H51" i="14"/>
  <c r="C54" i="15"/>
  <c r="C114" i="15" s="1"/>
  <c r="C57" i="15"/>
  <c r="C65" i="15" s="1"/>
  <c r="I15" i="1"/>
  <c r="C56" i="15"/>
  <c r="D56" i="15"/>
  <c r="J15" i="1"/>
  <c r="I106" i="16"/>
  <c r="F110" i="16"/>
  <c r="F123" i="16" s="1"/>
  <c r="F15" i="1"/>
  <c r="J30" i="16"/>
  <c r="C56" i="16"/>
  <c r="G121" i="8"/>
  <c r="K110" i="8"/>
  <c r="K123" i="8" s="1"/>
  <c r="K64" i="9"/>
  <c r="D56" i="9"/>
  <c r="F110" i="9"/>
  <c r="F123" i="9" s="1"/>
  <c r="I111" i="10"/>
  <c r="I112" i="10" s="1"/>
  <c r="J65" i="11"/>
  <c r="J110" i="11"/>
  <c r="F111" i="11"/>
  <c r="F112" i="11" s="1"/>
  <c r="F56" i="13"/>
  <c r="D110" i="14"/>
  <c r="D125" i="14" s="1"/>
  <c r="D30" i="1"/>
  <c r="J30" i="15"/>
  <c r="E64" i="15"/>
  <c r="G110" i="15"/>
  <c r="G123" i="15" s="1"/>
  <c r="E57" i="16"/>
  <c r="E65" i="16" s="1"/>
  <c r="N64" i="8"/>
  <c r="C63" i="8"/>
  <c r="E110" i="8"/>
  <c r="E123" i="8" s="1"/>
  <c r="M110" i="8"/>
  <c r="M123" i="8" s="1"/>
  <c r="F54" i="9"/>
  <c r="F114" i="9" s="1"/>
  <c r="R82" i="10"/>
  <c r="O110" i="10"/>
  <c r="O123" i="10" s="1"/>
  <c r="D54" i="11"/>
  <c r="D114" i="11" s="1"/>
  <c r="L56" i="11"/>
  <c r="J54" i="11"/>
  <c r="D110" i="11"/>
  <c r="D123" i="11" s="1"/>
  <c r="L110" i="11"/>
  <c r="L123" i="11" s="1"/>
  <c r="I64" i="12"/>
  <c r="I65" i="12"/>
  <c r="L107" i="12"/>
  <c r="L108" i="12"/>
  <c r="E64" i="13"/>
  <c r="H57" i="13"/>
  <c r="H65" i="13" s="1"/>
  <c r="F111" i="15"/>
  <c r="F112" i="15" s="1"/>
  <c r="B12" i="1"/>
  <c r="E30" i="1"/>
  <c r="G64" i="8"/>
  <c r="L121" i="8"/>
  <c r="F111" i="13"/>
  <c r="F112" i="13" s="1"/>
  <c r="J30" i="1"/>
  <c r="F111" i="8"/>
  <c r="N121" i="8"/>
  <c r="N111" i="8"/>
  <c r="N112" i="8" s="1"/>
  <c r="M82" i="9"/>
  <c r="E93" i="9"/>
  <c r="E121" i="9" s="1"/>
  <c r="M103" i="9"/>
  <c r="F64" i="11"/>
  <c r="J65" i="8"/>
  <c r="F56" i="9"/>
  <c r="F57" i="9"/>
  <c r="F65" i="9" s="1"/>
  <c r="F93" i="8"/>
  <c r="Q81" i="8"/>
  <c r="M106" i="9"/>
  <c r="H111" i="9"/>
  <c r="H112" i="9" s="1"/>
  <c r="F54" i="11"/>
  <c r="F114" i="11" s="1"/>
  <c r="F56" i="11"/>
  <c r="F57" i="11"/>
  <c r="F65" i="11" s="1"/>
  <c r="I93" i="8"/>
  <c r="I111" i="9"/>
  <c r="I112" i="9" s="1"/>
  <c r="E111" i="10"/>
  <c r="E112" i="10" s="1"/>
  <c r="R9" i="11"/>
  <c r="C64" i="11"/>
  <c r="K64" i="11"/>
  <c r="Q9" i="8"/>
  <c r="G111" i="8"/>
  <c r="G112" i="8" s="1"/>
  <c r="I57" i="10"/>
  <c r="I65" i="10" s="1"/>
  <c r="I63" i="10"/>
  <c r="I56" i="10"/>
  <c r="I54" i="10"/>
  <c r="I114" i="10" s="1"/>
  <c r="N54" i="11"/>
  <c r="N114" i="11" s="1"/>
  <c r="N56" i="11"/>
  <c r="N57" i="11"/>
  <c r="N65" i="11" s="1"/>
  <c r="F63" i="11"/>
  <c r="C121" i="8"/>
  <c r="Q107" i="8"/>
  <c r="J64" i="10"/>
  <c r="K54" i="10"/>
  <c r="K114" i="10" s="1"/>
  <c r="K56" i="10"/>
  <c r="I64" i="10"/>
  <c r="F111" i="10"/>
  <c r="P111" i="10"/>
  <c r="P112" i="10" s="1"/>
  <c r="R108" i="10"/>
  <c r="D110" i="10"/>
  <c r="D123" i="10" s="1"/>
  <c r="N64" i="11"/>
  <c r="G63" i="12"/>
  <c r="D64" i="15"/>
  <c r="I9" i="15"/>
  <c r="F64" i="16"/>
  <c r="H64" i="12"/>
  <c r="L91" i="12"/>
  <c r="E57" i="8"/>
  <c r="E65" i="8" s="1"/>
  <c r="M57" i="8"/>
  <c r="M65" i="8" s="1"/>
  <c r="K64" i="8"/>
  <c r="H121" i="8"/>
  <c r="H54" i="9"/>
  <c r="H114" i="9" s="1"/>
  <c r="R9" i="10"/>
  <c r="K64" i="10"/>
  <c r="M56" i="10"/>
  <c r="J93" i="10"/>
  <c r="J121" i="10" s="1"/>
  <c r="D65" i="11"/>
  <c r="D64" i="11"/>
  <c r="H111" i="11"/>
  <c r="H112" i="11" s="1"/>
  <c r="R107" i="11"/>
  <c r="C111" i="15"/>
  <c r="I103" i="15"/>
  <c r="E54" i="8"/>
  <c r="E114" i="8" s="1"/>
  <c r="M54" i="8"/>
  <c r="M114" i="8" s="1"/>
  <c r="C56" i="8"/>
  <c r="K56" i="8"/>
  <c r="F57" i="8"/>
  <c r="F65" i="8" s="1"/>
  <c r="N57" i="8"/>
  <c r="N65" i="8" s="1"/>
  <c r="C64" i="8"/>
  <c r="C106" i="8"/>
  <c r="I54" i="9"/>
  <c r="I114" i="9" s="1"/>
  <c r="I56" i="9"/>
  <c r="C63" i="9"/>
  <c r="H57" i="9"/>
  <c r="H65" i="9" s="1"/>
  <c r="G110" i="9"/>
  <c r="G123" i="9" s="1"/>
  <c r="M108" i="9"/>
  <c r="C111" i="9"/>
  <c r="D64" i="10"/>
  <c r="D57" i="10"/>
  <c r="D65" i="10" s="1"/>
  <c r="M57" i="10"/>
  <c r="M65" i="10" s="1"/>
  <c r="R51" i="10"/>
  <c r="D54" i="10"/>
  <c r="D114" i="10" s="1"/>
  <c r="N65" i="10"/>
  <c r="L93" i="10"/>
  <c r="L121" i="10" s="1"/>
  <c r="R91" i="10"/>
  <c r="J110" i="10"/>
  <c r="J123" i="10" s="1"/>
  <c r="J111" i="10"/>
  <c r="Q51" i="11"/>
  <c r="M57" i="11"/>
  <c r="M65" i="11" s="1"/>
  <c r="I111" i="12"/>
  <c r="I112" i="12" s="1"/>
  <c r="C65" i="13"/>
  <c r="N30" i="9"/>
  <c r="K111" i="11"/>
  <c r="K112" i="11" s="1"/>
  <c r="C110" i="11"/>
  <c r="C123" i="11" s="1"/>
  <c r="R106" i="11"/>
  <c r="E56" i="8"/>
  <c r="M9" i="9"/>
  <c r="H64" i="9"/>
  <c r="N64" i="10"/>
  <c r="F56" i="10"/>
  <c r="F54" i="10"/>
  <c r="F114" i="10" s="1"/>
  <c r="D56" i="10"/>
  <c r="L111" i="11"/>
  <c r="L112" i="11" s="1"/>
  <c r="L51" i="12"/>
  <c r="C63" i="12"/>
  <c r="C54" i="12"/>
  <c r="C114" i="12" s="1"/>
  <c r="C64" i="12"/>
  <c r="K51" i="12"/>
  <c r="O51" i="8"/>
  <c r="C55" i="8"/>
  <c r="N56" i="8"/>
  <c r="Q91" i="8"/>
  <c r="Q96" i="8"/>
  <c r="D103" i="8"/>
  <c r="L31" i="9"/>
  <c r="D54" i="9"/>
  <c r="D114" i="9" s="1"/>
  <c r="O65" i="10"/>
  <c r="H57" i="10"/>
  <c r="H65" i="10" s="1"/>
  <c r="P57" i="10"/>
  <c r="P65" i="10" s="1"/>
  <c r="H56" i="10"/>
  <c r="E57" i="10"/>
  <c r="E65" i="10" s="1"/>
  <c r="H55" i="11"/>
  <c r="J93" i="11"/>
  <c r="R81" i="11"/>
  <c r="E64" i="12"/>
  <c r="G57" i="12"/>
  <c r="G65" i="12" s="1"/>
  <c r="G56" i="12"/>
  <c r="G64" i="12"/>
  <c r="G54" i="12"/>
  <c r="G114" i="12" s="1"/>
  <c r="K31" i="12"/>
  <c r="H55" i="13"/>
  <c r="C64" i="14"/>
  <c r="H9" i="14"/>
  <c r="D65" i="14"/>
  <c r="M64" i="8"/>
  <c r="D111" i="9"/>
  <c r="D112" i="9" s="1"/>
  <c r="E54" i="10"/>
  <c r="E114" i="10" s="1"/>
  <c r="M111" i="11"/>
  <c r="M112" i="11" s="1"/>
  <c r="M110" i="11"/>
  <c r="M123" i="11" s="1"/>
  <c r="J93" i="13"/>
  <c r="I51" i="15"/>
  <c r="H51" i="15"/>
  <c r="D63" i="15"/>
  <c r="D54" i="15"/>
  <c r="D114" i="15" s="1"/>
  <c r="Q82" i="8"/>
  <c r="H56" i="9"/>
  <c r="E111" i="9"/>
  <c r="F111" i="9"/>
  <c r="F112" i="9" s="1"/>
  <c r="F64" i="10"/>
  <c r="O56" i="10"/>
  <c r="O54" i="10"/>
  <c r="O114" i="10" s="1"/>
  <c r="L110" i="10"/>
  <c r="L125" i="10" s="1"/>
  <c r="L65" i="11"/>
  <c r="C111" i="11"/>
  <c r="C111" i="14"/>
  <c r="C110" i="14"/>
  <c r="C125" i="14" s="1"/>
  <c r="C93" i="16"/>
  <c r="C121" i="16" s="1"/>
  <c r="I91" i="16"/>
  <c r="E111" i="16"/>
  <c r="E112" i="16" s="1"/>
  <c r="Q51" i="8"/>
  <c r="E121" i="8"/>
  <c r="M121" i="8"/>
  <c r="E56" i="9"/>
  <c r="E54" i="9"/>
  <c r="E114" i="9" s="1"/>
  <c r="M31" i="9"/>
  <c r="G51" i="9"/>
  <c r="L51" i="9" s="1"/>
  <c r="G112" i="9"/>
  <c r="C110" i="9"/>
  <c r="C123" i="9" s="1"/>
  <c r="K110" i="9"/>
  <c r="K123" i="9" s="1"/>
  <c r="P64" i="10"/>
  <c r="F57" i="10"/>
  <c r="F65" i="10" s="1"/>
  <c r="C111" i="10"/>
  <c r="N112" i="10"/>
  <c r="E64" i="11"/>
  <c r="E57" i="11"/>
  <c r="F55" i="12"/>
  <c r="F56" i="15"/>
  <c r="F54" i="15"/>
  <c r="F114" i="15" s="1"/>
  <c r="F64" i="15"/>
  <c r="F57" i="15"/>
  <c r="F65" i="15" s="1"/>
  <c r="G57" i="15"/>
  <c r="G65" i="15" s="1"/>
  <c r="G63" i="15"/>
  <c r="G54" i="15"/>
  <c r="G114" i="15" s="1"/>
  <c r="D103" i="10"/>
  <c r="R107" i="10"/>
  <c r="M64" i="11"/>
  <c r="K54" i="11"/>
  <c r="K114" i="11" s="1"/>
  <c r="P57" i="11"/>
  <c r="P65" i="11" s="1"/>
  <c r="D56" i="13"/>
  <c r="D57" i="13"/>
  <c r="J31" i="13"/>
  <c r="D54" i="13"/>
  <c r="D114" i="13" s="1"/>
  <c r="I31" i="15"/>
  <c r="E54" i="15"/>
  <c r="E114" i="15" s="1"/>
  <c r="C57" i="16"/>
  <c r="H31" i="16"/>
  <c r="C64" i="16"/>
  <c r="I31" i="16"/>
  <c r="C54" i="16"/>
  <c r="C114" i="16" s="1"/>
  <c r="I64" i="9"/>
  <c r="K111" i="10"/>
  <c r="K112" i="10" s="1"/>
  <c r="R31" i="11"/>
  <c r="Q31" i="11"/>
  <c r="C56" i="11"/>
  <c r="C63" i="11"/>
  <c r="R51" i="11"/>
  <c r="C54" i="11"/>
  <c r="C114" i="11" s="1"/>
  <c r="H57" i="11"/>
  <c r="H65" i="11" s="1"/>
  <c r="R82" i="11"/>
  <c r="M30" i="12"/>
  <c r="D111" i="13"/>
  <c r="D112" i="13" s="1"/>
  <c r="J106" i="13"/>
  <c r="H110" i="13"/>
  <c r="H111" i="13"/>
  <c r="H112" i="13" s="1"/>
  <c r="I107" i="15"/>
  <c r="M64" i="10"/>
  <c r="L111" i="10"/>
  <c r="E110" i="10"/>
  <c r="E123" i="10" s="1"/>
  <c r="M110" i="10"/>
  <c r="M123" i="10" s="1"/>
  <c r="E110" i="13"/>
  <c r="G110" i="13"/>
  <c r="G111" i="13"/>
  <c r="G112" i="13" s="1"/>
  <c r="H93" i="14"/>
  <c r="I54" i="11"/>
  <c r="I114" i="11" s="1"/>
  <c r="R91" i="11"/>
  <c r="P111" i="11"/>
  <c r="P112" i="11" s="1"/>
  <c r="E54" i="12"/>
  <c r="E114" i="12" s="1"/>
  <c r="E57" i="12"/>
  <c r="H56" i="12"/>
  <c r="H57" i="12"/>
  <c r="H65" i="12" s="1"/>
  <c r="H54" i="12"/>
  <c r="H114" i="12" s="1"/>
  <c r="D112" i="12"/>
  <c r="H64" i="13"/>
  <c r="D111" i="14"/>
  <c r="D112" i="14" s="1"/>
  <c r="H103" i="14"/>
  <c r="D57" i="15"/>
  <c r="G111" i="15"/>
  <c r="G112" i="15" s="1"/>
  <c r="D65" i="16"/>
  <c r="I107" i="16"/>
  <c r="C111" i="16"/>
  <c r="I57" i="11"/>
  <c r="I65" i="11" s="1"/>
  <c r="D111" i="11"/>
  <c r="D112" i="11" s="1"/>
  <c r="H111" i="12"/>
  <c r="H112" i="12" s="1"/>
  <c r="J108" i="13"/>
  <c r="C110" i="13"/>
  <c r="E110" i="15"/>
  <c r="R106" i="10"/>
  <c r="F57" i="12"/>
  <c r="F65" i="12" s="1"/>
  <c r="F64" i="12"/>
  <c r="F64" i="13"/>
  <c r="I64" i="13"/>
  <c r="I63" i="13"/>
  <c r="I65" i="13"/>
  <c r="C57" i="14"/>
  <c r="C56" i="14"/>
  <c r="C54" i="14"/>
  <c r="C114" i="14" s="1"/>
  <c r="G31" i="14"/>
  <c r="G64" i="15"/>
  <c r="F110" i="15"/>
  <c r="F123" i="15" s="1"/>
  <c r="D111" i="16"/>
  <c r="D112" i="16" s="1"/>
  <c r="I54" i="12"/>
  <c r="I114" i="12" s="1"/>
  <c r="G111" i="12"/>
  <c r="G112" i="12" s="1"/>
  <c r="J9" i="13"/>
  <c r="C54" i="13"/>
  <c r="C114" i="13" s="1"/>
  <c r="I31" i="13"/>
  <c r="E65" i="15"/>
  <c r="C93" i="15"/>
  <c r="C121" i="15" s="1"/>
  <c r="I91" i="15"/>
  <c r="F57" i="16"/>
  <c r="F65" i="16" s="1"/>
  <c r="C56" i="12"/>
  <c r="L31" i="12"/>
  <c r="F57" i="13"/>
  <c r="F65" i="13" s="1"/>
  <c r="E54" i="13"/>
  <c r="E114" i="13" s="1"/>
  <c r="C56" i="13"/>
  <c r="G64" i="13"/>
  <c r="J107" i="13"/>
  <c r="H108" i="14"/>
  <c r="I108" i="15"/>
  <c r="E54" i="16"/>
  <c r="E114" i="16" s="1"/>
  <c r="D54" i="16"/>
  <c r="D114" i="16" s="1"/>
  <c r="D56" i="16"/>
  <c r="C110" i="16"/>
  <c r="C111" i="12"/>
  <c r="C111" i="13"/>
  <c r="G51" i="14"/>
  <c r="C63" i="14"/>
  <c r="H91" i="14"/>
  <c r="F54" i="16"/>
  <c r="F114" i="16" s="1"/>
  <c r="E63" i="16"/>
  <c r="D110" i="16"/>
  <c r="D123" i="16" s="1"/>
  <c r="J65" i="12"/>
  <c r="C65" i="12"/>
  <c r="L106" i="12"/>
  <c r="F54" i="13"/>
  <c r="F114" i="13" s="1"/>
  <c r="E57" i="13"/>
  <c r="E65" i="13" s="1"/>
  <c r="D111" i="15"/>
  <c r="D112" i="15" s="1"/>
  <c r="F112" i="16"/>
  <c r="D125" i="10" l="1"/>
  <c r="D121" i="10"/>
  <c r="C123" i="15"/>
  <c r="D55" i="14"/>
  <c r="D114" i="14"/>
  <c r="L125" i="11"/>
  <c r="I21" i="1"/>
  <c r="C123" i="16"/>
  <c r="J111" i="11"/>
  <c r="J125" i="11"/>
  <c r="J121" i="11"/>
  <c r="F125" i="11"/>
  <c r="G125" i="9"/>
  <c r="F125" i="9"/>
  <c r="P125" i="10"/>
  <c r="O125" i="10"/>
  <c r="M125" i="10"/>
  <c r="C125" i="16"/>
  <c r="C125" i="11"/>
  <c r="D125" i="9"/>
  <c r="C125" i="9"/>
  <c r="I125" i="10"/>
  <c r="H125" i="10"/>
  <c r="K125" i="10"/>
  <c r="H21" i="1"/>
  <c r="M55" i="11"/>
  <c r="M114" i="11"/>
  <c r="J125" i="10"/>
  <c r="L111" i="12"/>
  <c r="J123" i="11"/>
  <c r="G125" i="15"/>
  <c r="F125" i="15"/>
  <c r="D125" i="16"/>
  <c r="D55" i="12"/>
  <c r="G55" i="13"/>
  <c r="E111" i="11"/>
  <c r="E112" i="11" s="1"/>
  <c r="E125" i="11"/>
  <c r="E121" i="11"/>
  <c r="D125" i="11"/>
  <c r="H125" i="9"/>
  <c r="E125" i="10"/>
  <c r="J21" i="1"/>
  <c r="L110" i="12"/>
  <c r="E123" i="9"/>
  <c r="D125" i="15"/>
  <c r="C125" i="15"/>
  <c r="F125" i="10"/>
  <c r="M125" i="11"/>
  <c r="G21" i="1"/>
  <c r="L123" i="10"/>
  <c r="F21" i="1"/>
  <c r="L55" i="10"/>
  <c r="L114" i="10"/>
  <c r="L55" i="11"/>
  <c r="L114" i="11"/>
  <c r="C125" i="10"/>
  <c r="I125" i="11"/>
  <c r="K125" i="9"/>
  <c r="E21" i="1"/>
  <c r="J55" i="11"/>
  <c r="J114" i="11"/>
  <c r="M55" i="10"/>
  <c r="M114" i="10"/>
  <c r="D123" i="14"/>
  <c r="F125" i="16"/>
  <c r="E123" i="16"/>
  <c r="E125" i="16"/>
  <c r="E125" i="15"/>
  <c r="E123" i="15"/>
  <c r="K123" i="11"/>
  <c r="K125" i="11"/>
  <c r="H125" i="11"/>
  <c r="H123" i="11"/>
  <c r="C123" i="14"/>
  <c r="D123" i="13"/>
  <c r="D125" i="13"/>
  <c r="H123" i="13"/>
  <c r="H125" i="13"/>
  <c r="F123" i="13"/>
  <c r="F125" i="13"/>
  <c r="C123" i="13"/>
  <c r="C125" i="13"/>
  <c r="G125" i="13"/>
  <c r="G123" i="13"/>
  <c r="E123" i="13"/>
  <c r="E125" i="13"/>
  <c r="G125" i="12"/>
  <c r="G123" i="12"/>
  <c r="F123" i="12"/>
  <c r="F125" i="12"/>
  <c r="E123" i="12"/>
  <c r="E125" i="12"/>
  <c r="H123" i="12"/>
  <c r="H125" i="12"/>
  <c r="C123" i="12"/>
  <c r="C125" i="12"/>
  <c r="I123" i="12"/>
  <c r="O31" i="8"/>
  <c r="I55" i="8"/>
  <c r="C114" i="8"/>
  <c r="I112" i="8"/>
  <c r="C112" i="9"/>
  <c r="M93" i="9"/>
  <c r="I110" i="15"/>
  <c r="I9" i="1"/>
  <c r="F65" i="14"/>
  <c r="F20" i="1"/>
  <c r="J9" i="1"/>
  <c r="C55" i="15"/>
  <c r="G19" i="1"/>
  <c r="Q57" i="11"/>
  <c r="J55" i="10"/>
  <c r="M110" i="9"/>
  <c r="Q31" i="8"/>
  <c r="I56" i="8"/>
  <c r="Q64" i="10"/>
  <c r="F112" i="10"/>
  <c r="H55" i="10"/>
  <c r="P55" i="10"/>
  <c r="R93" i="10"/>
  <c r="H17" i="1"/>
  <c r="H19" i="1"/>
  <c r="H20" i="1"/>
  <c r="C65" i="14"/>
  <c r="I121" i="8"/>
  <c r="I123" i="8"/>
  <c r="Q93" i="8"/>
  <c r="G125" i="8"/>
  <c r="L125" i="8"/>
  <c r="I57" i="8"/>
  <c r="I65" i="8" s="1"/>
  <c r="I54" i="8"/>
  <c r="I114" i="8" s="1"/>
  <c r="K125" i="8"/>
  <c r="O63" i="8"/>
  <c r="H123" i="8"/>
  <c r="D123" i="8"/>
  <c r="C65" i="8"/>
  <c r="O64" i="8"/>
  <c r="B15" i="1"/>
  <c r="F17" i="1"/>
  <c r="F9" i="1"/>
  <c r="F11" i="1"/>
  <c r="F13" i="1"/>
  <c r="F123" i="8"/>
  <c r="P55" i="11"/>
  <c r="J20" i="1"/>
  <c r="F55" i="9"/>
  <c r="D55" i="11"/>
  <c r="B13" i="1"/>
  <c r="B11" i="1"/>
  <c r="B9" i="1"/>
  <c r="E20" i="1"/>
  <c r="E55" i="11"/>
  <c r="C55" i="9"/>
  <c r="E11" i="1"/>
  <c r="E9" i="1"/>
  <c r="E13" i="1"/>
  <c r="M125" i="8"/>
  <c r="J19" i="1"/>
  <c r="I19" i="1"/>
  <c r="G20" i="1"/>
  <c r="I11" i="1"/>
  <c r="Q56" i="11"/>
  <c r="E19" i="1"/>
  <c r="M51" i="9"/>
  <c r="K51" i="16" s="1"/>
  <c r="C16" i="1"/>
  <c r="J11" i="1"/>
  <c r="I13" i="1"/>
  <c r="E111" i="13"/>
  <c r="E112" i="13" s="1"/>
  <c r="J103" i="13"/>
  <c r="G17" i="1"/>
  <c r="Q54" i="11"/>
  <c r="E17" i="1"/>
  <c r="R103" i="11"/>
  <c r="C57" i="10"/>
  <c r="C54" i="10"/>
  <c r="C114" i="10" s="1"/>
  <c r="D15" i="1"/>
  <c r="C56" i="10"/>
  <c r="Q56" i="10" s="1"/>
  <c r="R31" i="10"/>
  <c r="F19" i="1"/>
  <c r="J17" i="1"/>
  <c r="E125" i="8"/>
  <c r="N125" i="8"/>
  <c r="I20" i="1"/>
  <c r="J13" i="1"/>
  <c r="G9" i="1"/>
  <c r="G11" i="1"/>
  <c r="G13" i="1"/>
  <c r="H9" i="1"/>
  <c r="H13" i="1"/>
  <c r="H11" i="1"/>
  <c r="H56" i="15"/>
  <c r="H63" i="16"/>
  <c r="C64" i="10"/>
  <c r="Q31" i="10"/>
  <c r="I17" i="1"/>
  <c r="D9" i="1"/>
  <c r="D13" i="1"/>
  <c r="D11" i="1"/>
  <c r="D111" i="10"/>
  <c r="D112" i="10" s="1"/>
  <c r="H110" i="14"/>
  <c r="D55" i="15"/>
  <c r="G55" i="12"/>
  <c r="I56" i="13"/>
  <c r="G56" i="14"/>
  <c r="J110" i="13"/>
  <c r="Q63" i="11"/>
  <c r="Q64" i="11"/>
  <c r="H57" i="15"/>
  <c r="F55" i="15"/>
  <c r="R57" i="11"/>
  <c r="R103" i="10"/>
  <c r="C112" i="14"/>
  <c r="H111" i="14"/>
  <c r="H63" i="15"/>
  <c r="J112" i="11"/>
  <c r="Q106" i="8"/>
  <c r="C110" i="8"/>
  <c r="C111" i="8"/>
  <c r="E55" i="13"/>
  <c r="H57" i="14"/>
  <c r="G57" i="14"/>
  <c r="I57" i="15"/>
  <c r="I111" i="15"/>
  <c r="J112" i="10"/>
  <c r="C112" i="10"/>
  <c r="N55" i="11"/>
  <c r="F112" i="8"/>
  <c r="F121" i="8"/>
  <c r="G63" i="14"/>
  <c r="G65" i="14"/>
  <c r="G64" i="14"/>
  <c r="I110" i="16"/>
  <c r="C55" i="13"/>
  <c r="I54" i="13"/>
  <c r="I111" i="16"/>
  <c r="E55" i="12"/>
  <c r="C55" i="16"/>
  <c r="H54" i="16"/>
  <c r="E55" i="15"/>
  <c r="K55" i="11"/>
  <c r="O55" i="10"/>
  <c r="O55" i="8"/>
  <c r="L112" i="10"/>
  <c r="D65" i="15"/>
  <c r="I55" i="10"/>
  <c r="E65" i="11"/>
  <c r="E55" i="10"/>
  <c r="D121" i="8"/>
  <c r="D111" i="8"/>
  <c r="D112" i="8" s="1"/>
  <c r="D125" i="8"/>
  <c r="Q103" i="8"/>
  <c r="K57" i="12"/>
  <c r="K55" i="10"/>
  <c r="Q63" i="10"/>
  <c r="R93" i="11"/>
  <c r="R110" i="10"/>
  <c r="C55" i="14"/>
  <c r="G54" i="14"/>
  <c r="I55" i="11"/>
  <c r="H57" i="16"/>
  <c r="I57" i="16"/>
  <c r="G55" i="15"/>
  <c r="C112" i="13"/>
  <c r="D55" i="9"/>
  <c r="C55" i="12"/>
  <c r="K54" i="12"/>
  <c r="F55" i="10"/>
  <c r="R110" i="11"/>
  <c r="M111" i="9"/>
  <c r="J57" i="13"/>
  <c r="F55" i="11"/>
  <c r="E112" i="9"/>
  <c r="F55" i="13"/>
  <c r="H64" i="16"/>
  <c r="H65" i="16"/>
  <c r="C113" i="12"/>
  <c r="D55" i="13"/>
  <c r="G63" i="9"/>
  <c r="L63" i="9" s="1"/>
  <c r="G56" i="9"/>
  <c r="L56" i="9" s="1"/>
  <c r="G54" i="9"/>
  <c r="C112" i="11"/>
  <c r="E65" i="12"/>
  <c r="K65" i="12"/>
  <c r="K63" i="12"/>
  <c r="K64" i="12"/>
  <c r="I57" i="13"/>
  <c r="H55" i="9"/>
  <c r="C112" i="12"/>
  <c r="G57" i="9"/>
  <c r="F55" i="16"/>
  <c r="D55" i="16"/>
  <c r="K56" i="12"/>
  <c r="I93" i="15"/>
  <c r="C112" i="15"/>
  <c r="I55" i="12"/>
  <c r="H65" i="15"/>
  <c r="C65" i="16"/>
  <c r="E55" i="16"/>
  <c r="H64" i="15"/>
  <c r="H55" i="12"/>
  <c r="C55" i="11"/>
  <c r="D65" i="13"/>
  <c r="E55" i="9"/>
  <c r="C112" i="16"/>
  <c r="I93" i="16"/>
  <c r="H54" i="15"/>
  <c r="D55" i="10"/>
  <c r="I55" i="9"/>
  <c r="H56" i="16"/>
  <c r="L57" i="12"/>
  <c r="G64" i="9"/>
  <c r="L54" i="9" l="1"/>
  <c r="G114" i="9"/>
  <c r="C21" i="1" s="1"/>
  <c r="D21" i="1"/>
  <c r="R111" i="11"/>
  <c r="J111" i="13"/>
  <c r="B21" i="1"/>
  <c r="K31" i="16"/>
  <c r="B17" i="1"/>
  <c r="B18" i="1"/>
  <c r="C20" i="1"/>
  <c r="H55" i="15"/>
  <c r="I18" i="1"/>
  <c r="O56" i="8"/>
  <c r="B19" i="1"/>
  <c r="Q57" i="10"/>
  <c r="R57" i="10"/>
  <c r="D19" i="1"/>
  <c r="O54" i="8"/>
  <c r="B20" i="1"/>
  <c r="O57" i="8"/>
  <c r="Q57" i="8"/>
  <c r="E18" i="1"/>
  <c r="Q55" i="11"/>
  <c r="J18" i="1"/>
  <c r="D20" i="1"/>
  <c r="C65" i="10"/>
  <c r="G18" i="1"/>
  <c r="R111" i="10"/>
  <c r="D17" i="1"/>
  <c r="C55" i="10"/>
  <c r="G55" i="14"/>
  <c r="H18" i="1"/>
  <c r="C13" i="1"/>
  <c r="C9" i="1"/>
  <c r="C17" i="1"/>
  <c r="F18" i="1"/>
  <c r="Q54" i="10"/>
  <c r="C11" i="1"/>
  <c r="C19" i="1"/>
  <c r="H55" i="16"/>
  <c r="G65" i="9"/>
  <c r="M57" i="9"/>
  <c r="L57" i="9"/>
  <c r="Q111" i="8"/>
  <c r="C112" i="8"/>
  <c r="C123" i="8"/>
  <c r="Q110" i="8"/>
  <c r="C125" i="8"/>
  <c r="G55" i="9"/>
  <c r="L55" i="9" s="1"/>
  <c r="K55" i="12"/>
  <c r="I55" i="13"/>
  <c r="D18" i="1" l="1"/>
  <c r="Q55" i="10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thanh.nguyen</author>
  </authors>
  <commentList>
    <comment ref="C5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joji.kume:</t>
        </r>
        <r>
          <rPr>
            <sz val="9"/>
            <color indexed="81"/>
            <rFont val="Tahoma"/>
            <family val="2"/>
          </rPr>
          <t xml:space="preserve">
Transfers to RTA, pledged revenue &amp; PIC</t>
        </r>
      </text>
    </comment>
  </commentList>
</comments>
</file>

<file path=xl/sharedStrings.xml><?xml version="1.0" encoding="utf-8"?>
<sst xmlns="http://schemas.openxmlformats.org/spreadsheetml/2006/main" count="1230" uniqueCount="240">
  <si>
    <t>Network of California Fairs</t>
  </si>
  <si>
    <t>2015 STOP Statistical Summary</t>
  </si>
  <si>
    <t>Class 1</t>
  </si>
  <si>
    <t>Class 2</t>
  </si>
  <si>
    <t>Class 3</t>
  </si>
  <si>
    <t>Class 3+</t>
  </si>
  <si>
    <t>Class 4</t>
  </si>
  <si>
    <t>Class 4+</t>
  </si>
  <si>
    <t>Class 5</t>
  </si>
  <si>
    <t>Class 6</t>
  </si>
  <si>
    <t>Class 7</t>
  </si>
  <si>
    <t xml:space="preserve">Total </t>
  </si>
  <si>
    <t>Number of Fairs</t>
  </si>
  <si>
    <t>Average Reserves by Dollars ($)</t>
  </si>
  <si>
    <t>N/A</t>
  </si>
  <si>
    <t>Average Reserves by Percentage (%)</t>
  </si>
  <si>
    <t>Reserves High By Dollars ($)</t>
  </si>
  <si>
    <t>Reserves High By Percentage (%)</t>
  </si>
  <si>
    <t>Reserves Low By Dollars ($)</t>
  </si>
  <si>
    <t>Reserves Low By Percentage (%)</t>
  </si>
  <si>
    <t>Average Operating Revenues ($)</t>
  </si>
  <si>
    <t>Average Operating Expenditures ($)</t>
  </si>
  <si>
    <t>Average Operating Profit/(Loss) BEFORE Depreciation ($)</t>
  </si>
  <si>
    <t>Average Operating Profit/(Loss) AFTER Depreciation ($)</t>
  </si>
  <si>
    <t>Average Net Profit/(Loss) BEFORE Depreciation ($)</t>
  </si>
  <si>
    <t>Average Net Profit/(Loss) AFTER Depreciation ($)</t>
  </si>
  <si>
    <t>Average Number of Permanent Positions *</t>
  </si>
  <si>
    <t>Average Paid Fair Attendance</t>
  </si>
  <si>
    <t>Average Free Fair Attendance</t>
  </si>
  <si>
    <t>Average Total Fair Attendance</t>
  </si>
  <si>
    <t xml:space="preserve">Note:  Reserves refers to Unrestricted Net Resources Available for Operations. </t>
  </si>
  <si>
    <t>*  Not all permanent positions are full-time positions.</t>
  </si>
  <si>
    <t>10-A DAA, Tulelake-Butte Valley Fair</t>
  </si>
  <si>
    <t>33rd DAA,      San Benito County Fair</t>
  </si>
  <si>
    <t>34th DAA, Modoc-Last Frontier Fair</t>
  </si>
  <si>
    <t>48th DAA, Schools Involvement Fair</t>
  </si>
  <si>
    <t>51st DAA,       The Valley Fair</t>
  </si>
  <si>
    <t>52nd DAA, Sacramento County Fair</t>
  </si>
  <si>
    <t>53rd DAA, Desert Empire Fair</t>
  </si>
  <si>
    <t>Chowchilla- Madera County Fair</t>
  </si>
  <si>
    <t>Mendocino County Fair</t>
  </si>
  <si>
    <t>Inter-Mountain Fair of Shasta County</t>
  </si>
  <si>
    <t>Trinity County Fair</t>
  </si>
  <si>
    <t>consolidated averages</t>
  </si>
  <si>
    <t>DAA-totals</t>
  </si>
  <si>
    <t>Beginning Net Resources 1/1/2015</t>
  </si>
  <si>
    <t>Unrestricted - Available for Operations</t>
  </si>
  <si>
    <t>Restricted Resources</t>
  </si>
  <si>
    <t>Investment in Capital Assets</t>
  </si>
  <si>
    <t>Prior Year Audit Adjustment(s)</t>
  </si>
  <si>
    <t>Total Net Resources</t>
  </si>
  <si>
    <t>Resources Acquired:</t>
  </si>
  <si>
    <t>State Allocation</t>
  </si>
  <si>
    <t>Capital Project Reimbursement Funds</t>
  </si>
  <si>
    <t>Other</t>
  </si>
  <si>
    <t>Operating Revenues:</t>
  </si>
  <si>
    <t>Admissions to Grounds</t>
  </si>
  <si>
    <t>Industrial and Commercial Space</t>
  </si>
  <si>
    <t>Carnivals</t>
  </si>
  <si>
    <t>Concessions</t>
  </si>
  <si>
    <t>Exhibits</t>
  </si>
  <si>
    <t>Horse Show</t>
  </si>
  <si>
    <t>Horse Racing (Fairtime Pari-Mutuel)</t>
  </si>
  <si>
    <t>Horse Racing (Satellite Wagering)</t>
  </si>
  <si>
    <t>Fair Attractions</t>
  </si>
  <si>
    <t>Motorized Racing</t>
  </si>
  <si>
    <t>Interim Attractions</t>
  </si>
  <si>
    <t>Miscellaneous Fair</t>
  </si>
  <si>
    <t xml:space="preserve">Miscellaneous Non-Fair </t>
  </si>
  <si>
    <t>Interim Revenue</t>
  </si>
  <si>
    <t>Prior Year Revenue Adjustment</t>
  </si>
  <si>
    <t>Other Operating Revenue</t>
  </si>
  <si>
    <t>total "other operating revenues"-SCO GAAP report</t>
  </si>
  <si>
    <t>Total Operating Revenues</t>
  </si>
  <si>
    <t>total operating revenues + resources acquired</t>
  </si>
  <si>
    <t>Operating Expenditures:</t>
  </si>
  <si>
    <t>Administration</t>
  </si>
  <si>
    <t>Maintenance &amp; General Operations</t>
  </si>
  <si>
    <t>Publicity</t>
  </si>
  <si>
    <t>Attendance Operations</t>
  </si>
  <si>
    <t>Miscellaneous Non-Fair Programs</t>
  </si>
  <si>
    <t xml:space="preserve">Premiums </t>
  </si>
  <si>
    <t>Fair Entertainment Expense</t>
  </si>
  <si>
    <t>Interim Entertainment Expense</t>
  </si>
  <si>
    <t>Equipment Funded by Fair</t>
  </si>
  <si>
    <t>Prior Year Expense Adjustment</t>
  </si>
  <si>
    <t>Cash (Over/Under)</t>
  </si>
  <si>
    <t>Other Operating Expense</t>
  </si>
  <si>
    <t>Total Operating Expenditures</t>
  </si>
  <si>
    <t>Other Addition/(Reduction) in Resources</t>
  </si>
  <si>
    <t>Depreciation Expense</t>
  </si>
  <si>
    <t>Net Operating Profit/(Loss) BEFORE Depreciation</t>
  </si>
  <si>
    <t>Net Operating Profit/(Loss) AFTER Depreciation</t>
  </si>
  <si>
    <t>Net Profit/(Loss) BEFORE Depreciation</t>
  </si>
  <si>
    <t>Net Profit/(Loss) AFTER Depreciation</t>
  </si>
  <si>
    <t>Ending Net Resources 12/31/2015</t>
  </si>
  <si>
    <t>Reserve Percentage</t>
  </si>
  <si>
    <t>Check Figure</t>
  </si>
  <si>
    <t>(operating revenues less operating expenditures).</t>
  </si>
  <si>
    <t xml:space="preserve">(operating revenues and resources acquired) and all expenditures </t>
  </si>
  <si>
    <t>(operating expenditures and depreciation expense).</t>
  </si>
  <si>
    <t>Statement of Financial Condition</t>
  </si>
  <si>
    <t>Assets</t>
  </si>
  <si>
    <t>Cash:</t>
  </si>
  <si>
    <t xml:space="preserve">    Restricted Cash</t>
  </si>
  <si>
    <t xml:space="preserve">    Available Cash</t>
  </si>
  <si>
    <t>Accounts Receivable</t>
  </si>
  <si>
    <t>Deferred Charges</t>
  </si>
  <si>
    <t>Other Assets</t>
  </si>
  <si>
    <t>Construction in Progress</t>
  </si>
  <si>
    <t>Land</t>
  </si>
  <si>
    <t>Buildings and Improvements</t>
  </si>
  <si>
    <t>Equipment</t>
  </si>
  <si>
    <t>Leasehold Improvements</t>
  </si>
  <si>
    <t>Less Accumulated Depreciation</t>
  </si>
  <si>
    <t>Adjustment for rounding</t>
  </si>
  <si>
    <t>Total Assets</t>
  </si>
  <si>
    <t>Obligations</t>
  </si>
  <si>
    <t>Insurance Fees Payable</t>
  </si>
  <si>
    <t>Accounts Payable</t>
  </si>
  <si>
    <t>Payroll Liabilities</t>
  </si>
  <si>
    <t>Deferred Revenue</t>
  </si>
  <si>
    <t>Other Liabilities</t>
  </si>
  <si>
    <t>Guarantee Deposits</t>
  </si>
  <si>
    <t>Compensated Absences Liability</t>
  </si>
  <si>
    <t>Long Term Debt</t>
  </si>
  <si>
    <t>Total Obligations</t>
  </si>
  <si>
    <t>Net Resources</t>
  </si>
  <si>
    <t>Junior Livestock Auction Reserve</t>
  </si>
  <si>
    <t xml:space="preserve">Investment in Capital Assets </t>
  </si>
  <si>
    <t>Total Obligations &amp; Net Resources</t>
  </si>
  <si>
    <t>Profit margin ratio (operating profit/(loss) BEFORE depreciation)/total operating revenues)</t>
  </si>
  <si>
    <t>This ratio describes a Fair’s ability to earn net profit from operating revenues.</t>
  </si>
  <si>
    <t>Debt ratio (total obligations/total assets)</t>
  </si>
  <si>
    <t>This ratio measures what portion of a Fair's assets are contributed by debt.</t>
  </si>
  <si>
    <t>Equity ratio (total net resources/total assets)</t>
  </si>
  <si>
    <t>This ratio measures what portion of a Fair's assets are contributed by revenues.</t>
  </si>
  <si>
    <t>Debt to equity ratio (total obligations/total net resources)</t>
  </si>
  <si>
    <t>This ratio measures the solvency of Fairs.</t>
  </si>
  <si>
    <t># of Permanent Positions</t>
  </si>
  <si>
    <t>Paid Fair Admissions</t>
  </si>
  <si>
    <t>Free Gate</t>
  </si>
  <si>
    <t>Cancelled</t>
  </si>
  <si>
    <t>Free Fair Admissions</t>
  </si>
  <si>
    <t xml:space="preserve">Total Admissions </t>
  </si>
  <si>
    <t>29th DAA, Mother Lode Fair</t>
  </si>
  <si>
    <t>35-A DAA, Mariposa County Fair</t>
  </si>
  <si>
    <t>41st DAA, 
Del Norte County Fair</t>
  </si>
  <si>
    <t xml:space="preserve">42nd DAA, Glenn County Fair </t>
  </si>
  <si>
    <t>44th DAA, Colusa County Fair</t>
  </si>
  <si>
    <t>49th DAA, Lake County Fair</t>
  </si>
  <si>
    <t>Butte County Fair</t>
  </si>
  <si>
    <t>Plumas-Sierra County Fair 
FY 14/15</t>
  </si>
  <si>
    <t>averages-all</t>
  </si>
  <si>
    <t xml:space="preserve">Obligations </t>
  </si>
  <si>
    <t>Restricted Resources/Other Resources</t>
  </si>
  <si>
    <t>9th DAA, Redwood Acres Fair</t>
  </si>
  <si>
    <t>10th DAA, Siskiyou Golden Fair</t>
  </si>
  <si>
    <t>12th DAA, Redwood Empire Fair</t>
  </si>
  <si>
    <t>13th DAA,   Yuba Sutter Fair</t>
  </si>
  <si>
    <t>20th DAA,    Gold Country Fair</t>
  </si>
  <si>
    <t>24-A DAA,    Kings Fair</t>
  </si>
  <si>
    <t>26th DAA, Amador County Fair</t>
  </si>
  <si>
    <t>30th DAA, Tehama District Fair</t>
  </si>
  <si>
    <t>39th DAA, Calaveras County Fair</t>
  </si>
  <si>
    <t>40th DAA,    Yolo County Fair</t>
  </si>
  <si>
    <t>Merced County Spring Fair</t>
  </si>
  <si>
    <t>Lodi Grape Festival &amp; Harvest Fair</t>
  </si>
  <si>
    <t>Miscellaneous Non-Fair</t>
  </si>
  <si>
    <t xml:space="preserve">*  </t>
  </si>
  <si>
    <t>was unavailable at the time of the 2015 STOP Publication.</t>
  </si>
  <si>
    <t>Construction In Progress</t>
  </si>
  <si>
    <t>Check figures</t>
  </si>
  <si>
    <t>3rd DAA,     Silver Dollar Fair</t>
  </si>
  <si>
    <t>4th DAA, Sonoma Marin Fair</t>
  </si>
  <si>
    <t>14th DAA,     Santa Cruz County Fair</t>
  </si>
  <si>
    <t>21-A DAA, Madera District Fair</t>
  </si>
  <si>
    <t>25th DAA,     Napa Town &amp; Country Fair</t>
  </si>
  <si>
    <t>27th DAA, Shasta District Fair</t>
  </si>
  <si>
    <t>36th DAA,    Dixon May Fair</t>
  </si>
  <si>
    <t>El Dorado County Fair</t>
  </si>
  <si>
    <t>Humboldt County Fair</t>
  </si>
  <si>
    <t>Salinas Valley Fair</t>
  </si>
  <si>
    <t xml:space="preserve">Placer County Fair    </t>
  </si>
  <si>
    <t>Obligations &amp; Net Resources</t>
  </si>
  <si>
    <t xml:space="preserve">Adjustment for rounding </t>
  </si>
  <si>
    <t>7th DAA, Monterey County Fair</t>
  </si>
  <si>
    <t>17th DAA, Nevada County Fair</t>
  </si>
  <si>
    <t>19th DAA,     Santa Barbara Fair</t>
  </si>
  <si>
    <t>24th DAA, 
Tulare County Fair</t>
  </si>
  <si>
    <t>28th DAA,       San Bernardino County Fair</t>
  </si>
  <si>
    <t>35th DAA, Merced County Fair</t>
  </si>
  <si>
    <t>37th DAA,     Santa Maria Fair Park</t>
  </si>
  <si>
    <t>2nd DAA,         San Joaquin County Fair</t>
  </si>
  <si>
    <t>38th DAA, Stanislaus County Fair</t>
  </si>
  <si>
    <t>46th DAA, Southern California Fair</t>
  </si>
  <si>
    <t>Riverside County Fair &amp; National Date Festival
FY 14/15</t>
  </si>
  <si>
    <t>Santa Clara County Fair</t>
  </si>
  <si>
    <t>Solano County Fair</t>
  </si>
  <si>
    <t xml:space="preserve"> </t>
  </si>
  <si>
    <t>No Fair</t>
  </si>
  <si>
    <t>1-A DAA,     Grand National Rodeo &amp; Show</t>
  </si>
  <si>
    <t>15th DAA,        Kern County Fair</t>
  </si>
  <si>
    <t>(May include permanent intermittents)</t>
  </si>
  <si>
    <t xml:space="preserve">16th DAA, California Mid-State Fair          </t>
  </si>
  <si>
    <t>21st DAA, 
The Big Fresno Fair</t>
  </si>
  <si>
    <t>31st DAA, Ventura County Fair</t>
  </si>
  <si>
    <t>National Orange Show</t>
  </si>
  <si>
    <t>Sonoma County Fair FY 14/15</t>
  </si>
  <si>
    <t>Computer Software, Land Use Rights, etc.</t>
  </si>
  <si>
    <t>Restricted Net Resources</t>
  </si>
  <si>
    <t>22nd DAA, 
San Diego County Fair</t>
  </si>
  <si>
    <t>32nd DAA, Orange County Fair</t>
  </si>
  <si>
    <t>Alameda County Fair</t>
  </si>
  <si>
    <t>California Exposition and State Fair 
(Cal Expo)</t>
  </si>
  <si>
    <t xml:space="preserve">Reserve Percentage </t>
  </si>
  <si>
    <t>California Exposition and State Fair (Cal Expo)</t>
  </si>
  <si>
    <t xml:space="preserve">Los Angeles County Fair </t>
  </si>
  <si>
    <t>Number of Fairs that Reported 2015 STOP</t>
  </si>
  <si>
    <t>Average Leave Liability</t>
  </si>
  <si>
    <t>Quick Ratio [(current assets - inventories) / current liabilities]</t>
  </si>
  <si>
    <t>The quick ratio measures the Fair's ability to meet its short-term obligations with its most liquid assets. Higher the quick ratio, the better the Fair's liquidity position.</t>
  </si>
  <si>
    <t>Quick Ratio* (with compensated absences liability)</t>
  </si>
  <si>
    <t>This version of the quick ratio is more conservative as compensated absence liability is included as a part of current liabilities.</t>
  </si>
  <si>
    <t>Average Profit Margin Ratio (Operations Only)</t>
  </si>
  <si>
    <t xml:space="preserve">Net Operating Profit/(Loss) </t>
  </si>
  <si>
    <t xml:space="preserve">represents income or loss from operating actvities only </t>
  </si>
  <si>
    <r>
      <rPr>
        <b/>
        <i/>
        <sz val="9"/>
        <rFont val="Arial"/>
        <family val="2"/>
      </rPr>
      <t>Net Profit/(Loss)</t>
    </r>
    <r>
      <rPr>
        <i/>
        <sz val="9"/>
        <rFont val="Arial"/>
        <family val="2"/>
      </rPr>
      <t xml:space="preserve"> includes all sources of revenues</t>
    </r>
  </si>
  <si>
    <t xml:space="preserve">Lassen County Fair's STOP </t>
  </si>
  <si>
    <t>San Mateo County Fair</t>
  </si>
  <si>
    <t>54th DAA, Colorado River Country Fair</t>
  </si>
  <si>
    <t>Cloverdale Citrus Fair</t>
  </si>
  <si>
    <t>23rd DAA, Contra Costa County Fair</t>
  </si>
  <si>
    <t>Marin County Fair</t>
  </si>
  <si>
    <t>45th DAA, California Mid-Winter Fair</t>
  </si>
  <si>
    <t>18th DAA, Eastern Sierra Tri-County Fair</t>
  </si>
  <si>
    <t>Napa County Fair</t>
  </si>
  <si>
    <t>Los Angeles County Fair</t>
  </si>
  <si>
    <t>50th DAA, Antelope Valley Fair</t>
  </si>
  <si>
    <t>Lassen County Fair FY 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</si>
</sst>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#,##0.0_);[Red]\(#,##0.0\)"/>
    <numFmt numFmtId="168" formatCode="_(&quot;$&quot;* #,##0.0_);_(&quot;$&quot;* \(#,##0.0\);_(&quot;$&quot;* &quot;-&quot;??_);_(@_)"/>
    <numFmt numFmtId="169" formatCode="&quot;$&quot;#,##0"/>
    <numFmt numFmtId="170" formatCode="0.000%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0"/>
      <color rgb="FF00B0F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i/>
      <sz val="9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10"/>
      <name val="Univers (WN)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horizontal="centerContinuous"/>
    </xf>
  </cellStyleXfs>
  <cellXfs count="411">
    <xf numFmtId="0" fontId="0" fillId="0" borderId="0" xfId="0"/>
    <xf numFmtId="0" fontId="1" fillId="0" borderId="0" xfId="3" applyAlignment="1"/>
    <xf numFmtId="0" fontId="3" fillId="0" borderId="0" xfId="3" applyFont="1"/>
    <xf numFmtId="0" fontId="1" fillId="0" borderId="0" xfId="3" applyBorder="1"/>
    <xf numFmtId="0" fontId="1" fillId="0" borderId="0" xfId="3"/>
    <xf numFmtId="0" fontId="1" fillId="0" borderId="0" xfId="3" applyAlignment="1">
      <alignment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1" fillId="0" borderId="0" xfId="3" applyFill="1" applyAlignment="1">
      <alignment vertical="center"/>
    </xf>
    <xf numFmtId="6" fontId="4" fillId="0" borderId="13" xfId="4" applyNumberFormat="1" applyFont="1" applyBorder="1" applyAlignment="1">
      <alignment vertical="center"/>
    </xf>
    <xf numFmtId="164" fontId="4" fillId="0" borderId="13" xfId="3" applyNumberFormat="1" applyFont="1" applyBorder="1" applyAlignment="1">
      <alignment vertical="center"/>
    </xf>
    <xf numFmtId="164" fontId="6" fillId="0" borderId="13" xfId="3" applyNumberFormat="1" applyFont="1" applyBorder="1" applyAlignment="1">
      <alignment vertical="center"/>
    </xf>
    <xf numFmtId="5" fontId="4" fillId="0" borderId="13" xfId="4" applyNumberFormat="1" applyFont="1" applyBorder="1" applyAlignment="1">
      <alignment vertical="center"/>
    </xf>
    <xf numFmtId="5" fontId="7" fillId="0" borderId="13" xfId="4" applyNumberFormat="1" applyFont="1" applyBorder="1" applyAlignment="1">
      <alignment vertical="center"/>
    </xf>
    <xf numFmtId="6" fontId="4" fillId="0" borderId="13" xfId="3" applyNumberFormat="1" applyFont="1" applyBorder="1" applyAlignment="1">
      <alignment vertical="center"/>
    </xf>
    <xf numFmtId="0" fontId="8" fillId="0" borderId="0" xfId="3" applyFont="1"/>
    <xf numFmtId="165" fontId="4" fillId="0" borderId="13" xfId="1" applyNumberFormat="1" applyFont="1" applyBorder="1" applyAlignment="1">
      <alignment vertical="center"/>
    </xf>
    <xf numFmtId="166" fontId="4" fillId="0" borderId="13" xfId="1" applyNumberFormat="1" applyFont="1" applyBorder="1" applyAlignment="1">
      <alignment vertical="center"/>
    </xf>
    <xf numFmtId="0" fontId="5" fillId="0" borderId="0" xfId="3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vertical="center"/>
    </xf>
    <xf numFmtId="0" fontId="1" fillId="0" borderId="0" xfId="3" applyFont="1"/>
    <xf numFmtId="0" fontId="1" fillId="0" borderId="0" xfId="3" applyFont="1" applyAlignment="1">
      <alignment wrapText="1"/>
    </xf>
    <xf numFmtId="0" fontId="10" fillId="0" borderId="9" xfId="3" applyFont="1" applyBorder="1"/>
    <xf numFmtId="0" fontId="10" fillId="0" borderId="24" xfId="3" applyFont="1" applyBorder="1"/>
    <xf numFmtId="6" fontId="1" fillId="4" borderId="13" xfId="3" applyNumberFormat="1" applyFont="1" applyFill="1" applyBorder="1"/>
    <xf numFmtId="6" fontId="1" fillId="0" borderId="13" xfId="3" applyNumberFormat="1" applyFont="1" applyBorder="1"/>
    <xf numFmtId="6" fontId="1" fillId="0" borderId="13" xfId="3" applyNumberFormat="1" applyFont="1" applyFill="1" applyBorder="1"/>
    <xf numFmtId="6" fontId="1" fillId="0" borderId="8" xfId="3" applyNumberFormat="1" applyFont="1" applyBorder="1"/>
    <xf numFmtId="38" fontId="1" fillId="4" borderId="4" xfId="3" applyNumberFormat="1" applyFont="1" applyFill="1" applyBorder="1"/>
    <xf numFmtId="38" fontId="1" fillId="0" borderId="4" xfId="3" applyNumberFormat="1" applyFont="1" applyFill="1" applyBorder="1"/>
    <xf numFmtId="38" fontId="1" fillId="0" borderId="8" xfId="3" applyNumberFormat="1" applyFont="1" applyBorder="1"/>
    <xf numFmtId="0" fontId="10" fillId="0" borderId="21" xfId="3" applyFont="1" applyBorder="1"/>
    <xf numFmtId="38" fontId="1" fillId="0" borderId="25" xfId="3" applyNumberFormat="1" applyFont="1" applyFill="1" applyBorder="1"/>
    <xf numFmtId="38" fontId="1" fillId="4" borderId="13" xfId="3" applyNumberFormat="1" applyFont="1" applyFill="1" applyBorder="1"/>
    <xf numFmtId="38" fontId="1" fillId="0" borderId="13" xfId="3" applyNumberFormat="1" applyFont="1" applyFill="1" applyBorder="1"/>
    <xf numFmtId="38" fontId="1" fillId="0" borderId="8" xfId="3" applyNumberFormat="1" applyFont="1" applyFill="1" applyBorder="1"/>
    <xf numFmtId="38" fontId="1" fillId="0" borderId="0" xfId="3" applyNumberFormat="1" applyFont="1"/>
    <xf numFmtId="0" fontId="10" fillId="5" borderId="9" xfId="3" applyFont="1" applyFill="1" applyBorder="1"/>
    <xf numFmtId="0" fontId="10" fillId="5" borderId="24" xfId="3" applyFont="1" applyFill="1" applyBorder="1"/>
    <xf numFmtId="6" fontId="10" fillId="5" borderId="22" xfId="3" applyNumberFormat="1" applyFont="1" applyFill="1" applyBorder="1"/>
    <xf numFmtId="0" fontId="1" fillId="5" borderId="0" xfId="3" applyFont="1" applyFill="1"/>
    <xf numFmtId="0" fontId="1" fillId="5" borderId="9" xfId="3" applyFont="1" applyFill="1" applyBorder="1"/>
    <xf numFmtId="0" fontId="1" fillId="5" borderId="24" xfId="3" applyFont="1" applyFill="1" applyBorder="1"/>
    <xf numFmtId="38" fontId="1" fillId="5" borderId="13" xfId="3" applyNumberFormat="1" applyFont="1" applyFill="1" applyBorder="1"/>
    <xf numFmtId="38" fontId="1" fillId="5" borderId="8" xfId="3" applyNumberFormat="1" applyFont="1" applyFill="1" applyBorder="1"/>
    <xf numFmtId="0" fontId="10" fillId="0" borderId="15" xfId="3" applyFont="1" applyBorder="1"/>
    <xf numFmtId="0" fontId="10" fillId="0" borderId="26" xfId="3" applyFont="1" applyBorder="1"/>
    <xf numFmtId="0" fontId="1" fillId="4" borderId="4" xfId="3" applyFont="1" applyFill="1" applyBorder="1"/>
    <xf numFmtId="0" fontId="1" fillId="0" borderId="4" xfId="3" applyFont="1" applyBorder="1"/>
    <xf numFmtId="0" fontId="1" fillId="0" borderId="4" xfId="3" applyFont="1" applyFill="1" applyBorder="1"/>
    <xf numFmtId="0" fontId="1" fillId="0" borderId="25" xfId="3" applyFont="1" applyBorder="1"/>
    <xf numFmtId="0" fontId="1" fillId="0" borderId="9" xfId="3" applyFont="1" applyBorder="1"/>
    <xf numFmtId="0" fontId="1" fillId="0" borderId="24" xfId="3" applyFont="1" applyBorder="1"/>
    <xf numFmtId="38" fontId="1" fillId="0" borderId="13" xfId="3" applyNumberFormat="1" applyFont="1" applyBorder="1"/>
    <xf numFmtId="38" fontId="1" fillId="0" borderId="4" xfId="3" applyNumberFormat="1" applyFont="1" applyBorder="1"/>
    <xf numFmtId="38" fontId="1" fillId="0" borderId="25" xfId="3" applyNumberFormat="1" applyFont="1" applyBorder="1"/>
    <xf numFmtId="0" fontId="10" fillId="5" borderId="27" xfId="3" applyFont="1" applyFill="1" applyBorder="1"/>
    <xf numFmtId="0" fontId="1" fillId="5" borderId="28" xfId="3" applyFont="1" applyFill="1" applyBorder="1"/>
    <xf numFmtId="38" fontId="1" fillId="5" borderId="29" xfId="3" applyNumberFormat="1" applyFont="1" applyFill="1" applyBorder="1"/>
    <xf numFmtId="38" fontId="1" fillId="5" borderId="0" xfId="3" applyNumberFormat="1" applyFont="1" applyFill="1"/>
    <xf numFmtId="38" fontId="1" fillId="5" borderId="29" xfId="3" applyNumberFormat="1" applyFont="1" applyFill="1" applyBorder="1" applyProtection="1"/>
    <xf numFmtId="38" fontId="1" fillId="5" borderId="30" xfId="3" applyNumberFormat="1" applyFont="1" applyFill="1" applyBorder="1" applyProtection="1"/>
    <xf numFmtId="0" fontId="10" fillId="5" borderId="15" xfId="3" applyFont="1" applyFill="1" applyBorder="1"/>
    <xf numFmtId="0" fontId="1" fillId="5" borderId="26" xfId="3" applyFont="1" applyFill="1" applyBorder="1"/>
    <xf numFmtId="6" fontId="10" fillId="4" borderId="13" xfId="3" applyNumberFormat="1" applyFont="1" applyFill="1" applyBorder="1"/>
    <xf numFmtId="6" fontId="10" fillId="0" borderId="13" xfId="3" applyNumberFormat="1" applyFont="1" applyBorder="1"/>
    <xf numFmtId="6" fontId="10" fillId="0" borderId="13" xfId="3" applyNumberFormat="1" applyFont="1" applyFill="1" applyBorder="1"/>
    <xf numFmtId="6" fontId="10" fillId="0" borderId="8" xfId="3" applyNumberFormat="1" applyFont="1" applyBorder="1"/>
    <xf numFmtId="0" fontId="10" fillId="0" borderId="0" xfId="3" applyFont="1"/>
    <xf numFmtId="0" fontId="10" fillId="5" borderId="26" xfId="3" applyFont="1" applyFill="1" applyBorder="1"/>
    <xf numFmtId="38" fontId="1" fillId="5" borderId="4" xfId="3" applyNumberFormat="1" applyFont="1" applyFill="1" applyBorder="1"/>
    <xf numFmtId="38" fontId="1" fillId="5" borderId="25" xfId="3" applyNumberFormat="1" applyFont="1" applyFill="1" applyBorder="1"/>
    <xf numFmtId="8" fontId="1" fillId="5" borderId="0" xfId="3" applyNumberFormat="1" applyFont="1" applyFill="1"/>
    <xf numFmtId="0" fontId="10" fillId="5" borderId="0" xfId="3" applyFont="1" applyFill="1"/>
    <xf numFmtId="6" fontId="10" fillId="5" borderId="23" xfId="3" applyNumberFormat="1" applyFont="1" applyFill="1" applyBorder="1"/>
    <xf numFmtId="0" fontId="10" fillId="6" borderId="31" xfId="3" applyFont="1" applyFill="1" applyBorder="1"/>
    <xf numFmtId="0" fontId="10" fillId="6" borderId="29" xfId="3" applyFont="1" applyFill="1" applyBorder="1"/>
    <xf numFmtId="164" fontId="10" fillId="6" borderId="29" xfId="3" applyNumberFormat="1" applyFont="1" applyFill="1" applyBorder="1"/>
    <xf numFmtId="164" fontId="10" fillId="6" borderId="30" xfId="3" applyNumberFormat="1" applyFont="1" applyFill="1" applyBorder="1"/>
    <xf numFmtId="10" fontId="1" fillId="6" borderId="0" xfId="2" applyNumberFormat="1" applyFont="1" applyFill="1"/>
    <xf numFmtId="0" fontId="1" fillId="6" borderId="0" xfId="3" applyFont="1" applyFill="1"/>
    <xf numFmtId="0" fontId="10" fillId="0" borderId="32" xfId="3" applyFont="1" applyBorder="1"/>
    <xf numFmtId="0" fontId="1" fillId="0" borderId="32" xfId="3" applyFont="1" applyBorder="1"/>
    <xf numFmtId="166" fontId="1" fillId="4" borderId="0" xfId="1" applyNumberFormat="1" applyFont="1" applyFill="1" applyBorder="1"/>
    <xf numFmtId="166" fontId="1" fillId="0" borderId="0" xfId="1" applyNumberFormat="1" applyFont="1" applyBorder="1"/>
    <xf numFmtId="166" fontId="1" fillId="0" borderId="0" xfId="1" applyNumberFormat="1" applyFont="1" applyFill="1" applyBorder="1"/>
    <xf numFmtId="164" fontId="1" fillId="0" borderId="0" xfId="3" applyNumberFormat="1" applyFont="1"/>
    <xf numFmtId="0" fontId="1" fillId="0" borderId="0" xfId="3" applyFont="1" applyFill="1"/>
    <xf numFmtId="0" fontId="1" fillId="0" borderId="13" xfId="3" applyFont="1" applyFill="1" applyBorder="1" applyAlignment="1">
      <alignment horizontal="right"/>
    </xf>
    <xf numFmtId="0" fontId="1" fillId="0" borderId="0" xfId="3" applyFont="1" applyFill="1" applyBorder="1" applyAlignment="1">
      <alignment horizontal="left" vertical="center" wrapText="1"/>
    </xf>
    <xf numFmtId="0" fontId="1" fillId="0" borderId="0" xfId="3" applyFont="1" applyFill="1" applyBorder="1"/>
    <xf numFmtId="0" fontId="1" fillId="0" borderId="0" xfId="3" applyFont="1" applyFill="1" applyBorder="1" applyAlignment="1">
      <alignment horizontal="left" vertical="center"/>
    </xf>
    <xf numFmtId="0" fontId="1" fillId="4" borderId="13" xfId="3" applyFont="1" applyFill="1" applyBorder="1"/>
    <xf numFmtId="0" fontId="1" fillId="0" borderId="13" xfId="3" applyFont="1" applyBorder="1"/>
    <xf numFmtId="0" fontId="1" fillId="0" borderId="13" xfId="3" applyFont="1" applyFill="1" applyBorder="1"/>
    <xf numFmtId="0" fontId="1" fillId="0" borderId="8" xfId="3" applyFont="1" applyBorder="1"/>
    <xf numFmtId="6" fontId="1" fillId="0" borderId="0" xfId="3" applyNumberFormat="1" applyFont="1"/>
    <xf numFmtId="6" fontId="10" fillId="5" borderId="13" xfId="3" applyNumberFormat="1" applyFont="1" applyFill="1" applyBorder="1"/>
    <xf numFmtId="6" fontId="10" fillId="5" borderId="8" xfId="3" applyNumberFormat="1" applyFont="1" applyFill="1" applyBorder="1"/>
    <xf numFmtId="6" fontId="1" fillId="5" borderId="0" xfId="3" applyNumberFormat="1" applyFont="1" applyFill="1"/>
    <xf numFmtId="0" fontId="1" fillId="0" borderId="0" xfId="3" applyFont="1" applyBorder="1"/>
    <xf numFmtId="0" fontId="1" fillId="0" borderId="33" xfId="3" applyFont="1" applyBorder="1"/>
    <xf numFmtId="0" fontId="1" fillId="0" borderId="34" xfId="3" applyFont="1" applyBorder="1"/>
    <xf numFmtId="38" fontId="1" fillId="4" borderId="35" xfId="3" applyNumberFormat="1" applyFont="1" applyFill="1" applyBorder="1"/>
    <xf numFmtId="38" fontId="1" fillId="0" borderId="35" xfId="3" applyNumberFormat="1" applyFont="1" applyBorder="1"/>
    <xf numFmtId="38" fontId="1" fillId="0" borderId="35" xfId="3" applyNumberFormat="1" applyFont="1" applyFill="1" applyBorder="1"/>
    <xf numFmtId="0" fontId="1" fillId="5" borderId="34" xfId="3" applyFont="1" applyFill="1" applyBorder="1"/>
    <xf numFmtId="38" fontId="1" fillId="5" borderId="35" xfId="3" applyNumberFormat="1" applyFont="1" applyFill="1" applyBorder="1"/>
    <xf numFmtId="9" fontId="1" fillId="5" borderId="0" xfId="2" applyFont="1" applyFill="1"/>
    <xf numFmtId="6" fontId="10" fillId="5" borderId="29" xfId="3" applyNumberFormat="1" applyFont="1" applyFill="1" applyBorder="1"/>
    <xf numFmtId="6" fontId="10" fillId="5" borderId="30" xfId="3" applyNumberFormat="1" applyFont="1" applyFill="1" applyBorder="1"/>
    <xf numFmtId="0" fontId="10" fillId="0" borderId="0" xfId="3" applyFont="1" applyBorder="1"/>
    <xf numFmtId="43" fontId="1" fillId="4" borderId="0" xfId="1" applyFont="1" applyFill="1" applyBorder="1"/>
    <xf numFmtId="43" fontId="1" fillId="0" borderId="0" xfId="1" applyFont="1" applyFill="1" applyBorder="1"/>
    <xf numFmtId="166" fontId="1" fillId="0" borderId="13" xfId="1" applyNumberFormat="1" applyFont="1" applyFill="1" applyBorder="1"/>
    <xf numFmtId="165" fontId="1" fillId="0" borderId="0" xfId="1" applyNumberFormat="1" applyFont="1"/>
    <xf numFmtId="0" fontId="1" fillId="0" borderId="0" xfId="3" applyFont="1" applyAlignment="1">
      <alignment horizontal="center"/>
    </xf>
    <xf numFmtId="0" fontId="1" fillId="4" borderId="0" xfId="3" applyFont="1" applyFill="1"/>
    <xf numFmtId="38" fontId="1" fillId="0" borderId="22" xfId="3" applyNumberFormat="1" applyFont="1" applyFill="1" applyBorder="1"/>
    <xf numFmtId="38" fontId="1" fillId="4" borderId="22" xfId="3" applyNumberFormat="1" applyFont="1" applyFill="1" applyBorder="1"/>
    <xf numFmtId="0" fontId="10" fillId="0" borderId="36" xfId="3" applyFont="1" applyBorder="1"/>
    <xf numFmtId="0" fontId="10" fillId="0" borderId="37" xfId="3" applyFont="1" applyBorder="1"/>
    <xf numFmtId="38" fontId="1" fillId="0" borderId="38" xfId="3" applyNumberFormat="1" applyFont="1" applyBorder="1"/>
    <xf numFmtId="38" fontId="1" fillId="4" borderId="38" xfId="3" applyNumberFormat="1" applyFont="1" applyFill="1" applyBorder="1"/>
    <xf numFmtId="38" fontId="1" fillId="0" borderId="38" xfId="3" applyNumberFormat="1" applyFont="1" applyFill="1" applyBorder="1"/>
    <xf numFmtId="166" fontId="1" fillId="5" borderId="0" xfId="1" applyNumberFormat="1" applyFont="1" applyFill="1"/>
    <xf numFmtId="38" fontId="10" fillId="5" borderId="0" xfId="3" applyNumberFormat="1" applyFont="1" applyFill="1"/>
    <xf numFmtId="166" fontId="1" fillId="2" borderId="0" xfId="1" applyNumberFormat="1" applyFont="1" applyFill="1"/>
    <xf numFmtId="0" fontId="10" fillId="2" borderId="39" xfId="3" applyFont="1" applyFill="1" applyBorder="1"/>
    <xf numFmtId="0" fontId="10" fillId="2" borderId="40" xfId="3" applyFont="1" applyFill="1" applyBorder="1"/>
    <xf numFmtId="164" fontId="10" fillId="2" borderId="29" xfId="3" applyNumberFormat="1" applyFont="1" applyFill="1" applyBorder="1"/>
    <xf numFmtId="164" fontId="10" fillId="2" borderId="29" xfId="3" applyNumberFormat="1" applyFont="1" applyFill="1" applyBorder="1" applyAlignment="1">
      <alignment horizontal="center"/>
    </xf>
    <xf numFmtId="164" fontId="1" fillId="2" borderId="0" xfId="3" applyNumberFormat="1" applyFont="1" applyFill="1"/>
    <xf numFmtId="0" fontId="1" fillId="2" borderId="0" xfId="3" applyFont="1" applyFill="1"/>
    <xf numFmtId="43" fontId="1" fillId="0" borderId="32" xfId="1" applyFont="1" applyBorder="1"/>
    <xf numFmtId="43" fontId="1" fillId="0" borderId="0" xfId="1" applyFont="1" applyBorder="1"/>
    <xf numFmtId="164" fontId="1" fillId="0" borderId="0" xfId="1" applyNumberFormat="1" applyFont="1"/>
    <xf numFmtId="43" fontId="1" fillId="0" borderId="0" xfId="1" applyFont="1"/>
    <xf numFmtId="0" fontId="1" fillId="7" borderId="0" xfId="3" applyFont="1" applyFill="1"/>
    <xf numFmtId="0" fontId="1" fillId="0" borderId="0" xfId="3" applyAlignment="1">
      <alignment horizontal="left" vertical="center" wrapText="1"/>
    </xf>
    <xf numFmtId="0" fontId="1" fillId="0" borderId="0" xfId="3" applyAlignment="1">
      <alignment wrapText="1"/>
    </xf>
    <xf numFmtId="0" fontId="1" fillId="0" borderId="13" xfId="3" applyFont="1" applyBorder="1" applyAlignment="1">
      <alignment horizontal="right"/>
    </xf>
    <xf numFmtId="0" fontId="10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67" fontId="1" fillId="0" borderId="0" xfId="3" applyNumberFormat="1" applyFont="1" applyFill="1"/>
    <xf numFmtId="3" fontId="1" fillId="0" borderId="0" xfId="3" applyNumberFormat="1" applyFont="1"/>
    <xf numFmtId="166" fontId="1" fillId="0" borderId="0" xfId="1" applyNumberFormat="1" applyFont="1"/>
    <xf numFmtId="38" fontId="1" fillId="0" borderId="0" xfId="3" applyNumberFormat="1" applyFont="1" applyFill="1"/>
    <xf numFmtId="168" fontId="1" fillId="0" borderId="25" xfId="4" applyNumberFormat="1" applyFont="1" applyFill="1" applyBorder="1"/>
    <xf numFmtId="38" fontId="1" fillId="0" borderId="22" xfId="3" applyNumberFormat="1" applyFont="1" applyBorder="1"/>
    <xf numFmtId="38" fontId="1" fillId="0" borderId="23" xfId="3" applyNumberFormat="1" applyFont="1" applyFill="1" applyBorder="1"/>
    <xf numFmtId="38" fontId="1" fillId="5" borderId="30" xfId="3" applyNumberFormat="1" applyFont="1" applyFill="1" applyBorder="1"/>
    <xf numFmtId="0" fontId="10" fillId="5" borderId="28" xfId="3" applyFont="1" applyFill="1" applyBorder="1"/>
    <xf numFmtId="0" fontId="1" fillId="0" borderId="26" xfId="3" applyFont="1" applyBorder="1"/>
    <xf numFmtId="38" fontId="1" fillId="0" borderId="6" xfId="3" applyNumberFormat="1" applyFont="1" applyBorder="1"/>
    <xf numFmtId="38" fontId="10" fillId="0" borderId="0" xfId="3" applyNumberFormat="1" applyFont="1"/>
    <xf numFmtId="0" fontId="10" fillId="2" borderId="31" xfId="3" applyFont="1" applyFill="1" applyBorder="1"/>
    <xf numFmtId="164" fontId="10" fillId="2" borderId="40" xfId="3" applyNumberFormat="1" applyFont="1" applyFill="1" applyBorder="1"/>
    <xf numFmtId="164" fontId="10" fillId="2" borderId="40" xfId="5" applyNumberFormat="1" applyFont="1" applyFill="1" applyBorder="1"/>
    <xf numFmtId="164" fontId="10" fillId="2" borderId="29" xfId="5" applyNumberFormat="1" applyFont="1" applyFill="1" applyBorder="1"/>
    <xf numFmtId="164" fontId="10" fillId="2" borderId="41" xfId="5" applyNumberFormat="1" applyFont="1" applyFill="1" applyBorder="1"/>
    <xf numFmtId="10" fontId="10" fillId="2" borderId="0" xfId="2" applyNumberFormat="1" applyFont="1" applyFill="1"/>
    <xf numFmtId="0" fontId="10" fillId="2" borderId="0" xfId="3" applyFont="1" applyFill="1"/>
    <xf numFmtId="43" fontId="10" fillId="0" borderId="0" xfId="1" applyFont="1" applyBorder="1"/>
    <xf numFmtId="43" fontId="10" fillId="4" borderId="0" xfId="1" applyFont="1" applyFill="1" applyBorder="1"/>
    <xf numFmtId="164" fontId="10" fillId="0" borderId="0" xfId="3" applyNumberFormat="1" applyFont="1"/>
    <xf numFmtId="43" fontId="1" fillId="0" borderId="0" xfId="1" applyFont="1" applyFill="1"/>
    <xf numFmtId="0" fontId="11" fillId="0" borderId="0" xfId="3" applyFont="1" applyFill="1" applyBorder="1" applyAlignment="1">
      <alignment horizontal="left" vertical="center"/>
    </xf>
    <xf numFmtId="0" fontId="1" fillId="7" borderId="0" xfId="3" applyFont="1" applyFill="1" applyBorder="1" applyAlignment="1">
      <alignment horizontal="left" vertical="center"/>
    </xf>
    <xf numFmtId="38" fontId="1" fillId="0" borderId="43" xfId="3" applyNumberFormat="1" applyFont="1" applyBorder="1"/>
    <xf numFmtId="38" fontId="1" fillId="0" borderId="24" xfId="3" applyNumberFormat="1" applyFont="1" applyBorder="1"/>
    <xf numFmtId="38" fontId="1" fillId="0" borderId="42" xfId="3" applyNumberFormat="1" applyFont="1" applyBorder="1"/>
    <xf numFmtId="38" fontId="1" fillId="5" borderId="42" xfId="3" applyNumberFormat="1" applyFont="1" applyFill="1" applyBorder="1"/>
    <xf numFmtId="43" fontId="12" fillId="4" borderId="0" xfId="1" applyFont="1" applyFill="1"/>
    <xf numFmtId="43" fontId="1" fillId="4" borderId="0" xfId="1" applyFont="1" applyFill="1"/>
    <xf numFmtId="166" fontId="1" fillId="0" borderId="13" xfId="1" applyNumberFormat="1" applyFont="1" applyBorder="1"/>
    <xf numFmtId="6" fontId="1" fillId="0" borderId="22" xfId="3" applyNumberFormat="1" applyFont="1" applyBorder="1"/>
    <xf numFmtId="164" fontId="10" fillId="2" borderId="0" xfId="3" applyNumberFormat="1" applyFont="1" applyFill="1"/>
    <xf numFmtId="43" fontId="11" fillId="0" borderId="0" xfId="1" applyFont="1" applyBorder="1"/>
    <xf numFmtId="0" fontId="1" fillId="0" borderId="0" xfId="3" applyFont="1" applyAlignment="1">
      <alignment vertical="center"/>
    </xf>
    <xf numFmtId="167" fontId="1" fillId="0" borderId="0" xfId="3" applyNumberFormat="1" applyFont="1"/>
    <xf numFmtId="38" fontId="1" fillId="4" borderId="8" xfId="3" applyNumberFormat="1" applyFont="1" applyFill="1" applyBorder="1"/>
    <xf numFmtId="43" fontId="10" fillId="5" borderId="0" xfId="1" applyFont="1" applyFill="1"/>
    <xf numFmtId="166" fontId="10" fillId="0" borderId="0" xfId="1" applyNumberFormat="1" applyFont="1"/>
    <xf numFmtId="0" fontId="10" fillId="2" borderId="29" xfId="3" applyFont="1" applyFill="1" applyBorder="1"/>
    <xf numFmtId="10" fontId="1" fillId="0" borderId="0" xfId="2" applyNumberFormat="1" applyFont="1"/>
    <xf numFmtId="169" fontId="10" fillId="5" borderId="13" xfId="4" applyNumberFormat="1" applyFont="1" applyFill="1" applyBorder="1"/>
    <xf numFmtId="169" fontId="10" fillId="5" borderId="8" xfId="4" applyNumberFormat="1" applyFont="1" applyFill="1" applyBorder="1"/>
    <xf numFmtId="43" fontId="10" fillId="0" borderId="0" xfId="1" applyFont="1"/>
    <xf numFmtId="166" fontId="10" fillId="5" borderId="0" xfId="1" applyNumberFormat="1" applyFont="1" applyFill="1"/>
    <xf numFmtId="6" fontId="10" fillId="0" borderId="8" xfId="3" applyNumberFormat="1" applyFont="1" applyFill="1" applyBorder="1"/>
    <xf numFmtId="0" fontId="1" fillId="0" borderId="25" xfId="3" applyFont="1" applyFill="1" applyBorder="1"/>
    <xf numFmtId="38" fontId="1" fillId="0" borderId="6" xfId="3" applyNumberFormat="1" applyFont="1" applyFill="1" applyBorder="1"/>
    <xf numFmtId="43" fontId="1" fillId="5" borderId="0" xfId="1" applyFont="1" applyFill="1"/>
    <xf numFmtId="10" fontId="10" fillId="2" borderId="0" xfId="3" applyNumberFormat="1" applyFont="1" applyFill="1"/>
    <xf numFmtId="43" fontId="15" fillId="0" borderId="0" xfId="1" applyFont="1" applyBorder="1"/>
    <xf numFmtId="43" fontId="15" fillId="4" borderId="0" xfId="1" applyFont="1" applyFill="1" applyBorder="1"/>
    <xf numFmtId="10" fontId="1" fillId="0" borderId="0" xfId="1" applyNumberFormat="1" applyFont="1"/>
    <xf numFmtId="10" fontId="1" fillId="0" borderId="0" xfId="3" applyNumberFormat="1" applyFont="1"/>
    <xf numFmtId="0" fontId="1" fillId="0" borderId="8" xfId="3" applyFont="1" applyFill="1" applyBorder="1"/>
    <xf numFmtId="6" fontId="1" fillId="0" borderId="8" xfId="3" applyNumberFormat="1" applyFont="1" applyFill="1" applyBorder="1"/>
    <xf numFmtId="38" fontId="1" fillId="0" borderId="42" xfId="3" applyNumberFormat="1" applyFont="1" applyFill="1" applyBorder="1"/>
    <xf numFmtId="0" fontId="10" fillId="5" borderId="20" xfId="3" applyFont="1" applyFill="1" applyBorder="1"/>
    <xf numFmtId="164" fontId="10" fillId="2" borderId="29" xfId="5" applyNumberFormat="1" applyFont="1" applyFill="1" applyBorder="1" applyAlignment="1">
      <alignment horizontal="center"/>
    </xf>
    <xf numFmtId="10" fontId="1" fillId="2" borderId="0" xfId="2" applyNumberFormat="1" applyFont="1" applyFill="1"/>
    <xf numFmtId="170" fontId="1" fillId="0" borderId="0" xfId="3" applyNumberFormat="1" applyFont="1"/>
    <xf numFmtId="0" fontId="1" fillId="0" borderId="24" xfId="3" applyFont="1" applyFill="1" applyBorder="1"/>
    <xf numFmtId="38" fontId="10" fillId="5" borderId="13" xfId="3" applyNumberFormat="1" applyFont="1" applyFill="1" applyBorder="1"/>
    <xf numFmtId="38" fontId="10" fillId="5" borderId="8" xfId="3" applyNumberFormat="1" applyFont="1" applyFill="1" applyBorder="1"/>
    <xf numFmtId="0" fontId="10" fillId="5" borderId="33" xfId="3" applyFont="1" applyFill="1" applyBorder="1"/>
    <xf numFmtId="43" fontId="10" fillId="0" borderId="0" xfId="1" applyFont="1" applyFill="1" applyBorder="1"/>
    <xf numFmtId="6" fontId="1" fillId="0" borderId="4" xfId="3" applyNumberFormat="1" applyFont="1" applyFill="1" applyBorder="1"/>
    <xf numFmtId="6" fontId="1" fillId="0" borderId="25" xfId="3" applyNumberFormat="1" applyFont="1" applyFill="1" applyBorder="1"/>
    <xf numFmtId="166" fontId="1" fillId="0" borderId="0" xfId="1" applyNumberFormat="1" applyFont="1" applyAlignment="1">
      <alignment horizontal="center"/>
    </xf>
    <xf numFmtId="166" fontId="1" fillId="0" borderId="0" xfId="3" applyNumberFormat="1" applyFont="1"/>
    <xf numFmtId="166" fontId="10" fillId="2" borderId="0" xfId="1" applyNumberFormat="1" applyFont="1" applyFill="1"/>
    <xf numFmtId="10" fontId="12" fillId="0" borderId="0" xfId="2" applyNumberFormat="1" applyFont="1"/>
    <xf numFmtId="0" fontId="1" fillId="0" borderId="0" xfId="3" applyFont="1" applyBorder="1" applyAlignment="1">
      <alignment horizontal="center" vertical="top" wrapText="1"/>
    </xf>
    <xf numFmtId="0" fontId="1" fillId="0" borderId="0" xfId="3" applyFont="1" applyFill="1" applyBorder="1" applyAlignment="1">
      <alignment horizontal="center" vertical="top" wrapText="1"/>
    </xf>
    <xf numFmtId="38" fontId="10" fillId="5" borderId="8" xfId="3" applyNumberFormat="1" applyFont="1" applyFill="1" applyBorder="1" applyAlignment="1">
      <alignment horizontal="center"/>
    </xf>
    <xf numFmtId="166" fontId="1" fillId="5" borderId="0" xfId="3" applyNumberFormat="1" applyFont="1" applyFill="1"/>
    <xf numFmtId="38" fontId="1" fillId="7" borderId="38" xfId="3" applyNumberFormat="1" applyFont="1" applyFill="1" applyBorder="1"/>
    <xf numFmtId="166" fontId="10" fillId="0" borderId="0" xfId="1" applyNumberFormat="1" applyFont="1" applyAlignment="1">
      <alignment horizontal="left"/>
    </xf>
    <xf numFmtId="6" fontId="10" fillId="5" borderId="0" xfId="3" applyNumberFormat="1" applyFont="1" applyFill="1" applyBorder="1"/>
    <xf numFmtId="0" fontId="10" fillId="2" borderId="27" xfId="3" applyFont="1" applyFill="1" applyBorder="1"/>
    <xf numFmtId="0" fontId="1" fillId="2" borderId="28" xfId="3" applyFont="1" applyFill="1" applyBorder="1"/>
    <xf numFmtId="165" fontId="1" fillId="0" borderId="0" xfId="3" applyNumberFormat="1" applyFont="1"/>
    <xf numFmtId="38" fontId="1" fillId="8" borderId="13" xfId="3" applyNumberFormat="1" applyFont="1" applyFill="1" applyBorder="1"/>
    <xf numFmtId="166" fontId="4" fillId="0" borderId="29" xfId="1" applyNumberFormat="1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Alignment="1">
      <alignment horizontal="left" vertical="center"/>
    </xf>
    <xf numFmtId="0" fontId="1" fillId="0" borderId="0" xfId="3" applyAlignment="1">
      <alignment horizontal="left"/>
    </xf>
    <xf numFmtId="0" fontId="1" fillId="0" borderId="0" xfId="3" applyFont="1" applyAlignment="1">
      <alignment horizontal="left"/>
    </xf>
    <xf numFmtId="0" fontId="10" fillId="0" borderId="0" xfId="3" applyFont="1"/>
    <xf numFmtId="43" fontId="1" fillId="0" borderId="0" xfId="1" applyFont="1" applyBorder="1" applyAlignment="1"/>
    <xf numFmtId="0" fontId="1" fillId="0" borderId="0" xfId="3" applyFont="1" applyAlignment="1"/>
    <xf numFmtId="43" fontId="1" fillId="0" borderId="0" xfId="1" applyFont="1" applyBorder="1" applyAlignment="1">
      <alignment horizontal="left"/>
    </xf>
    <xf numFmtId="0" fontId="1" fillId="0" borderId="0" xfId="3" applyFill="1" applyAlignment="1"/>
    <xf numFmtId="0" fontId="1" fillId="0" borderId="0" xfId="3" applyFont="1" applyFill="1" applyAlignment="1"/>
    <xf numFmtId="0" fontId="1" fillId="7" borderId="0" xfId="3" applyFont="1" applyFill="1" applyBorder="1" applyAlignment="1"/>
    <xf numFmtId="0" fontId="1" fillId="0" borderId="0" xfId="3" applyFill="1" applyAlignment="1">
      <alignment horizontal="left" vertical="center"/>
    </xf>
    <xf numFmtId="0" fontId="1" fillId="0" borderId="0" xfId="3" applyFill="1" applyAlignment="1">
      <alignment horizontal="left"/>
    </xf>
    <xf numFmtId="0" fontId="1" fillId="0" borderId="0" xfId="3" applyFont="1" applyFill="1" applyAlignment="1">
      <alignment horizontal="left"/>
    </xf>
    <xf numFmtId="43" fontId="1" fillId="0" borderId="0" xfId="1" applyFont="1" applyFill="1" applyBorder="1" applyAlignment="1"/>
    <xf numFmtId="43" fontId="11" fillId="0" borderId="0" xfId="1" applyFont="1" applyFill="1" applyBorder="1" applyAlignment="1"/>
    <xf numFmtId="0" fontId="11" fillId="0" borderId="0" xfId="3" applyFont="1" applyFill="1" applyAlignment="1">
      <alignment horizontal="left"/>
    </xf>
    <xf numFmtId="166" fontId="1" fillId="0" borderId="0" xfId="1" applyNumberFormat="1" applyFont="1" applyFill="1" applyBorder="1" applyAlignment="1">
      <alignment horizontal="left"/>
    </xf>
    <xf numFmtId="0" fontId="1" fillId="4" borderId="15" xfId="3" applyFont="1" applyFill="1" applyBorder="1" applyAlignment="1"/>
    <xf numFmtId="0" fontId="1" fillId="4" borderId="26" xfId="3" applyFont="1" applyFill="1" applyBorder="1" applyAlignment="1"/>
    <xf numFmtId="6" fontId="4" fillId="0" borderId="13" xfId="3" applyNumberFormat="1" applyFont="1" applyFill="1" applyBorder="1" applyAlignment="1">
      <alignment vertical="center"/>
    </xf>
    <xf numFmtId="0" fontId="14" fillId="9" borderId="45" xfId="0" applyFont="1" applyFill="1" applyBorder="1"/>
    <xf numFmtId="0" fontId="20" fillId="9" borderId="34" xfId="0" applyFont="1" applyFill="1" applyBorder="1"/>
    <xf numFmtId="0" fontId="20" fillId="9" borderId="5" xfId="0" applyFont="1" applyFill="1" applyBorder="1"/>
    <xf numFmtId="0" fontId="21" fillId="9" borderId="26" xfId="0" applyFont="1" applyFill="1" applyBorder="1" applyAlignment="1">
      <alignment wrapText="1"/>
    </xf>
    <xf numFmtId="0" fontId="10" fillId="3" borderId="0" xfId="3" applyFont="1" applyFill="1"/>
    <xf numFmtId="0" fontId="1" fillId="3" borderId="0" xfId="3" applyFont="1" applyFill="1"/>
    <xf numFmtId="0" fontId="10" fillId="9" borderId="5" xfId="3" applyFont="1" applyFill="1" applyBorder="1"/>
    <xf numFmtId="0" fontId="19" fillId="9" borderId="26" xfId="3" applyFont="1" applyFill="1" applyBorder="1" applyAlignment="1">
      <alignment wrapText="1"/>
    </xf>
    <xf numFmtId="0" fontId="10" fillId="9" borderId="45" xfId="3" applyFont="1" applyFill="1" applyBorder="1"/>
    <xf numFmtId="0" fontId="1" fillId="9" borderId="34" xfId="3" applyFont="1" applyFill="1" applyBorder="1"/>
    <xf numFmtId="0" fontId="9" fillId="9" borderId="26" xfId="3" applyFont="1" applyFill="1" applyBorder="1" applyAlignment="1">
      <alignment wrapText="1"/>
    </xf>
    <xf numFmtId="0" fontId="1" fillId="9" borderId="34" xfId="3" applyFont="1" applyFill="1" applyBorder="1" applyAlignment="1">
      <alignment wrapText="1"/>
    </xf>
    <xf numFmtId="0" fontId="20" fillId="3" borderId="43" xfId="0" applyFont="1" applyFill="1" applyBorder="1"/>
    <xf numFmtId="0" fontId="21" fillId="3" borderId="10" xfId="0" applyFont="1" applyFill="1" applyBorder="1" applyAlignment="1">
      <alignment wrapText="1"/>
    </xf>
    <xf numFmtId="9" fontId="1" fillId="3" borderId="10" xfId="2" applyFont="1" applyFill="1" applyBorder="1"/>
    <xf numFmtId="9" fontId="1" fillId="3" borderId="24" xfId="2" applyFont="1" applyFill="1" applyBorder="1"/>
    <xf numFmtId="0" fontId="10" fillId="3" borderId="43" xfId="3" applyFont="1" applyFill="1" applyBorder="1"/>
    <xf numFmtId="0" fontId="1" fillId="3" borderId="10" xfId="3" applyFont="1" applyFill="1" applyBorder="1"/>
    <xf numFmtId="43" fontId="1" fillId="3" borderId="10" xfId="1" applyFont="1" applyFill="1" applyBorder="1"/>
    <xf numFmtId="166" fontId="1" fillId="3" borderId="10" xfId="1" applyNumberFormat="1" applyFont="1" applyFill="1" applyBorder="1"/>
    <xf numFmtId="43" fontId="1" fillId="3" borderId="24" xfId="1" applyFont="1" applyFill="1" applyBorder="1"/>
    <xf numFmtId="166" fontId="1" fillId="0" borderId="22" xfId="1" applyNumberFormat="1" applyFont="1" applyFill="1" applyBorder="1"/>
    <xf numFmtId="0" fontId="1" fillId="3" borderId="43" xfId="3" applyFont="1" applyFill="1" applyBorder="1"/>
    <xf numFmtId="0" fontId="1" fillId="3" borderId="24" xfId="3" applyFont="1" applyFill="1" applyBorder="1"/>
    <xf numFmtId="0" fontId="1" fillId="9" borderId="13" xfId="3" applyFont="1" applyFill="1" applyBorder="1"/>
    <xf numFmtId="3" fontId="1" fillId="0" borderId="13" xfId="3" applyNumberFormat="1" applyFont="1" applyFill="1" applyBorder="1"/>
    <xf numFmtId="0" fontId="10" fillId="9" borderId="43" xfId="3" applyFont="1" applyFill="1" applyBorder="1"/>
    <xf numFmtId="0" fontId="1" fillId="9" borderId="24" xfId="3" applyFont="1" applyFill="1" applyBorder="1"/>
    <xf numFmtId="166" fontId="1" fillId="3" borderId="0" xfId="1" applyNumberFormat="1" applyFont="1" applyFill="1"/>
    <xf numFmtId="165" fontId="1" fillId="3" borderId="0" xfId="1" applyNumberFormat="1" applyFont="1" applyFill="1"/>
    <xf numFmtId="43" fontId="1" fillId="3" borderId="0" xfId="1" applyFont="1" applyFill="1"/>
    <xf numFmtId="43" fontId="10" fillId="3" borderId="0" xfId="1" applyFont="1" applyFill="1"/>
    <xf numFmtId="0" fontId="1" fillId="9" borderId="4" xfId="3" applyFont="1" applyFill="1" applyBorder="1"/>
    <xf numFmtId="3" fontId="1" fillId="3" borderId="10" xfId="3" applyNumberFormat="1" applyFont="1" applyFill="1" applyBorder="1" applyAlignment="1">
      <alignment horizontal="right"/>
    </xf>
    <xf numFmtId="0" fontId="1" fillId="3" borderId="10" xfId="3" applyFont="1" applyFill="1" applyBorder="1" applyAlignment="1">
      <alignment horizontal="right"/>
    </xf>
    <xf numFmtId="0" fontId="1" fillId="3" borderId="24" xfId="3" applyFont="1" applyFill="1" applyBorder="1" applyAlignment="1">
      <alignment horizontal="right"/>
    </xf>
    <xf numFmtId="166" fontId="1" fillId="3" borderId="24" xfId="1" applyNumberFormat="1" applyFont="1" applyFill="1" applyBorder="1"/>
    <xf numFmtId="3" fontId="1" fillId="0" borderId="13" xfId="3" applyNumberFormat="1" applyFont="1" applyBorder="1"/>
    <xf numFmtId="9" fontId="4" fillId="0" borderId="13" xfId="3" applyNumberFormat="1" applyFont="1" applyBorder="1" applyAlignment="1">
      <alignment vertical="center"/>
    </xf>
    <xf numFmtId="164" fontId="7" fillId="0" borderId="13" xfId="3" applyNumberFormat="1" applyFont="1" applyBorder="1" applyAlignment="1">
      <alignment vertical="center"/>
    </xf>
    <xf numFmtId="9" fontId="7" fillId="0" borderId="13" xfId="3" applyNumberFormat="1" applyFont="1" applyBorder="1" applyAlignment="1">
      <alignment vertical="center"/>
    </xf>
    <xf numFmtId="0" fontId="1" fillId="5" borderId="27" xfId="3" applyFont="1" applyFill="1" applyBorder="1"/>
    <xf numFmtId="0" fontId="22" fillId="0" borderId="4" xfId="3" applyFont="1" applyFill="1" applyBorder="1" applyAlignment="1">
      <alignment horizontal="center" vertical="center"/>
    </xf>
    <xf numFmtId="0" fontId="22" fillId="0" borderId="5" xfId="3" applyFont="1" applyFill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23" fillId="0" borderId="8" xfId="3" applyFont="1" applyFill="1" applyBorder="1" applyAlignment="1">
      <alignment horizontal="center" vertical="center"/>
    </xf>
    <xf numFmtId="10" fontId="4" fillId="10" borderId="8" xfId="3" applyNumberFormat="1" applyFont="1" applyFill="1" applyBorder="1" applyAlignment="1">
      <alignment horizontal="center" vertical="center"/>
    </xf>
    <xf numFmtId="0" fontId="4" fillId="10" borderId="8" xfId="3" applyFont="1" applyFill="1" applyBorder="1" applyAlignment="1">
      <alignment horizontal="center" vertical="center"/>
    </xf>
    <xf numFmtId="0" fontId="4" fillId="10" borderId="30" xfId="3" applyFont="1" applyFill="1" applyBorder="1" applyAlignment="1">
      <alignment horizontal="center" vertical="center"/>
    </xf>
    <xf numFmtId="0" fontId="5" fillId="12" borderId="3" xfId="3" applyFont="1" applyFill="1" applyBorder="1" applyAlignment="1">
      <alignment horizontal="left" vertical="center"/>
    </xf>
    <xf numFmtId="0" fontId="5" fillId="12" borderId="7" xfId="3" applyFont="1" applyFill="1" applyBorder="1" applyAlignment="1">
      <alignment horizontal="left" vertical="center" wrapText="1"/>
    </xf>
    <xf numFmtId="0" fontId="24" fillId="11" borderId="1" xfId="3" applyFont="1" applyFill="1" applyBorder="1" applyAlignment="1">
      <alignment vertical="center"/>
    </xf>
    <xf numFmtId="0" fontId="25" fillId="11" borderId="2" xfId="3" applyFont="1" applyFill="1" applyBorder="1" applyAlignment="1">
      <alignment horizontal="center" vertical="center"/>
    </xf>
    <xf numFmtId="0" fontId="25" fillId="11" borderId="44" xfId="3" applyFont="1" applyFill="1" applyBorder="1" applyAlignment="1">
      <alignment horizontal="center" vertical="center"/>
    </xf>
    <xf numFmtId="0" fontId="5" fillId="12" borderId="12" xfId="3" applyFont="1" applyFill="1" applyBorder="1" applyAlignment="1">
      <alignment vertical="center"/>
    </xf>
    <xf numFmtId="0" fontId="5" fillId="12" borderId="14" xfId="3" applyFont="1" applyFill="1" applyBorder="1" applyAlignment="1">
      <alignment vertical="center"/>
    </xf>
    <xf numFmtId="0" fontId="5" fillId="12" borderId="15" xfId="3" applyFont="1" applyFill="1" applyBorder="1" applyAlignment="1">
      <alignment vertical="center" wrapText="1"/>
    </xf>
    <xf numFmtId="0" fontId="5" fillId="12" borderId="12" xfId="3" applyFont="1" applyFill="1" applyBorder="1" applyAlignment="1">
      <alignment vertical="center" wrapText="1"/>
    </xf>
    <xf numFmtId="0" fontId="5" fillId="12" borderId="31" xfId="3" applyFont="1" applyFill="1" applyBorder="1" applyAlignment="1">
      <alignment vertical="center" wrapText="1"/>
    </xf>
    <xf numFmtId="0" fontId="26" fillId="11" borderId="18" xfId="3" applyFont="1" applyFill="1" applyBorder="1" applyAlignment="1">
      <alignment horizontal="center" vertical="top" wrapText="1"/>
    </xf>
    <xf numFmtId="0" fontId="26" fillId="11" borderId="19" xfId="3" applyFont="1" applyFill="1" applyBorder="1" applyAlignment="1">
      <alignment horizontal="center" vertical="top" wrapText="1"/>
    </xf>
    <xf numFmtId="164" fontId="27" fillId="11" borderId="18" xfId="3" applyNumberFormat="1" applyFont="1" applyFill="1" applyBorder="1"/>
    <xf numFmtId="164" fontId="27" fillId="11" borderId="19" xfId="3" applyNumberFormat="1" applyFont="1" applyFill="1" applyBorder="1"/>
    <xf numFmtId="0" fontId="27" fillId="11" borderId="4" xfId="3" applyFont="1" applyFill="1" applyBorder="1" applyAlignment="1">
      <alignment horizontal="center" vertical="top" wrapText="1"/>
    </xf>
    <xf numFmtId="0" fontId="27" fillId="11" borderId="25" xfId="3" applyFont="1" applyFill="1" applyBorder="1" applyAlignment="1">
      <alignment horizontal="center" vertical="top" wrapText="1"/>
    </xf>
    <xf numFmtId="164" fontId="27" fillId="11" borderId="32" xfId="3" applyNumberFormat="1" applyFont="1" applyFill="1" applyBorder="1"/>
    <xf numFmtId="0" fontId="9" fillId="0" borderId="0" xfId="3" applyFont="1" applyFill="1" applyBorder="1" applyAlignment="1">
      <alignment horizontal="left" vertical="center"/>
    </xf>
    <xf numFmtId="0" fontId="9" fillId="0" borderId="0" xfId="3" applyFont="1" applyFill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19" fillId="0" borderId="0" xfId="3" applyFont="1" applyFill="1" applyBorder="1" applyAlignment="1">
      <alignment horizontal="left" vertical="center"/>
    </xf>
    <xf numFmtId="0" fontId="19" fillId="0" borderId="0" xfId="3" applyFont="1" applyFill="1" applyBorder="1" applyAlignment="1">
      <alignment vertical="center"/>
    </xf>
    <xf numFmtId="0" fontId="28" fillId="0" borderId="0" xfId="3" applyFont="1" applyFill="1" applyBorder="1" applyAlignment="1">
      <alignment horizontal="left" vertical="center" wrapText="1"/>
    </xf>
    <xf numFmtId="0" fontId="29" fillId="0" borderId="0" xfId="3" applyFont="1" applyFill="1" applyBorder="1" applyAlignment="1">
      <alignment horizontal="left" vertical="center"/>
    </xf>
    <xf numFmtId="0" fontId="27" fillId="11" borderId="22" xfId="3" applyFont="1" applyFill="1" applyBorder="1" applyAlignment="1">
      <alignment horizontal="center" vertical="top" wrapText="1"/>
    </xf>
    <xf numFmtId="0" fontId="27" fillId="11" borderId="23" xfId="3" applyFont="1" applyFill="1" applyBorder="1" applyAlignment="1">
      <alignment horizontal="center" vertical="top" wrapText="1"/>
    </xf>
    <xf numFmtId="0" fontId="27" fillId="11" borderId="4" xfId="3" applyFont="1" applyFill="1" applyBorder="1" applyAlignment="1">
      <alignment horizontal="center" vertical="top" wrapText="1"/>
    </xf>
    <xf numFmtId="0" fontId="27" fillId="11" borderId="25" xfId="3" applyFont="1" applyFill="1" applyBorder="1" applyAlignment="1">
      <alignment horizontal="center" vertical="top" wrapText="1"/>
    </xf>
    <xf numFmtId="0" fontId="11" fillId="0" borderId="0" xfId="3" applyFont="1" applyFill="1" applyAlignment="1">
      <alignment wrapText="1"/>
    </xf>
    <xf numFmtId="0" fontId="27" fillId="11" borderId="4" xfId="3" applyFont="1" applyFill="1" applyBorder="1" applyAlignment="1">
      <alignment horizontal="center" vertical="top" wrapText="1"/>
    </xf>
    <xf numFmtId="0" fontId="27" fillId="11" borderId="25" xfId="3" applyFont="1" applyFill="1" applyBorder="1" applyAlignment="1">
      <alignment horizontal="center" vertical="top" wrapText="1"/>
    </xf>
    <xf numFmtId="38" fontId="1" fillId="0" borderId="43" xfId="3" applyNumberFormat="1" applyFont="1" applyFill="1" applyBorder="1"/>
    <xf numFmtId="6" fontId="1" fillId="0" borderId="23" xfId="3" applyNumberFormat="1" applyFont="1" applyBorder="1"/>
    <xf numFmtId="164" fontId="10" fillId="2" borderId="30" xfId="5" applyNumberFormat="1" applyFont="1" applyFill="1" applyBorder="1"/>
    <xf numFmtId="6" fontId="10" fillId="5" borderId="8" xfId="3" applyNumberFormat="1" applyFont="1" applyFill="1" applyBorder="1" applyAlignment="1">
      <alignment horizontal="center"/>
    </xf>
    <xf numFmtId="0" fontId="10" fillId="0" borderId="20" xfId="3" applyFont="1" applyBorder="1"/>
    <xf numFmtId="43" fontId="10" fillId="0" borderId="46" xfId="1" applyFont="1" applyBorder="1"/>
    <xf numFmtId="0" fontId="1" fillId="0" borderId="20" xfId="3" applyFont="1" applyFill="1" applyBorder="1"/>
    <xf numFmtId="43" fontId="1" fillId="0" borderId="46" xfId="1" applyFont="1" applyFill="1" applyBorder="1"/>
    <xf numFmtId="0" fontId="1" fillId="0" borderId="0" xfId="3" applyFill="1" applyBorder="1" applyAlignment="1">
      <alignment horizontal="left" vertical="center"/>
    </xf>
    <xf numFmtId="0" fontId="1" fillId="0" borderId="0" xfId="3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1" fillId="0" borderId="38" xfId="3" applyFont="1" applyBorder="1"/>
    <xf numFmtId="0" fontId="1" fillId="4" borderId="38" xfId="3" applyFont="1" applyFill="1" applyBorder="1"/>
    <xf numFmtId="0" fontId="1" fillId="0" borderId="6" xfId="3" applyFont="1" applyFill="1" applyBorder="1"/>
    <xf numFmtId="164" fontId="10" fillId="2" borderId="30" xfId="3" applyNumberFormat="1" applyFont="1" applyFill="1" applyBorder="1"/>
    <xf numFmtId="38" fontId="1" fillId="4" borderId="42" xfId="3" applyNumberFormat="1" applyFont="1" applyFill="1" applyBorder="1"/>
    <xf numFmtId="0" fontId="10" fillId="9" borderId="45" xfId="3" applyFont="1" applyFill="1" applyBorder="1"/>
    <xf numFmtId="0" fontId="27" fillId="11" borderId="4" xfId="3" applyFont="1" applyFill="1" applyBorder="1" applyAlignment="1">
      <alignment horizontal="center" vertical="top" wrapText="1"/>
    </xf>
    <xf numFmtId="0" fontId="27" fillId="11" borderId="25" xfId="3" applyFont="1" applyFill="1" applyBorder="1" applyAlignment="1">
      <alignment horizontal="center" vertical="top" wrapText="1"/>
    </xf>
    <xf numFmtId="0" fontId="1" fillId="4" borderId="16" xfId="3" applyFont="1" applyFill="1" applyBorder="1" applyAlignment="1"/>
    <xf numFmtId="0" fontId="1" fillId="4" borderId="17" xfId="3" applyFont="1" applyFill="1" applyBorder="1" applyAlignment="1"/>
    <xf numFmtId="0" fontId="27" fillId="11" borderId="22" xfId="3" applyFont="1" applyFill="1" applyBorder="1" applyAlignment="1">
      <alignment horizontal="center" vertical="top" wrapText="1"/>
    </xf>
    <xf numFmtId="38" fontId="1" fillId="0" borderId="11" xfId="3" applyNumberFormat="1" applyFont="1" applyFill="1" applyBorder="1"/>
    <xf numFmtId="3" fontId="1" fillId="0" borderId="0" xfId="3" applyNumberFormat="1" applyFont="1" applyFill="1" applyBorder="1" applyAlignment="1">
      <alignment horizontal="right"/>
    </xf>
    <xf numFmtId="164" fontId="14" fillId="11" borderId="18" xfId="3" applyNumberFormat="1" applyFont="1" applyFill="1" applyBorder="1"/>
    <xf numFmtId="0" fontId="1" fillId="11" borderId="18" xfId="3" applyFont="1" applyFill="1" applyBorder="1" applyAlignment="1">
      <alignment horizontal="center" vertical="top" wrapText="1"/>
    </xf>
    <xf numFmtId="0" fontId="1" fillId="0" borderId="0" xfId="3" applyFont="1" applyFill="1" applyBorder="1" applyAlignment="1"/>
    <xf numFmtId="0" fontId="27" fillId="11" borderId="4" xfId="3" applyFont="1" applyFill="1" applyBorder="1" applyAlignment="1">
      <alignment horizontal="center" vertical="top" wrapText="1"/>
    </xf>
    <xf numFmtId="0" fontId="15" fillId="11" borderId="18" xfId="3" applyFont="1" applyFill="1" applyBorder="1" applyAlignment="1">
      <alignment horizontal="center" vertical="top" wrapText="1"/>
    </xf>
    <xf numFmtId="0" fontId="27" fillId="11" borderId="4" xfId="3" applyFont="1" applyFill="1" applyBorder="1" applyAlignment="1">
      <alignment horizontal="center" vertical="top" wrapText="1"/>
    </xf>
    <xf numFmtId="6" fontId="1" fillId="0" borderId="22" xfId="3" applyNumberFormat="1" applyFont="1" applyFill="1" applyBorder="1"/>
    <xf numFmtId="0" fontId="1" fillId="0" borderId="0" xfId="3" applyFont="1" applyFill="1" applyBorder="1" applyAlignment="1">
      <alignment horizontal="right"/>
    </xf>
    <xf numFmtId="0" fontId="10" fillId="9" borderId="45" xfId="3" applyFont="1" applyFill="1" applyBorder="1"/>
    <xf numFmtId="0" fontId="27" fillId="11" borderId="4" xfId="3" applyFont="1" applyFill="1" applyBorder="1" applyAlignment="1">
      <alignment horizontal="center" vertical="top" wrapText="1"/>
    </xf>
    <xf numFmtId="0" fontId="27" fillId="11" borderId="25" xfId="3" applyFont="1" applyFill="1" applyBorder="1" applyAlignment="1">
      <alignment horizontal="center" vertical="top" wrapText="1"/>
    </xf>
    <xf numFmtId="0" fontId="1" fillId="11" borderId="19" xfId="3" applyFont="1" applyFill="1" applyBorder="1" applyAlignment="1">
      <alignment horizontal="center" vertical="top" wrapText="1"/>
    </xf>
    <xf numFmtId="0" fontId="13" fillId="11" borderId="19" xfId="3" applyFont="1" applyFill="1" applyBorder="1" applyAlignment="1">
      <alignment horizontal="center" vertical="top" wrapText="1"/>
    </xf>
    <xf numFmtId="0" fontId="10" fillId="0" borderId="47" xfId="3" applyFont="1" applyBorder="1"/>
    <xf numFmtId="0" fontId="1" fillId="0" borderId="38" xfId="3" applyFont="1" applyFill="1" applyBorder="1"/>
    <xf numFmtId="0" fontId="1" fillId="0" borderId="12" xfId="3" applyFont="1" applyBorder="1"/>
    <xf numFmtId="0" fontId="1" fillId="5" borderId="31" xfId="3" applyFont="1" applyFill="1" applyBorder="1"/>
    <xf numFmtId="166" fontId="1" fillId="0" borderId="0" xfId="1" applyNumberFormat="1" applyFont="1" applyFill="1"/>
    <xf numFmtId="0" fontId="27" fillId="11" borderId="4" xfId="3" applyFont="1" applyFill="1" applyBorder="1" applyAlignment="1">
      <alignment horizontal="center" vertical="top" wrapText="1"/>
    </xf>
    <xf numFmtId="0" fontId="27" fillId="11" borderId="4" xfId="3" applyFont="1" applyFill="1" applyBorder="1" applyAlignment="1">
      <alignment horizontal="center" vertical="top" wrapText="1"/>
    </xf>
    <xf numFmtId="0" fontId="27" fillId="11" borderId="4" xfId="3" applyFont="1" applyFill="1" applyBorder="1" applyAlignment="1">
      <alignment horizontal="center" vertical="top" wrapText="1"/>
    </xf>
    <xf numFmtId="0" fontId="5" fillId="3" borderId="9" xfId="3" applyFont="1" applyFill="1" applyBorder="1" applyAlignment="1">
      <alignment vertical="center"/>
    </xf>
    <xf numFmtId="0" fontId="5" fillId="3" borderId="10" xfId="3" applyFont="1" applyFill="1" applyBorder="1" applyAlignment="1">
      <alignment vertical="center"/>
    </xf>
    <xf numFmtId="0" fontId="5" fillId="3" borderId="11" xfId="3" applyFont="1" applyFill="1" applyBorder="1" applyAlignment="1">
      <alignment vertical="center"/>
    </xf>
    <xf numFmtId="0" fontId="30" fillId="0" borderId="0" xfId="3" applyFont="1" applyBorder="1" applyAlignment="1">
      <alignment horizontal="center" vertical="center" wrapText="1"/>
    </xf>
    <xf numFmtId="0" fontId="31" fillId="0" borderId="0" xfId="3" applyFont="1" applyAlignment="1"/>
    <xf numFmtId="0" fontId="2" fillId="0" borderId="0" xfId="3" applyFont="1" applyBorder="1" applyAlignment="1">
      <alignment horizontal="center" vertical="center" wrapText="1"/>
    </xf>
    <xf numFmtId="0" fontId="1" fillId="0" borderId="0" xfId="3" applyAlignment="1"/>
    <xf numFmtId="0" fontId="9" fillId="0" borderId="16" xfId="3" applyFont="1" applyBorder="1" applyAlignment="1">
      <alignment vertical="top" wrapText="1"/>
    </xf>
    <xf numFmtId="0" fontId="1" fillId="0" borderId="17" xfId="3" applyFont="1" applyBorder="1" applyAlignment="1">
      <alignment vertical="top" wrapText="1"/>
    </xf>
    <xf numFmtId="0" fontId="1" fillId="0" borderId="20" xfId="3" applyFont="1" applyBorder="1" applyAlignment="1">
      <alignment vertical="top" wrapText="1"/>
    </xf>
    <xf numFmtId="0" fontId="1" fillId="0" borderId="21" xfId="3" applyFont="1" applyBorder="1" applyAlignment="1">
      <alignment vertical="top" wrapText="1"/>
    </xf>
    <xf numFmtId="0" fontId="27" fillId="11" borderId="22" xfId="3" applyFont="1" applyFill="1" applyBorder="1" applyAlignment="1">
      <alignment horizontal="center" vertical="top" wrapText="1"/>
    </xf>
    <xf numFmtId="0" fontId="1" fillId="0" borderId="0" xfId="3" applyFont="1" applyFill="1" applyBorder="1" applyAlignment="1">
      <alignment horizontal="left" vertical="center" wrapText="1"/>
    </xf>
    <xf numFmtId="0" fontId="27" fillId="11" borderId="23" xfId="3" applyFont="1" applyFill="1" applyBorder="1" applyAlignment="1">
      <alignment horizontal="center" vertical="top" wrapText="1"/>
    </xf>
    <xf numFmtId="0" fontId="27" fillId="11" borderId="4" xfId="3" applyFont="1" applyFill="1" applyBorder="1" applyAlignment="1">
      <alignment horizontal="center" vertical="top" wrapText="1"/>
    </xf>
    <xf numFmtId="0" fontId="10" fillId="0" borderId="16" xfId="3" applyFont="1" applyBorder="1" applyAlignment="1">
      <alignment horizontal="center"/>
    </xf>
    <xf numFmtId="0" fontId="10" fillId="0" borderId="17" xfId="3" applyFont="1" applyBorder="1" applyAlignment="1">
      <alignment horizontal="center"/>
    </xf>
    <xf numFmtId="0" fontId="10" fillId="0" borderId="15" xfId="3" applyFont="1" applyBorder="1" applyAlignment="1">
      <alignment horizontal="center"/>
    </xf>
    <xf numFmtId="0" fontId="10" fillId="0" borderId="26" xfId="3" applyFont="1" applyBorder="1" applyAlignment="1">
      <alignment horizontal="center"/>
    </xf>
    <xf numFmtId="0" fontId="10" fillId="9" borderId="45" xfId="3" applyFont="1" applyFill="1" applyBorder="1" applyAlignment="1">
      <alignment horizontal="left" wrapText="1"/>
    </xf>
    <xf numFmtId="0" fontId="10" fillId="9" borderId="34" xfId="3" applyFont="1" applyFill="1" applyBorder="1" applyAlignment="1">
      <alignment horizontal="left" wrapText="1"/>
    </xf>
    <xf numFmtId="0" fontId="10" fillId="9" borderId="45" xfId="3" applyFont="1" applyFill="1" applyBorder="1"/>
    <xf numFmtId="0" fontId="10" fillId="9" borderId="34" xfId="3" applyFont="1" applyFill="1" applyBorder="1"/>
    <xf numFmtId="43" fontId="1" fillId="0" borderId="13" xfId="1" applyFont="1" applyFill="1" applyBorder="1" applyAlignment="1">
      <alignment horizontal="center" vertical="center"/>
    </xf>
    <xf numFmtId="9" fontId="10" fillId="0" borderId="13" xfId="2" applyFont="1" applyFill="1" applyBorder="1" applyAlignment="1">
      <alignment horizontal="center" vertical="center"/>
    </xf>
    <xf numFmtId="2" fontId="1" fillId="0" borderId="35" xfId="2" applyNumberFormat="1" applyFont="1" applyFill="1" applyBorder="1" applyAlignment="1">
      <alignment horizontal="center" vertical="center"/>
    </xf>
    <xf numFmtId="2" fontId="1" fillId="0" borderId="4" xfId="2" applyNumberFormat="1" applyFont="1" applyFill="1" applyBorder="1" applyAlignment="1">
      <alignment horizontal="center" vertical="center"/>
    </xf>
    <xf numFmtId="0" fontId="1" fillId="0" borderId="16" xfId="3" applyFont="1" applyBorder="1" applyAlignment="1"/>
    <xf numFmtId="0" fontId="1" fillId="0" borderId="17" xfId="3" applyFont="1" applyBorder="1" applyAlignment="1"/>
    <xf numFmtId="0" fontId="1" fillId="0" borderId="15" xfId="3" applyFont="1" applyBorder="1" applyAlignment="1"/>
    <xf numFmtId="0" fontId="1" fillId="0" borderId="26" xfId="3" applyFont="1" applyBorder="1" applyAlignment="1"/>
    <xf numFmtId="9" fontId="10" fillId="0" borderId="35" xfId="2" applyFont="1" applyFill="1" applyBorder="1" applyAlignment="1">
      <alignment horizontal="center" vertical="center"/>
    </xf>
    <xf numFmtId="9" fontId="10" fillId="0" borderId="4" xfId="2" applyFont="1" applyFill="1" applyBorder="1" applyAlignment="1">
      <alignment horizontal="center" vertical="center"/>
    </xf>
    <xf numFmtId="0" fontId="27" fillId="11" borderId="25" xfId="3" applyFont="1" applyFill="1" applyBorder="1" applyAlignment="1">
      <alignment horizontal="center" vertical="top" wrapText="1"/>
    </xf>
    <xf numFmtId="0" fontId="11" fillId="0" borderId="0" xfId="3" applyFont="1" applyFill="1" applyAlignment="1">
      <alignment wrapText="1"/>
    </xf>
  </cellXfs>
  <cellStyles count="10">
    <cellStyle name="Budget" xfId="9" xr:uid="{00000000-0005-0000-0000-000000000000}"/>
    <cellStyle name="Comma" xfId="1" builtinId="3"/>
    <cellStyle name="Comma 2 2" xfId="8" xr:uid="{00000000-0005-0000-0000-000002000000}"/>
    <cellStyle name="Currency 2" xfId="4" xr:uid="{00000000-0005-0000-0000-000003000000}"/>
    <cellStyle name="Normal" xfId="0" builtinId="0"/>
    <cellStyle name="Normal 2" xfId="3" xr:uid="{00000000-0005-0000-0000-000005000000}"/>
    <cellStyle name="Normal 4" xfId="7" xr:uid="{00000000-0005-0000-0000-000006000000}"/>
    <cellStyle name="Normal 6" xfId="6" xr:uid="{00000000-0005-0000-0000-000007000000}"/>
    <cellStyle name="Percent" xfId="2" builtinId="5"/>
    <cellStyle name="Percent 2" xfId="5" xr:uid="{00000000-0005-0000-0000-00000B000000}"/>
  </cellStyles>
  <dxfs count="37"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3.png"/><Relationship Id="rId1" Type="http://schemas.openxmlformats.org/officeDocument/2006/relationships/image" Target="../media/image14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74</xdr:row>
      <xdr:rowOff>76200</xdr:rowOff>
    </xdr:from>
    <xdr:to>
      <xdr:col>1</xdr:col>
      <xdr:colOff>1781175</xdr:colOff>
      <xdr:row>75</xdr:row>
      <xdr:rowOff>876300</xdr:rowOff>
    </xdr:to>
    <xdr:pic>
      <xdr:nvPicPr>
        <xdr:cNvPr id="2" name="Picture 12" descr="cdfa_logo_4colo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19100" y="13868400"/>
          <a:ext cx="1704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0</xdr:row>
      <xdr:rowOff>57150</xdr:rowOff>
    </xdr:from>
    <xdr:to>
      <xdr:col>1</xdr:col>
      <xdr:colOff>1762125</xdr:colOff>
      <xdr:row>2</xdr:row>
      <xdr:rowOff>685800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5715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74</xdr:row>
      <xdr:rowOff>76200</xdr:rowOff>
    </xdr:from>
    <xdr:to>
      <xdr:col>1</xdr:col>
      <xdr:colOff>1733550</xdr:colOff>
      <xdr:row>75</xdr:row>
      <xdr:rowOff>847725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3868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74</xdr:row>
      <xdr:rowOff>66675</xdr:rowOff>
    </xdr:from>
    <xdr:to>
      <xdr:col>1</xdr:col>
      <xdr:colOff>1685925</xdr:colOff>
      <xdr:row>75</xdr:row>
      <xdr:rowOff>885825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9349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4" name="Picture 7" descr="cdfa_logo_4colo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74</xdr:row>
      <xdr:rowOff>95250</xdr:rowOff>
    </xdr:from>
    <xdr:to>
      <xdr:col>1</xdr:col>
      <xdr:colOff>1685925</xdr:colOff>
      <xdr:row>75</xdr:row>
      <xdr:rowOff>857250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308735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85725</xdr:rowOff>
    </xdr:from>
    <xdr:to>
      <xdr:col>1</xdr:col>
      <xdr:colOff>1609725</xdr:colOff>
      <xdr:row>2</xdr:row>
      <xdr:rowOff>628650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71475" y="85725"/>
          <a:ext cx="15811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66675</xdr:rowOff>
    </xdr:from>
    <xdr:to>
      <xdr:col>1</xdr:col>
      <xdr:colOff>1657350</xdr:colOff>
      <xdr:row>2</xdr:row>
      <xdr:rowOff>695325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74</xdr:row>
      <xdr:rowOff>76200</xdr:rowOff>
    </xdr:from>
    <xdr:to>
      <xdr:col>1</xdr:col>
      <xdr:colOff>1638300</xdr:colOff>
      <xdr:row>75</xdr:row>
      <xdr:rowOff>866775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9730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285750</xdr:colOff>
      <xdr:row>111</xdr:row>
      <xdr:rowOff>0</xdr:rowOff>
    </xdr:from>
    <xdr:to>
      <xdr:col>1</xdr:col>
      <xdr:colOff>2232871</xdr:colOff>
      <xdr:row>111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85750" y="19812000"/>
          <a:ext cx="2290021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Social Media</a:t>
          </a:r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 eaLnBrk="1" fontAlgn="auto" latinLnBrk="0" hangingPunct="1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57150</xdr:rowOff>
    </xdr:from>
    <xdr:to>
      <xdr:col>1</xdr:col>
      <xdr:colOff>1762125</xdr:colOff>
      <xdr:row>2</xdr:row>
      <xdr:rowOff>561975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81000" y="57150"/>
          <a:ext cx="17240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74</xdr:row>
      <xdr:rowOff>19050</xdr:rowOff>
    </xdr:from>
    <xdr:to>
      <xdr:col>1</xdr:col>
      <xdr:colOff>1724025</xdr:colOff>
      <xdr:row>75</xdr:row>
      <xdr:rowOff>723900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868275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0</xdr:row>
      <xdr:rowOff>85725</xdr:rowOff>
    </xdr:from>
    <xdr:to>
      <xdr:col>1</xdr:col>
      <xdr:colOff>1762125</xdr:colOff>
      <xdr:row>2</xdr:row>
      <xdr:rowOff>714375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857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74</xdr:row>
      <xdr:rowOff>95250</xdr:rowOff>
    </xdr:from>
    <xdr:to>
      <xdr:col>1</xdr:col>
      <xdr:colOff>1714500</xdr:colOff>
      <xdr:row>75</xdr:row>
      <xdr:rowOff>866775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30206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236220</xdr:colOff>
      <xdr:row>111</xdr:row>
      <xdr:rowOff>0</xdr:rowOff>
    </xdr:from>
    <xdr:to>
      <xdr:col>1</xdr:col>
      <xdr:colOff>2137247</xdr:colOff>
      <xdr:row>111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36220" y="19754850"/>
          <a:ext cx="224392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57150</xdr:rowOff>
    </xdr:from>
    <xdr:to>
      <xdr:col>1</xdr:col>
      <xdr:colOff>1762125</xdr:colOff>
      <xdr:row>2</xdr:row>
      <xdr:rowOff>561975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81000" y="57150"/>
          <a:ext cx="17240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123825</xdr:rowOff>
    </xdr:from>
    <xdr:to>
      <xdr:col>1</xdr:col>
      <xdr:colOff>1666875</xdr:colOff>
      <xdr:row>2</xdr:row>
      <xdr:rowOff>752475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38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74</xdr:row>
      <xdr:rowOff>133350</xdr:rowOff>
    </xdr:from>
    <xdr:to>
      <xdr:col>1</xdr:col>
      <xdr:colOff>1724025</xdr:colOff>
      <xdr:row>75</xdr:row>
      <xdr:rowOff>904875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106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188594</xdr:colOff>
      <xdr:row>111</xdr:row>
      <xdr:rowOff>0</xdr:rowOff>
    </xdr:from>
    <xdr:to>
      <xdr:col>1</xdr:col>
      <xdr:colOff>2137293</xdr:colOff>
      <xdr:row>111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88594" y="19926300"/>
          <a:ext cx="2291599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Social Media</a:t>
          </a:r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 eaLnBrk="1" fontAlgn="auto" latinLnBrk="0" hangingPunct="1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74</xdr:row>
      <xdr:rowOff>57150</xdr:rowOff>
    </xdr:from>
    <xdr:to>
      <xdr:col>1</xdr:col>
      <xdr:colOff>1724025</xdr:colOff>
      <xdr:row>75</xdr:row>
      <xdr:rowOff>762000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3201650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74</xdr:row>
      <xdr:rowOff>57150</xdr:rowOff>
    </xdr:from>
    <xdr:to>
      <xdr:col>1</xdr:col>
      <xdr:colOff>1676400</xdr:colOff>
      <xdr:row>75</xdr:row>
      <xdr:rowOff>828675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320165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160019</xdr:colOff>
      <xdr:row>111</xdr:row>
      <xdr:rowOff>0</xdr:rowOff>
    </xdr:from>
    <xdr:to>
      <xdr:col>1</xdr:col>
      <xdr:colOff>2232666</xdr:colOff>
      <xdr:row>111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60019" y="20021550"/>
          <a:ext cx="241554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0</xdr:rowOff>
    </xdr:from>
    <xdr:to>
      <xdr:col>1</xdr:col>
      <xdr:colOff>1733550</xdr:colOff>
      <xdr:row>0</xdr:row>
      <xdr:rowOff>0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95300" y="0"/>
          <a:ext cx="1581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57200" y="57150"/>
          <a:ext cx="15811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75</xdr:row>
      <xdr:rowOff>0</xdr:rowOff>
    </xdr:from>
    <xdr:to>
      <xdr:col>1</xdr:col>
      <xdr:colOff>1724025</xdr:colOff>
      <xdr:row>75</xdr:row>
      <xdr:rowOff>762000</xdr:rowOff>
    </xdr:to>
    <xdr:pic>
      <xdr:nvPicPr>
        <xdr:cNvPr id="4" name="Picture 10" descr="cdfa_logo_4color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1</xdr:col>
      <xdr:colOff>1666875</xdr:colOff>
      <xdr:row>2</xdr:row>
      <xdr:rowOff>714375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57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74</xdr:row>
      <xdr:rowOff>47625</xdr:rowOff>
    </xdr:from>
    <xdr:to>
      <xdr:col>1</xdr:col>
      <xdr:colOff>1685925</xdr:colOff>
      <xdr:row>75</xdr:row>
      <xdr:rowOff>819150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111</xdr:row>
      <xdr:rowOff>0</xdr:rowOff>
    </xdr:from>
    <xdr:to>
      <xdr:col>1</xdr:col>
      <xdr:colOff>2183240</xdr:colOff>
      <xdr:row>111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171450" y="19916775"/>
          <a:ext cx="2354690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66675</xdr:rowOff>
    </xdr:from>
    <xdr:to>
      <xdr:col>1</xdr:col>
      <xdr:colOff>1724025</xdr:colOff>
      <xdr:row>2</xdr:row>
      <xdr:rowOff>533400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66675"/>
          <a:ext cx="1657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75</xdr:row>
      <xdr:rowOff>0</xdr:rowOff>
    </xdr:from>
    <xdr:to>
      <xdr:col>1</xdr:col>
      <xdr:colOff>1724025</xdr:colOff>
      <xdr:row>75</xdr:row>
      <xdr:rowOff>762000</xdr:rowOff>
    </xdr:to>
    <xdr:pic>
      <xdr:nvPicPr>
        <xdr:cNvPr id="16" name="Picture 10" descr="cdfa_logo_4color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74</xdr:row>
      <xdr:rowOff>47625</xdr:rowOff>
    </xdr:from>
    <xdr:to>
      <xdr:col>1</xdr:col>
      <xdr:colOff>1685925</xdr:colOff>
      <xdr:row>75</xdr:row>
      <xdr:rowOff>819150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18" name="Picture 7" descr="cdfa_logo_4color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Gaap\CAFR%202005\Agency%20Responses\Employment%20Development%20Department\Department%20of%20Health%20Serv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2008-09\GAAP\AGENCY%20REQUESTS\Department%20of%20Health%20Serv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Gaap\CAFR%202005\Agency%20Requests%20Sent\Department%20of%20Health%20Serv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7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N11" sqref="N11"/>
    </sheetView>
  </sheetViews>
  <sheetFormatPr defaultRowHeight="12.75"/>
  <cols>
    <col min="1" max="1" width="58.7109375" style="4" customWidth="1"/>
    <col min="2" max="6" width="14" style="4" customWidth="1"/>
    <col min="7" max="10" width="15.5703125" style="4" customWidth="1"/>
    <col min="11" max="11" width="11.42578125" style="4" customWidth="1"/>
    <col min="12" max="16384" width="9.140625" style="4"/>
  </cols>
  <sheetData>
    <row r="1" spans="1:12" s="2" customFormat="1" ht="24.95" customHeight="1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80"/>
    </row>
    <row r="2" spans="1:12" s="2" customFormat="1" ht="24.95" customHeight="1">
      <c r="A2" s="381" t="s">
        <v>1</v>
      </c>
      <c r="B2" s="381"/>
      <c r="C2" s="381"/>
      <c r="D2" s="381"/>
      <c r="E2" s="381"/>
      <c r="F2" s="381"/>
      <c r="G2" s="381"/>
      <c r="H2" s="381"/>
      <c r="I2" s="381"/>
      <c r="J2" s="381"/>
      <c r="K2" s="382"/>
    </row>
    <row r="3" spans="1:12" ht="24.95" customHeight="1" thickBo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s="5" customFormat="1" ht="30" customHeight="1" thickBot="1">
      <c r="A4" s="302"/>
      <c r="B4" s="303" t="s">
        <v>2</v>
      </c>
      <c r="C4" s="303" t="s">
        <v>3</v>
      </c>
      <c r="D4" s="303" t="s">
        <v>4</v>
      </c>
      <c r="E4" s="303" t="s">
        <v>5</v>
      </c>
      <c r="F4" s="303" t="s">
        <v>6</v>
      </c>
      <c r="G4" s="303" t="s">
        <v>7</v>
      </c>
      <c r="H4" s="303" t="s">
        <v>8</v>
      </c>
      <c r="I4" s="303" t="s">
        <v>9</v>
      </c>
      <c r="J4" s="303" t="s">
        <v>10</v>
      </c>
      <c r="K4" s="304" t="s">
        <v>11</v>
      </c>
    </row>
    <row r="5" spans="1:12" s="5" customFormat="1" ht="30" customHeight="1">
      <c r="A5" s="300" t="s">
        <v>12</v>
      </c>
      <c r="B5" s="6">
        <v>12</v>
      </c>
      <c r="C5" s="6">
        <v>9</v>
      </c>
      <c r="D5" s="6">
        <v>14</v>
      </c>
      <c r="E5" s="6">
        <v>14</v>
      </c>
      <c r="F5" s="6">
        <v>8</v>
      </c>
      <c r="G5" s="6">
        <v>6</v>
      </c>
      <c r="H5" s="6">
        <v>4</v>
      </c>
      <c r="I5" s="6">
        <v>5</v>
      </c>
      <c r="J5" s="7">
        <v>5</v>
      </c>
      <c r="K5" s="295">
        <f>SUM(B5:J5)</f>
        <v>77</v>
      </c>
    </row>
    <row r="6" spans="1:12" s="8" customFormat="1" ht="37.5" customHeight="1">
      <c r="A6" s="301" t="s">
        <v>218</v>
      </c>
      <c r="B6" s="293">
        <v>12</v>
      </c>
      <c r="C6" s="293">
        <v>8</v>
      </c>
      <c r="D6" s="293">
        <v>14</v>
      </c>
      <c r="E6" s="293">
        <v>14</v>
      </c>
      <c r="F6" s="293">
        <v>8</v>
      </c>
      <c r="G6" s="293">
        <v>6</v>
      </c>
      <c r="H6" s="293">
        <v>3</v>
      </c>
      <c r="I6" s="293">
        <v>5</v>
      </c>
      <c r="J6" s="294">
        <v>5</v>
      </c>
      <c r="K6" s="296">
        <f>SUM(B6:J6)</f>
        <v>75</v>
      </c>
    </row>
    <row r="7" spans="1:12" s="5" customFormat="1" ht="9" customHeight="1">
      <c r="A7" s="376"/>
      <c r="B7" s="377"/>
      <c r="C7" s="377"/>
      <c r="D7" s="377"/>
      <c r="E7" s="377"/>
      <c r="F7" s="377"/>
      <c r="G7" s="377"/>
      <c r="H7" s="377"/>
      <c r="I7" s="377"/>
      <c r="J7" s="377"/>
      <c r="K7" s="378"/>
    </row>
    <row r="8" spans="1:12" s="5" customFormat="1" ht="30" customHeight="1">
      <c r="A8" s="305" t="s">
        <v>13</v>
      </c>
      <c r="B8" s="9">
        <f>AVERAGE('Class 1'!C59:N59)</f>
        <v>86046.833333333328</v>
      </c>
      <c r="C8" s="9">
        <f>AVERAGE('Class 2'!C59:K59)</f>
        <v>154932.55555555556</v>
      </c>
      <c r="D8" s="9">
        <f>AVERAGE('Class 3'!C59:P59)</f>
        <v>447742.28571428574</v>
      </c>
      <c r="E8" s="9">
        <f>AVERAGE('Class 3+'!C59:P59)</f>
        <v>574741.38428571424</v>
      </c>
      <c r="F8" s="9">
        <f>AVERAGE('Class 4'!C59:J59)</f>
        <v>227657</v>
      </c>
      <c r="G8" s="9">
        <f>AVERAGE('Class 4+'!C59:H59)</f>
        <v>-73400.166666666672</v>
      </c>
      <c r="H8" s="9">
        <f>AVERAGE('Class 5'!C59:F59)</f>
        <v>706692.32250000001</v>
      </c>
      <c r="I8" s="9">
        <f>AVERAGE('Class 6'!C59:G59)</f>
        <v>1711000.4</v>
      </c>
      <c r="J8" s="9">
        <f>AVERAGE('Class 7'!C59:G59)</f>
        <v>10973957</v>
      </c>
      <c r="K8" s="297"/>
    </row>
    <row r="9" spans="1:12" s="5" customFormat="1" ht="30" customHeight="1">
      <c r="A9" s="306" t="s">
        <v>15</v>
      </c>
      <c r="B9" s="290">
        <f>AVERAGE('Class 1'!C63:N63)</f>
        <v>-7.6106231205631161E-2</v>
      </c>
      <c r="C9" s="10">
        <f>AVERAGE('Class 2'!C63:K63)</f>
        <v>0.22143970647909031</v>
      </c>
      <c r="D9" s="10">
        <f>AVERAGE('Class 3'!C63:P63)</f>
        <v>0.45144988865784802</v>
      </c>
      <c r="E9" s="10">
        <f>AVERAGE('Class 3+'!C63:P63)</f>
        <v>0.39894548693228515</v>
      </c>
      <c r="F9" s="10">
        <f>AVERAGE('Class 4'!C63:J63)</f>
        <v>0.11336186188462789</v>
      </c>
      <c r="G9" s="11">
        <f>AVERAGE('Class 4+'!C63:H63)</f>
        <v>-1.7706807334375563E-2</v>
      </c>
      <c r="H9" s="10">
        <f>AVERAGE('Class 5'!C63:F63)</f>
        <v>3.3113493991317764</v>
      </c>
      <c r="I9" s="10">
        <f>AVERAGE('Class 6'!C63:G63)</f>
        <v>0.19213684836251871</v>
      </c>
      <c r="J9" s="10">
        <f>AVERAGE('Class 7'!C63:G63)</f>
        <v>0.29053311446734331</v>
      </c>
      <c r="K9" s="298"/>
    </row>
    <row r="10" spans="1:12" s="5" customFormat="1" ht="30" customHeight="1">
      <c r="A10" s="305" t="s">
        <v>16</v>
      </c>
      <c r="B10" s="12">
        <f>MAX('Class 1'!C59:N59)</f>
        <v>650877</v>
      </c>
      <c r="C10" s="12">
        <f>MAX('Class 2'!C59:K59)</f>
        <v>425969</v>
      </c>
      <c r="D10" s="12">
        <f>MAX('Class 3'!C59:P59)</f>
        <v>2161551</v>
      </c>
      <c r="E10" s="12">
        <f>MAX('Class 3+'!C59:P59)</f>
        <v>2023230.42</v>
      </c>
      <c r="F10" s="12">
        <f>MAX('Class 4'!C59:J59)</f>
        <v>664934</v>
      </c>
      <c r="G10" s="12">
        <f>MAX('Class 4+'!C59:H59)</f>
        <v>299492</v>
      </c>
      <c r="H10" s="12">
        <f>MAX('Class 5'!C59:F59)</f>
        <v>2322087</v>
      </c>
      <c r="I10" s="12">
        <f>MAX('Class 6'!C59:G59)</f>
        <v>5033330</v>
      </c>
      <c r="J10" s="12">
        <f>MAX('Class 7'!C59:G59)</f>
        <v>31412944</v>
      </c>
      <c r="K10" s="298"/>
    </row>
    <row r="11" spans="1:12" s="5" customFormat="1" ht="30" customHeight="1">
      <c r="A11" s="305" t="s">
        <v>17</v>
      </c>
      <c r="B11" s="10">
        <f>MAX('Class 1'!C63:N63)</f>
        <v>1.3785853168803772</v>
      </c>
      <c r="C11" s="10">
        <f>MAX('Class 2'!C63:K63)</f>
        <v>0.69576061479660589</v>
      </c>
      <c r="D11" s="10">
        <f>MAX('Class 3'!C63:P63)</f>
        <v>1.9374344008167239</v>
      </c>
      <c r="E11" s="10">
        <f>MAX('Class 3+'!C63:P63)</f>
        <v>1.087664896203844</v>
      </c>
      <c r="F11" s="10">
        <f>MAX('Class 4'!C63:J63)</f>
        <v>0.41954848316591792</v>
      </c>
      <c r="G11" s="10">
        <f>MAX('Class 4+'!C63:H63)</f>
        <v>0.13117973812408401</v>
      </c>
      <c r="H11" s="10">
        <f>MAX('Class 5'!C63:F63)</f>
        <v>12.957583811096788</v>
      </c>
      <c r="I11" s="10">
        <f>MAX('Class 6'!C63:G63)</f>
        <v>0.64588945838411693</v>
      </c>
      <c r="J11" s="10">
        <f>MAX('Class 7'!C63:G63)</f>
        <v>1.0151585714253859</v>
      </c>
      <c r="K11" s="298"/>
    </row>
    <row r="12" spans="1:12" s="5" customFormat="1" ht="30" customHeight="1">
      <c r="A12" s="305" t="s">
        <v>18</v>
      </c>
      <c r="B12" s="9">
        <f>MIN('Class 1'!C59:N59)</f>
        <v>-751898</v>
      </c>
      <c r="C12" s="9">
        <f>MIN('Class 2'!C59:K59)</f>
        <v>-111076</v>
      </c>
      <c r="D12" s="9">
        <f>MIN('Class 3'!C59:P59)</f>
        <v>-153031</v>
      </c>
      <c r="E12" s="9">
        <f>MIN('Class 3+'!C59:P59)</f>
        <v>-29723</v>
      </c>
      <c r="F12" s="9">
        <f>MIN('Class 4'!C59:J59)</f>
        <v>-54772</v>
      </c>
      <c r="G12" s="9">
        <f>MIN('Class 4+'!C59:H59)</f>
        <v>-361088</v>
      </c>
      <c r="H12" s="12">
        <f>MIN('Class 5'!C59:F59)</f>
        <v>-202941</v>
      </c>
      <c r="I12" s="12">
        <f>MIN('Class 6'!C59:G59)</f>
        <v>-696358</v>
      </c>
      <c r="J12" s="13">
        <f>MIN('Class 7'!C59:G59)</f>
        <v>-1676508</v>
      </c>
      <c r="K12" s="298"/>
    </row>
    <row r="13" spans="1:12" s="5" customFormat="1" ht="30" customHeight="1">
      <c r="A13" s="305" t="s">
        <v>19</v>
      </c>
      <c r="B13" s="11">
        <f>MIN('Class 1'!C63:N63)</f>
        <v>-2.8799247980497076</v>
      </c>
      <c r="C13" s="11">
        <f>MIN('Class 2'!C63:K63)</f>
        <v>-0.24113512128830014</v>
      </c>
      <c r="D13" s="11">
        <f>MIN('Class 3'!C63:P63)</f>
        <v>-0.17132413445660388</v>
      </c>
      <c r="E13" s="10">
        <f>MIN('Class 3+'!C63:P63)</f>
        <v>-3.0792325072803238E-2</v>
      </c>
      <c r="F13" s="11">
        <f>MIN('Class 4'!C63:J63)</f>
        <v>-2.5115588475222592E-2</v>
      </c>
      <c r="G13" s="11">
        <f>MIN('Class 4+'!C63:H63)</f>
        <v>-0.16122727907980861</v>
      </c>
      <c r="H13" s="10">
        <f>MIN('Class 5'!C63:F63)</f>
        <v>-3.2691818225751887E-2</v>
      </c>
      <c r="I13" s="10">
        <f>MIN('Class 6'!C63:G63)</f>
        <v>-7.3962070803729643E-2</v>
      </c>
      <c r="J13" s="11">
        <f>MIN('Class 7'!C63:G63)</f>
        <v>-6.6576090787354519E-2</v>
      </c>
      <c r="K13" s="298"/>
    </row>
    <row r="14" spans="1:12" ht="8.25" customHeight="1">
      <c r="A14" s="376"/>
      <c r="B14" s="377"/>
      <c r="C14" s="377"/>
      <c r="D14" s="377"/>
      <c r="E14" s="377"/>
      <c r="F14" s="377"/>
      <c r="G14" s="377"/>
      <c r="H14" s="377"/>
      <c r="I14" s="377"/>
      <c r="J14" s="377"/>
      <c r="K14" s="378"/>
    </row>
    <row r="15" spans="1:12" ht="35.25" customHeight="1">
      <c r="A15" s="307" t="s">
        <v>20</v>
      </c>
      <c r="B15" s="14">
        <f>AVERAGE('Class 1'!C31:N31)</f>
        <v>379857.33333333331</v>
      </c>
      <c r="C15" s="14">
        <f>AVERAGE('Class 2'!C31:K31)</f>
        <v>533953.2144444444</v>
      </c>
      <c r="D15" s="14">
        <f>AVERAGE('Class 3'!C31:P31)</f>
        <v>900775.11428571423</v>
      </c>
      <c r="E15" s="14">
        <f>AVERAGE('Class 3+'!C31:P31)</f>
        <v>1517614.4064285716</v>
      </c>
      <c r="F15" s="14">
        <f>AVERAGE('Class 4'!C31:J31)</f>
        <v>2182316.5</v>
      </c>
      <c r="G15" s="14">
        <f>AVERAGE('Class 4+'!C31:H31)</f>
        <v>3657990.1666666665</v>
      </c>
      <c r="H15" s="14">
        <f>AVERAGE('Class 5'!C31:F31)</f>
        <v>5763349.2125000004</v>
      </c>
      <c r="I15" s="14">
        <f>AVERAGE('Class 6'!C31:G31)</f>
        <v>9721010.1999999993</v>
      </c>
      <c r="J15" s="14">
        <f>AVERAGE('Class 7'!C31:G31)</f>
        <v>47658262</v>
      </c>
      <c r="K15" s="298"/>
      <c r="L15" s="15"/>
    </row>
    <row r="16" spans="1:12" ht="35.25" customHeight="1">
      <c r="A16" s="307" t="s">
        <v>21</v>
      </c>
      <c r="B16" s="14">
        <f>AVERAGE('Class 1'!C51:N51)</f>
        <v>459308.25</v>
      </c>
      <c r="C16" s="14">
        <f>AVERAGE('Class 2'!C51:K51)</f>
        <v>659353.04333333345</v>
      </c>
      <c r="D16" s="14">
        <f>AVERAGE('Class 3'!C51:P51)</f>
        <v>894726.89357142861</v>
      </c>
      <c r="E16" s="14">
        <f>AVERAGE('Class 3+'!C51:P51)</f>
        <v>1388797.1721428572</v>
      </c>
      <c r="F16" s="14">
        <f>AVERAGE('Class 4'!C51:J51)</f>
        <v>2089116</v>
      </c>
      <c r="G16" s="14">
        <f>AVERAGE('Class 4+'!C51:H51)</f>
        <v>3617154.3333333335</v>
      </c>
      <c r="H16" s="14">
        <f>AVERAGE('Class 5'!C51:F51)</f>
        <v>5435214.7475000005</v>
      </c>
      <c r="I16" s="14">
        <f>AVERAGE('Class 6'!C51:G51)</f>
        <v>9441885</v>
      </c>
      <c r="J16" s="14">
        <f>AVERAGE('Class 7'!C51:G51)</f>
        <v>43553789.600000001</v>
      </c>
      <c r="K16" s="298"/>
      <c r="L16" s="15"/>
    </row>
    <row r="17" spans="1:12" ht="35.25" customHeight="1">
      <c r="A17" s="307" t="s">
        <v>22</v>
      </c>
      <c r="B17" s="14">
        <f>AVERAGE('Class 1'!C54:N54)</f>
        <v>-79450.916666666672</v>
      </c>
      <c r="C17" s="14">
        <f>AVERAGE('Class 2'!C54:K54)</f>
        <v>-125399.82888888891</v>
      </c>
      <c r="D17" s="14">
        <f>AVERAGE('Class 3'!C54:P54)</f>
        <v>6048.2207142857123</v>
      </c>
      <c r="E17" s="14">
        <f>AVERAGE('Class 3+'!C54:P54)</f>
        <v>128817.23428571431</v>
      </c>
      <c r="F17" s="14">
        <f>AVERAGE('Class 4'!C54:J54)</f>
        <v>93200.5</v>
      </c>
      <c r="G17" s="14">
        <f>AVERAGE('Class 4+'!C54:H54)</f>
        <v>40835.833333333336</v>
      </c>
      <c r="H17" s="14">
        <f>AVERAGE('Class 5'!C54:F54)</f>
        <v>328134.46499999997</v>
      </c>
      <c r="I17" s="14">
        <f>AVERAGE('Class 6'!C54:G54)</f>
        <v>279125.2</v>
      </c>
      <c r="J17" s="14">
        <f>AVERAGE('Class 7'!C54:G54)</f>
        <v>4104472.4</v>
      </c>
      <c r="K17" s="298"/>
      <c r="L17" s="15"/>
    </row>
    <row r="18" spans="1:12" ht="35.25" customHeight="1">
      <c r="A18" s="307" t="s">
        <v>23</v>
      </c>
      <c r="B18" s="14">
        <f>AVERAGE('Class 1'!C55:N55)</f>
        <v>-130864.33333333333</v>
      </c>
      <c r="C18" s="14">
        <f>AVERAGE('Class 2'!C55:K55)</f>
        <v>-192690.14777777778</v>
      </c>
      <c r="D18" s="14">
        <f>AVERAGE('Class 3'!C55:P55)</f>
        <v>-65896.212857142862</v>
      </c>
      <c r="E18" s="14">
        <f>AVERAGE('Class 3+'!C55:P55)</f>
        <v>-5526.0378571428428</v>
      </c>
      <c r="F18" s="14">
        <f>AVERAGE('Class 4'!C55:J55)</f>
        <v>-46151</v>
      </c>
      <c r="G18" s="14">
        <f>AVERAGE('Class 4+'!C55:H55)</f>
        <v>-151052.83333333334</v>
      </c>
      <c r="H18" s="14">
        <f>AVERAGE('Class 5'!C55:F55)</f>
        <v>-256041.02249999996</v>
      </c>
      <c r="I18" s="14">
        <f>AVERAGE('Class 6'!C55:G55)</f>
        <v>-388041.2</v>
      </c>
      <c r="J18" s="14">
        <f>AVERAGE('Class 7'!C55:G55)</f>
        <v>1445528.2</v>
      </c>
      <c r="K18" s="298"/>
      <c r="L18" s="15"/>
    </row>
    <row r="19" spans="1:12" ht="31.5" customHeight="1">
      <c r="A19" s="307" t="s">
        <v>24</v>
      </c>
      <c r="B19" s="14">
        <f>AVERAGE('Class 1'!C56:N56)</f>
        <v>-27538.5</v>
      </c>
      <c r="C19" s="14">
        <f>AVERAGE('Class 2'!C56:K56)</f>
        <v>-13693.051111111134</v>
      </c>
      <c r="D19" s="14">
        <f>AVERAGE('Class 3'!C56:P56)</f>
        <v>65549.863571428563</v>
      </c>
      <c r="E19" s="14">
        <f>AVERAGE('Class 3+'!C56:P56)</f>
        <v>239863.66285714289</v>
      </c>
      <c r="F19" s="14">
        <f>AVERAGE('Class 4'!C56:J56)</f>
        <v>166036.625</v>
      </c>
      <c r="G19" s="14">
        <f>AVERAGE('Class 4+'!C56:H56)</f>
        <v>143500.66666666666</v>
      </c>
      <c r="H19" s="14">
        <f>AVERAGE('Class 5'!C56:F56)</f>
        <v>333284.46499999997</v>
      </c>
      <c r="I19" s="14">
        <f>AVERAGE('Class 6'!C56:G56)</f>
        <v>345195.2</v>
      </c>
      <c r="J19" s="14">
        <f>AVERAGE('Class 7'!C56:G56)</f>
        <v>4289321.2</v>
      </c>
      <c r="K19" s="298"/>
    </row>
    <row r="20" spans="1:12" ht="35.25" customHeight="1">
      <c r="A20" s="307" t="s">
        <v>25</v>
      </c>
      <c r="B20" s="14">
        <f>AVERAGE('Class 1'!C57:N57)</f>
        <v>-78951.916666666672</v>
      </c>
      <c r="C20" s="14">
        <f>AVERAGE('Class 2'!C57:K57)</f>
        <v>-80983.370000000024</v>
      </c>
      <c r="D20" s="14">
        <f>AVERAGE('Class 3'!C57:P57)</f>
        <v>-6394.5700000000024</v>
      </c>
      <c r="E20" s="14">
        <f>AVERAGE('Class 3+'!C57:P57)</f>
        <v>105520.39071428574</v>
      </c>
      <c r="F20" s="14">
        <f>AVERAGE('Class 4'!C57:J57)</f>
        <v>26685.125</v>
      </c>
      <c r="G20" s="14">
        <f>AVERAGE('Class 4+'!C57:H57)</f>
        <v>-48388</v>
      </c>
      <c r="H20" s="14">
        <f>AVERAGE('Class 5'!C57:F57)</f>
        <v>-250891.02249999996</v>
      </c>
      <c r="I20" s="14">
        <f>AVERAGE('Class 6'!C57:G57)</f>
        <v>-321971.20000000001</v>
      </c>
      <c r="J20" s="14">
        <f>AVERAGE('Class 7'!C57:G57)</f>
        <v>1630377</v>
      </c>
      <c r="K20" s="298"/>
      <c r="L20" s="15"/>
    </row>
    <row r="21" spans="1:12" ht="35.25" customHeight="1">
      <c r="A21" s="307" t="s">
        <v>224</v>
      </c>
      <c r="B21" s="291">
        <f>AVERAGE('Class 1'!C114:N114)</f>
        <v>-1.8830789413412796</v>
      </c>
      <c r="C21" s="289">
        <f>AVERAGE('Class 2'!C114:K114)</f>
        <v>-0.26419307046616375</v>
      </c>
      <c r="D21" s="289">
        <f>AVERAGE('Class 3'!C114:P114)</f>
        <v>-1.7614994791404492E-2</v>
      </c>
      <c r="E21" s="289">
        <f>AVERAGE('Class 3+'!C114:P114)</f>
        <v>6.2324063608791294E-2</v>
      </c>
      <c r="F21" s="289">
        <f>AVERAGE('Class 4'!C114:J114)</f>
        <v>4.3201801358901837E-2</v>
      </c>
      <c r="G21" s="289">
        <f>AVERAGE('Class 4+'!C114:H114)</f>
        <v>6.454131412396185E-3</v>
      </c>
      <c r="H21" s="289">
        <f>AVERAGE('Class 5'!C114:F114)</f>
        <v>0.2222349510093283</v>
      </c>
      <c r="I21" s="289">
        <f>AVERAGE('Class 6'!C114:G114)</f>
        <v>2.9206091195683619E-2</v>
      </c>
      <c r="J21" s="289">
        <f>AVERAGE('Class 7'!C114:G114)</f>
        <v>9.1263184979893067E-2</v>
      </c>
      <c r="K21" s="298"/>
      <c r="L21" s="15"/>
    </row>
    <row r="22" spans="1:12" ht="8.25" customHeight="1">
      <c r="A22" s="376"/>
      <c r="B22" s="377"/>
      <c r="C22" s="377"/>
      <c r="D22" s="377"/>
      <c r="E22" s="377"/>
      <c r="F22" s="377"/>
      <c r="G22" s="377"/>
      <c r="H22" s="377"/>
      <c r="I22" s="377"/>
      <c r="J22" s="377"/>
      <c r="K22" s="378"/>
    </row>
    <row r="23" spans="1:12" ht="35.25" customHeight="1">
      <c r="A23" s="308" t="s">
        <v>219</v>
      </c>
      <c r="B23" s="250">
        <f>AVERAGE('Class 1'!C101:N101)</f>
        <v>9190.4166666666661</v>
      </c>
      <c r="C23" s="250">
        <f>AVERAGE('Class 2'!C101:K101)</f>
        <v>13996.724444444444</v>
      </c>
      <c r="D23" s="250">
        <f>AVERAGE('Class 3'!C101:P101)</f>
        <v>22469.915714285715</v>
      </c>
      <c r="E23" s="250">
        <f>AVERAGE('Class 3+'!C101:P101)</f>
        <v>26236.600000000002</v>
      </c>
      <c r="F23" s="250">
        <f>AVERAGE('Class 4'!C101:J101)</f>
        <v>86492.75</v>
      </c>
      <c r="G23" s="250">
        <f>AVERAGE('Class 4+'!C101:H101)</f>
        <v>80790</v>
      </c>
      <c r="H23" s="250">
        <f>AVERAGE('Class 5'!C101:F101)</f>
        <v>227936.25</v>
      </c>
      <c r="I23" s="250">
        <f>AVERAGE('Class 6'!C101:G101)</f>
        <v>190657.6</v>
      </c>
      <c r="J23" s="250">
        <f>AVERAGE('Class 7'!C101:G101)</f>
        <v>1088138</v>
      </c>
      <c r="K23" s="298"/>
      <c r="L23" s="15"/>
    </row>
    <row r="24" spans="1:12" ht="8.25" customHeight="1">
      <c r="A24" s="376"/>
      <c r="B24" s="377"/>
      <c r="C24" s="377"/>
      <c r="D24" s="377"/>
      <c r="E24" s="377"/>
      <c r="F24" s="377"/>
      <c r="G24" s="377"/>
      <c r="H24" s="377"/>
      <c r="I24" s="377"/>
      <c r="J24" s="377"/>
      <c r="K24" s="378"/>
    </row>
    <row r="25" spans="1:12" ht="30" customHeight="1">
      <c r="A25" s="308" t="s">
        <v>26</v>
      </c>
      <c r="B25" s="16">
        <f>AVERAGE('Class 1'!C128:N128)</f>
        <v>1.9166666666666667</v>
      </c>
      <c r="C25" s="16">
        <f>AVERAGE('Class 2'!C128:K128)</f>
        <v>2</v>
      </c>
      <c r="D25" s="16">
        <f>AVERAGE('Class 3'!C128:P128)</f>
        <v>2.6428571428571428</v>
      </c>
      <c r="E25" s="16">
        <f>AVERAGE('Class 3+'!C128:P128)</f>
        <v>4.3571428571428568</v>
      </c>
      <c r="F25" s="16">
        <f>AVERAGE('Class 4'!C128:J128)</f>
        <v>7.75</v>
      </c>
      <c r="G25" s="16">
        <f>AVERAGE('Class 4+'!C128:H128)</f>
        <v>12.666666666666666</v>
      </c>
      <c r="H25" s="16">
        <f>AVERAGE('Class 5'!C128:F128)</f>
        <v>25.25</v>
      </c>
      <c r="I25" s="16">
        <f>AVERAGE('Class 6'!C128:G128)</f>
        <v>26</v>
      </c>
      <c r="J25" s="16">
        <f>AVERAGE('Class 7'!C128:G128)</f>
        <v>376.2</v>
      </c>
      <c r="K25" s="298"/>
    </row>
    <row r="26" spans="1:12" ht="8.25" customHeight="1">
      <c r="A26" s="376"/>
      <c r="B26" s="377"/>
      <c r="C26" s="377"/>
      <c r="D26" s="377"/>
      <c r="E26" s="377"/>
      <c r="F26" s="377"/>
      <c r="G26" s="377"/>
      <c r="H26" s="377"/>
      <c r="I26" s="377"/>
      <c r="J26" s="377"/>
      <c r="K26" s="378"/>
    </row>
    <row r="27" spans="1:12" ht="30" customHeight="1">
      <c r="A27" s="308" t="s">
        <v>27</v>
      </c>
      <c r="B27" s="17">
        <f>AVERAGE('Class 1'!C130:N130)</f>
        <v>12859.875</v>
      </c>
      <c r="C27" s="17">
        <f>AVERAGE('Class 2'!C130:K130)</f>
        <v>11912</v>
      </c>
      <c r="D27" s="17">
        <f>AVERAGE('Class 3'!C130:P130)</f>
        <v>17105.285714285714</v>
      </c>
      <c r="E27" s="17">
        <f>AVERAGE('Class 3+'!C130:P130)</f>
        <v>32010.357142857141</v>
      </c>
      <c r="F27" s="17">
        <f>AVERAGE('Class 4'!C130:J130)</f>
        <v>52574.75</v>
      </c>
      <c r="G27" s="17">
        <f>AVERAGE('Class 4+'!C130:H130)</f>
        <v>65485.599999999999</v>
      </c>
      <c r="H27" s="17">
        <f>AVERAGE('Class 5'!C130:F130)</f>
        <v>74633.25</v>
      </c>
      <c r="I27" s="17">
        <f>AVERAGE('Class 6'!C130:G130)</f>
        <v>198613.4</v>
      </c>
      <c r="J27" s="17">
        <f>AVERAGE('Class 7'!C130:G130)</f>
        <v>661477.6</v>
      </c>
      <c r="K27" s="298"/>
    </row>
    <row r="28" spans="1:12" ht="30" customHeight="1">
      <c r="A28" s="308" t="s">
        <v>28</v>
      </c>
      <c r="B28" s="17">
        <f>AVERAGE('Class 1'!C131:N131)</f>
        <v>9372.25</v>
      </c>
      <c r="C28" s="17">
        <f>AVERAGE('Class 2'!C131:K131)</f>
        <v>3043.3333333333335</v>
      </c>
      <c r="D28" s="17">
        <f>AVERAGE('Class 3'!C131:P131)</f>
        <v>12103.357142857143</v>
      </c>
      <c r="E28" s="17">
        <f>AVERAGE('Class 3+'!C131:P131)</f>
        <v>17520.571428571428</v>
      </c>
      <c r="F28" s="17">
        <f>AVERAGE('Class 4'!C131:J131)</f>
        <v>21427.875</v>
      </c>
      <c r="G28" s="17">
        <f>AVERAGE('Class 4+'!C131:H131)</f>
        <v>17815</v>
      </c>
      <c r="H28" s="17">
        <f>AVERAGE('Class 5'!C131:F131)</f>
        <v>49213.5</v>
      </c>
      <c r="I28" s="17">
        <f>AVERAGE('Class 6'!C131:G131)</f>
        <v>113330.4</v>
      </c>
      <c r="J28" s="17">
        <f>AVERAGE('Class 7'!C131:G131)</f>
        <v>238129</v>
      </c>
      <c r="K28" s="298"/>
    </row>
    <row r="29" spans="1:12" ht="30" customHeight="1" thickBot="1">
      <c r="A29" s="309" t="s">
        <v>29</v>
      </c>
      <c r="B29" s="229">
        <f>AVERAGE('Class 1'!C132:N132)</f>
        <v>22232.125</v>
      </c>
      <c r="C29" s="229">
        <f>AVERAGE('Class 2'!C132:K132)</f>
        <v>14955.333333333334</v>
      </c>
      <c r="D29" s="229">
        <f>AVERAGE('Class 3'!C132:P132)</f>
        <v>29208.642857142859</v>
      </c>
      <c r="E29" s="229">
        <f>AVERAGE('Class 3+'!C132:P132)</f>
        <v>49530.928571428572</v>
      </c>
      <c r="F29" s="229">
        <f>AVERAGE('Class 4'!C132:J132)</f>
        <v>74002.625</v>
      </c>
      <c r="G29" s="229">
        <f>AVERAGE('Class 4+'!C132:H132)</f>
        <v>83300.600000000006</v>
      </c>
      <c r="H29" s="229">
        <f>AVERAGE('Class 5'!C132:F132)</f>
        <v>123846.75</v>
      </c>
      <c r="I29" s="229">
        <f>AVERAGE('Class 6'!C132:G132)</f>
        <v>311943.8</v>
      </c>
      <c r="J29" s="229">
        <f>AVERAGE('Class 7'!C132:G132)</f>
        <v>899606.6</v>
      </c>
      <c r="K29" s="299"/>
    </row>
    <row r="30" spans="1:12" ht="30" customHeight="1">
      <c r="A30" s="18"/>
      <c r="B30" s="19">
        <f t="shared" ref="B30:J30" si="0">+B28+B27-B29</f>
        <v>0</v>
      </c>
      <c r="C30" s="19">
        <f t="shared" si="0"/>
        <v>0</v>
      </c>
      <c r="D30" s="19">
        <f t="shared" si="0"/>
        <v>0</v>
      </c>
      <c r="E30" s="19">
        <f t="shared" si="0"/>
        <v>0</v>
      </c>
      <c r="F30" s="19">
        <f t="shared" si="0"/>
        <v>0</v>
      </c>
      <c r="G30" s="19">
        <f t="shared" si="0"/>
        <v>0</v>
      </c>
      <c r="H30" s="19">
        <f t="shared" si="0"/>
        <v>0</v>
      </c>
      <c r="I30" s="19">
        <f t="shared" si="0"/>
        <v>0</v>
      </c>
      <c r="J30" s="19">
        <f t="shared" si="0"/>
        <v>0</v>
      </c>
      <c r="K30" s="19"/>
    </row>
    <row r="31" spans="1:12" ht="19.5" customHeight="1">
      <c r="A31" s="4" t="s">
        <v>30</v>
      </c>
    </row>
    <row r="32" spans="1:12" ht="19.5" customHeight="1">
      <c r="A32" s="4" t="s">
        <v>31</v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dxfId="36" priority="2" operator="lessThan">
      <formula>0</formula>
    </cfRule>
  </conditionalFormatting>
  <conditionalFormatting sqref="B15:J21">
    <cfRule type="cellIs" dxfId="35" priority="1" operator="lessThan">
      <formula>0</formula>
    </cfRule>
  </conditionalFormatting>
  <printOptions horizontalCentered="1" verticalCentered="1"/>
  <pageMargins left="0.5" right="0.5" top="0.21" bottom="0.7" header="0.21" footer="0.5"/>
  <pageSetup scale="62" orientation="landscape" r:id="rId1"/>
  <headerFooter alignWithMargins="0">
    <oddHeader xml:space="preserve">&amp;C&amp;"Arial,Bold Italic"&amp;14 </oddHeader>
    <oddFooter>&amp;C&amp;14Fairs and Expositions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defaultRowHeight="12.75"/>
  <cols>
    <col min="1" max="1" width="4.7109375" style="20" customWidth="1"/>
    <col min="2" max="2" width="50.7109375" style="20" customWidth="1"/>
    <col min="3" max="7" width="12.7109375" style="20" customWidth="1"/>
    <col min="8" max="8" width="14.5703125" style="20" customWidth="1"/>
    <col min="9" max="9" width="13.7109375" style="20" customWidth="1"/>
    <col min="10" max="10" width="9.7109375" style="20" bestFit="1" customWidth="1"/>
    <col min="11" max="11" width="11.7109375" style="20" bestFit="1" customWidth="1"/>
    <col min="12" max="16384" width="9.140625" style="20"/>
  </cols>
  <sheetData>
    <row r="1" spans="1:9" ht="12" customHeight="1">
      <c r="A1" s="383"/>
      <c r="B1" s="384"/>
      <c r="C1" s="310"/>
      <c r="D1" s="310"/>
      <c r="E1" s="310"/>
      <c r="F1" s="310"/>
      <c r="G1" s="310"/>
    </row>
    <row r="2" spans="1:9" ht="12" customHeight="1">
      <c r="A2" s="385"/>
      <c r="B2" s="386"/>
      <c r="C2" s="387" t="s">
        <v>211</v>
      </c>
      <c r="D2" s="387" t="s">
        <v>212</v>
      </c>
      <c r="E2" s="387" t="s">
        <v>213</v>
      </c>
      <c r="F2" s="387" t="s">
        <v>214</v>
      </c>
      <c r="G2" s="387" t="s">
        <v>237</v>
      </c>
    </row>
    <row r="3" spans="1:9" ht="69" customHeight="1">
      <c r="A3" s="385"/>
      <c r="B3" s="386"/>
      <c r="C3" s="390"/>
      <c r="D3" s="390"/>
      <c r="E3" s="390"/>
      <c r="F3" s="390"/>
      <c r="G3" s="390"/>
      <c r="I3" s="20" t="s">
        <v>44</v>
      </c>
    </row>
    <row r="4" spans="1:9" ht="13.5" customHeight="1">
      <c r="A4" s="22" t="s">
        <v>45</v>
      </c>
      <c r="B4" s="23"/>
      <c r="C4" s="25"/>
      <c r="D4" s="25"/>
      <c r="E4" s="25"/>
      <c r="F4" s="25"/>
      <c r="G4" s="25"/>
    </row>
    <row r="5" spans="1:9" ht="13.5" customHeight="1">
      <c r="A5" s="51"/>
      <c r="B5" s="23" t="s">
        <v>46</v>
      </c>
      <c r="C5" s="25">
        <v>9839765</v>
      </c>
      <c r="D5" s="25">
        <v>27454514</v>
      </c>
      <c r="E5" s="25">
        <v>4147120</v>
      </c>
      <c r="F5" s="25">
        <v>-2403563</v>
      </c>
      <c r="G5" s="25">
        <v>4631109</v>
      </c>
    </row>
    <row r="6" spans="1:9" ht="13.5" customHeight="1">
      <c r="A6" s="51"/>
      <c r="B6" s="31" t="s">
        <v>47</v>
      </c>
      <c r="C6" s="54">
        <v>252626</v>
      </c>
      <c r="D6" s="54">
        <v>0</v>
      </c>
      <c r="E6" s="54">
        <v>0</v>
      </c>
      <c r="F6" s="54">
        <v>300000</v>
      </c>
      <c r="G6" s="54">
        <v>0</v>
      </c>
    </row>
    <row r="7" spans="1:9" ht="13.5" customHeight="1">
      <c r="A7" s="51"/>
      <c r="B7" s="23" t="s">
        <v>48</v>
      </c>
      <c r="C7" s="54">
        <v>21810846</v>
      </c>
      <c r="D7" s="54">
        <v>45791648</v>
      </c>
      <c r="E7" s="54">
        <v>7574629</v>
      </c>
      <c r="F7" s="54">
        <v>15582987</v>
      </c>
      <c r="G7" s="54">
        <v>47306264</v>
      </c>
    </row>
    <row r="8" spans="1:9" ht="13.5" customHeight="1">
      <c r="A8" s="51"/>
      <c r="B8" s="23" t="s">
        <v>49</v>
      </c>
      <c r="C8" s="53"/>
      <c r="D8" s="53"/>
      <c r="E8" s="53"/>
      <c r="F8" s="53"/>
      <c r="G8" s="53"/>
    </row>
    <row r="9" spans="1:9" s="40" customFormat="1" ht="13.5" customHeight="1" thickBot="1">
      <c r="A9" s="292"/>
      <c r="B9" s="153" t="s">
        <v>50</v>
      </c>
      <c r="C9" s="109">
        <f>SUM(C5:C7)</f>
        <v>31903237</v>
      </c>
      <c r="D9" s="109">
        <f>SUM(D5:D7)</f>
        <v>73246162</v>
      </c>
      <c r="E9" s="109">
        <f>SUM(E5:E7)</f>
        <v>11721749</v>
      </c>
      <c r="F9" s="109">
        <f>SUM(F5:F7)</f>
        <v>13479424</v>
      </c>
      <c r="G9" s="109">
        <f>SUM(G5:G7)</f>
        <v>51937373</v>
      </c>
      <c r="I9" s="99">
        <f>SUM(C9:D9)</f>
        <v>105149399</v>
      </c>
    </row>
    <row r="10" spans="1:9" s="40" customFormat="1" ht="13.5" customHeight="1">
      <c r="A10" s="62" t="s">
        <v>51</v>
      </c>
      <c r="B10" s="63"/>
      <c r="C10" s="70"/>
      <c r="D10" s="70"/>
      <c r="E10" s="70"/>
      <c r="F10" s="70"/>
      <c r="G10" s="70"/>
    </row>
    <row r="11" spans="1:9" s="40" customFormat="1" ht="13.5" customHeight="1">
      <c r="A11" s="41"/>
      <c r="B11" s="42" t="s">
        <v>52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I11" s="99">
        <f>SUM(C11:D11)</f>
        <v>0</v>
      </c>
    </row>
    <row r="12" spans="1:9" s="40" customFormat="1" ht="13.5" customHeight="1">
      <c r="A12" s="41"/>
      <c r="B12" s="42" t="s">
        <v>53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I12" s="99">
        <f>SUM(C12:D12)</f>
        <v>0</v>
      </c>
    </row>
    <row r="13" spans="1:9" s="40" customFormat="1" ht="13.5" customHeight="1" thickBot="1">
      <c r="A13" s="292"/>
      <c r="B13" s="57" t="s">
        <v>54</v>
      </c>
      <c r="C13" s="58">
        <v>0</v>
      </c>
      <c r="D13" s="58">
        <v>112500</v>
      </c>
      <c r="E13" s="58">
        <v>811744</v>
      </c>
      <c r="F13" s="58">
        <v>0</v>
      </c>
      <c r="G13" s="58">
        <v>0</v>
      </c>
      <c r="I13" s="99">
        <f>SUM(C13:D13)</f>
        <v>112500</v>
      </c>
    </row>
    <row r="14" spans="1:9" ht="13.5" customHeight="1">
      <c r="A14" s="45" t="s">
        <v>55</v>
      </c>
      <c r="B14" s="46"/>
      <c r="C14" s="48"/>
      <c r="D14" s="48"/>
      <c r="E14" s="48"/>
      <c r="F14" s="48"/>
      <c r="G14" s="48"/>
    </row>
    <row r="15" spans="1:9" ht="13.5" customHeight="1">
      <c r="A15" s="51"/>
      <c r="B15" s="52" t="s">
        <v>56</v>
      </c>
      <c r="C15" s="53">
        <v>8141117</v>
      </c>
      <c r="D15" s="53">
        <v>9661056</v>
      </c>
      <c r="E15" s="53">
        <v>2678450</v>
      </c>
      <c r="F15" s="53">
        <v>5224298</v>
      </c>
      <c r="G15" s="53">
        <v>10019039</v>
      </c>
    </row>
    <row r="16" spans="1:9" ht="13.5" customHeight="1">
      <c r="A16" s="51"/>
      <c r="B16" s="52" t="s">
        <v>57</v>
      </c>
      <c r="C16" s="53">
        <v>3407269</v>
      </c>
      <c r="D16" s="53">
        <v>1478345</v>
      </c>
      <c r="E16" s="53">
        <v>640950</v>
      </c>
      <c r="F16" s="53">
        <v>1409766</v>
      </c>
      <c r="G16" s="53">
        <v>3494216</v>
      </c>
    </row>
    <row r="17" spans="1:11" ht="13.5" customHeight="1">
      <c r="A17" s="51"/>
      <c r="B17" s="52" t="s">
        <v>58</v>
      </c>
      <c r="C17" s="53">
        <v>11031532</v>
      </c>
      <c r="D17" s="53">
        <v>3464352</v>
      </c>
      <c r="E17" s="53">
        <v>1717448</v>
      </c>
      <c r="F17" s="53">
        <v>2066261</v>
      </c>
      <c r="G17" s="53">
        <v>0</v>
      </c>
    </row>
    <row r="18" spans="1:11" ht="13.5" customHeight="1">
      <c r="A18" s="51"/>
      <c r="B18" s="52" t="s">
        <v>59</v>
      </c>
      <c r="C18" s="53">
        <v>4402117</v>
      </c>
      <c r="D18" s="53">
        <v>6946442</v>
      </c>
      <c r="E18" s="53">
        <v>1594248</v>
      </c>
      <c r="F18" s="53">
        <v>2343666</v>
      </c>
      <c r="G18" s="53">
        <v>8473276</v>
      </c>
    </row>
    <row r="19" spans="1:11" ht="13.5" customHeight="1">
      <c r="A19" s="51"/>
      <c r="B19" s="52" t="s">
        <v>60</v>
      </c>
      <c r="C19" s="53">
        <v>395710</v>
      </c>
      <c r="D19" s="53">
        <v>119031</v>
      </c>
      <c r="E19" s="53">
        <v>37927</v>
      </c>
      <c r="F19" s="53">
        <v>471776</v>
      </c>
      <c r="G19" s="53">
        <v>486905</v>
      </c>
    </row>
    <row r="20" spans="1:11" ht="13.5" customHeight="1">
      <c r="A20" s="51"/>
      <c r="B20" s="52" t="s">
        <v>61</v>
      </c>
      <c r="C20" s="53">
        <v>1921284</v>
      </c>
      <c r="D20" s="53">
        <v>0</v>
      </c>
      <c r="E20" s="53">
        <v>1822905</v>
      </c>
      <c r="F20" s="53">
        <v>0</v>
      </c>
      <c r="G20" s="53">
        <v>0</v>
      </c>
    </row>
    <row r="21" spans="1:11" ht="13.5" customHeight="1">
      <c r="A21" s="51"/>
      <c r="B21" s="52" t="s">
        <v>62</v>
      </c>
      <c r="C21" s="54">
        <v>0</v>
      </c>
      <c r="D21" s="54">
        <v>0</v>
      </c>
      <c r="E21" s="54">
        <v>1967813</v>
      </c>
      <c r="F21" s="54">
        <v>1147886</v>
      </c>
      <c r="G21" s="54">
        <v>400000</v>
      </c>
    </row>
    <row r="22" spans="1:11" ht="13.5" customHeight="1">
      <c r="A22" s="51"/>
      <c r="B22" s="52" t="s">
        <v>63</v>
      </c>
      <c r="C22" s="53">
        <v>1802926</v>
      </c>
      <c r="D22" s="53">
        <v>0</v>
      </c>
      <c r="E22" s="53">
        <v>1570471</v>
      </c>
      <c r="F22" s="53">
        <v>950435</v>
      </c>
      <c r="G22" s="53">
        <v>2121672</v>
      </c>
    </row>
    <row r="23" spans="1:11" ht="13.5" customHeight="1">
      <c r="A23" s="51"/>
      <c r="B23" s="52" t="s">
        <v>64</v>
      </c>
      <c r="C23" s="53">
        <v>1026530</v>
      </c>
      <c r="D23" s="53">
        <v>3282770</v>
      </c>
      <c r="E23" s="53">
        <v>0</v>
      </c>
      <c r="F23" s="53">
        <v>0</v>
      </c>
      <c r="G23" s="53">
        <v>0</v>
      </c>
    </row>
    <row r="24" spans="1:11" ht="13.5" customHeight="1">
      <c r="A24" s="51"/>
      <c r="B24" s="52" t="s">
        <v>65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</row>
    <row r="25" spans="1:11" ht="13.5" customHeight="1">
      <c r="A25" s="51"/>
      <c r="B25" s="52" t="s">
        <v>66</v>
      </c>
      <c r="C25" s="53">
        <v>0</v>
      </c>
      <c r="D25" s="53">
        <v>0</v>
      </c>
      <c r="E25" s="53">
        <v>0</v>
      </c>
      <c r="F25" s="53">
        <v>484611</v>
      </c>
      <c r="G25" s="53">
        <v>0</v>
      </c>
    </row>
    <row r="26" spans="1:11" ht="13.5" customHeight="1">
      <c r="A26" s="51"/>
      <c r="B26" s="52" t="s">
        <v>67</v>
      </c>
      <c r="C26" s="53">
        <v>5572988</v>
      </c>
      <c r="D26" s="53">
        <v>5427928</v>
      </c>
      <c r="E26" s="53">
        <v>2080196</v>
      </c>
      <c r="F26" s="53">
        <v>5082881</v>
      </c>
      <c r="G26" s="53">
        <v>6916427</v>
      </c>
    </row>
    <row r="27" spans="1:11" ht="13.5" customHeight="1">
      <c r="A27" s="51"/>
      <c r="B27" s="52" t="s">
        <v>168</v>
      </c>
      <c r="C27" s="53">
        <v>1008156</v>
      </c>
      <c r="D27" s="53">
        <v>21574</v>
      </c>
      <c r="E27" s="53">
        <v>0</v>
      </c>
      <c r="F27" s="53">
        <v>0</v>
      </c>
      <c r="G27" s="53">
        <v>635982</v>
      </c>
    </row>
    <row r="28" spans="1:11" ht="13.5" customHeight="1">
      <c r="A28" s="51"/>
      <c r="B28" s="52" t="s">
        <v>69</v>
      </c>
      <c r="C28" s="53">
        <v>35169498</v>
      </c>
      <c r="D28" s="53">
        <v>8909619</v>
      </c>
      <c r="E28" s="53">
        <v>6254487</v>
      </c>
      <c r="F28" s="53">
        <v>7318443</v>
      </c>
      <c r="G28" s="53">
        <v>12438904</v>
      </c>
      <c r="I28" s="36">
        <f>SUM(C28:D28)</f>
        <v>44079117</v>
      </c>
    </row>
    <row r="29" spans="1:11" ht="13.5" customHeight="1">
      <c r="A29" s="51"/>
      <c r="B29" s="52" t="s">
        <v>70</v>
      </c>
      <c r="C29" s="53">
        <v>-37970</v>
      </c>
      <c r="D29" s="53">
        <v>333</v>
      </c>
      <c r="E29" s="53">
        <v>0</v>
      </c>
      <c r="F29" s="53">
        <v>-37406</v>
      </c>
      <c r="G29" s="53">
        <v>0</v>
      </c>
      <c r="I29" s="36">
        <f>SUM(C29:D29)</f>
        <v>-37637</v>
      </c>
    </row>
    <row r="30" spans="1:11" ht="13.5" customHeight="1">
      <c r="A30" s="51"/>
      <c r="B30" s="52" t="s">
        <v>71</v>
      </c>
      <c r="C30" s="54">
        <v>695721</v>
      </c>
      <c r="D30" s="54">
        <v>186912</v>
      </c>
      <c r="E30" s="54">
        <v>2875716</v>
      </c>
      <c r="F30" s="54">
        <v>542813</v>
      </c>
      <c r="G30" s="54">
        <v>29023608</v>
      </c>
      <c r="I30" s="36">
        <f>SUM(C30:D30)</f>
        <v>882633</v>
      </c>
      <c r="J30" s="36">
        <f>+I30+I29</f>
        <v>844996</v>
      </c>
      <c r="K30" s="20" t="s">
        <v>72</v>
      </c>
    </row>
    <row r="31" spans="1:11" s="40" customFormat="1" ht="13.5" customHeight="1" thickBot="1">
      <c r="A31" s="56" t="s">
        <v>73</v>
      </c>
      <c r="B31" s="57"/>
      <c r="C31" s="58">
        <f>SUM(C15:C30)</f>
        <v>74536878</v>
      </c>
      <c r="D31" s="58">
        <f>SUM(D15:D30)</f>
        <v>39498362</v>
      </c>
      <c r="E31" s="58">
        <f>SUM(E15:E30)</f>
        <v>23240611</v>
      </c>
      <c r="F31" s="58">
        <f>SUM(F15:F30)</f>
        <v>27005430</v>
      </c>
      <c r="G31" s="58">
        <f>SUM(G15:G30)</f>
        <v>74010029</v>
      </c>
      <c r="H31" s="221">
        <f>AVERAGE(C31:G31)</f>
        <v>47658262</v>
      </c>
      <c r="I31" s="59">
        <f>SUM(C31:D31)+SUM(C11:D13)</f>
        <v>114147740</v>
      </c>
      <c r="K31" s="59">
        <f>+I31+'Class 6'!I31+'Class 5'!H31+'Class 4+'!J31+'Class 4'!L31+'Class 3+'!R31+'Class 3'!R31+'Class 2'!M31+'Class 1'!Q31</f>
        <v>212650552.06999999</v>
      </c>
    </row>
    <row r="32" spans="1:11" ht="13.5" customHeight="1">
      <c r="A32" s="45" t="s">
        <v>75</v>
      </c>
      <c r="B32" s="46"/>
      <c r="C32" s="48"/>
      <c r="D32" s="48"/>
      <c r="E32" s="48"/>
      <c r="F32" s="48"/>
      <c r="G32" s="48"/>
    </row>
    <row r="33" spans="1:9" ht="13.5" customHeight="1">
      <c r="A33" s="51"/>
      <c r="B33" s="52" t="s">
        <v>76</v>
      </c>
      <c r="C33" s="53">
        <v>25167055</v>
      </c>
      <c r="D33" s="53">
        <v>5833936</v>
      </c>
      <c r="E33" s="53">
        <v>1836855</v>
      </c>
      <c r="F33" s="53">
        <v>6159867</v>
      </c>
      <c r="G33" s="53">
        <v>43779989</v>
      </c>
      <c r="I33" s="36">
        <f>SUM(C33:D33)</f>
        <v>31000991</v>
      </c>
    </row>
    <row r="34" spans="1:9" ht="13.5" customHeight="1">
      <c r="A34" s="51"/>
      <c r="B34" s="52" t="s">
        <v>77</v>
      </c>
      <c r="C34" s="53">
        <v>10140183</v>
      </c>
      <c r="D34" s="53">
        <v>10375260</v>
      </c>
      <c r="E34" s="53">
        <v>3088766</v>
      </c>
      <c r="F34" s="53">
        <v>9762272</v>
      </c>
      <c r="G34" s="53">
        <v>7366240</v>
      </c>
      <c r="I34" s="36">
        <f>SUM(C34:D34)</f>
        <v>20515443</v>
      </c>
    </row>
    <row r="35" spans="1:9" ht="13.5" customHeight="1">
      <c r="A35" s="51"/>
      <c r="B35" s="52" t="s">
        <v>78</v>
      </c>
      <c r="C35" s="53">
        <v>3159601</v>
      </c>
      <c r="D35" s="53">
        <v>2055854</v>
      </c>
      <c r="E35" s="53">
        <v>1038646</v>
      </c>
      <c r="F35" s="53">
        <v>2097625</v>
      </c>
      <c r="G35" s="53">
        <v>3262513</v>
      </c>
    </row>
    <row r="36" spans="1:9" ht="13.5" customHeight="1">
      <c r="A36" s="51"/>
      <c r="B36" s="52" t="s">
        <v>79</v>
      </c>
      <c r="C36" s="53">
        <v>5083859</v>
      </c>
      <c r="D36" s="53">
        <v>3443974</v>
      </c>
      <c r="E36" s="53">
        <v>2581917</v>
      </c>
      <c r="F36" s="53">
        <v>1672093</v>
      </c>
      <c r="G36" s="53">
        <v>543350</v>
      </c>
    </row>
    <row r="37" spans="1:9" ht="13.5" customHeight="1">
      <c r="A37" s="51"/>
      <c r="B37" s="52" t="s">
        <v>67</v>
      </c>
      <c r="C37" s="53">
        <v>1133541</v>
      </c>
      <c r="D37" s="53">
        <v>504291</v>
      </c>
      <c r="E37" s="53">
        <v>0</v>
      </c>
      <c r="F37" s="53">
        <v>0</v>
      </c>
      <c r="G37" s="53">
        <v>3437195</v>
      </c>
    </row>
    <row r="38" spans="1:9" ht="13.5" customHeight="1">
      <c r="A38" s="51"/>
      <c r="B38" s="52" t="s">
        <v>80</v>
      </c>
      <c r="C38" s="53">
        <v>4458010</v>
      </c>
      <c r="D38" s="53">
        <v>427171</v>
      </c>
      <c r="E38" s="53">
        <v>0</v>
      </c>
      <c r="F38" s="53">
        <v>0</v>
      </c>
      <c r="G38" s="53">
        <v>4429281</v>
      </c>
    </row>
    <row r="39" spans="1:9" ht="13.5" customHeight="1">
      <c r="A39" s="51"/>
      <c r="B39" s="52" t="s">
        <v>81</v>
      </c>
      <c r="C39" s="53">
        <v>392156</v>
      </c>
      <c r="D39" s="53">
        <v>109971</v>
      </c>
      <c r="E39" s="53">
        <v>243353</v>
      </c>
      <c r="F39" s="53">
        <v>0</v>
      </c>
      <c r="G39" s="53">
        <v>11446</v>
      </c>
    </row>
    <row r="40" spans="1:9" ht="13.5" customHeight="1">
      <c r="A40" s="51"/>
      <c r="B40" s="52" t="s">
        <v>60</v>
      </c>
      <c r="C40" s="53">
        <v>10037616</v>
      </c>
      <c r="D40" s="53">
        <v>1938600</v>
      </c>
      <c r="E40" s="53">
        <v>838580</v>
      </c>
      <c r="F40" s="53">
        <v>2551093</v>
      </c>
      <c r="G40" s="53">
        <v>2854976</v>
      </c>
    </row>
    <row r="41" spans="1:9">
      <c r="A41" s="51"/>
      <c r="B41" s="52" t="s">
        <v>61</v>
      </c>
      <c r="C41" s="53">
        <v>1098102</v>
      </c>
      <c r="D41" s="53">
        <v>0</v>
      </c>
      <c r="E41" s="53">
        <v>2120034</v>
      </c>
      <c r="F41" s="53">
        <v>0</v>
      </c>
      <c r="G41" s="53">
        <v>0</v>
      </c>
    </row>
    <row r="42" spans="1:9" ht="13.5" customHeight="1">
      <c r="A42" s="51"/>
      <c r="B42" s="52" t="s">
        <v>62</v>
      </c>
      <c r="C42" s="53">
        <v>0</v>
      </c>
      <c r="D42" s="53">
        <v>0</v>
      </c>
      <c r="E42" s="53">
        <v>1501284</v>
      </c>
      <c r="F42" s="53">
        <v>1036885</v>
      </c>
      <c r="G42" s="53">
        <v>281307</v>
      </c>
    </row>
    <row r="43" spans="1:9" ht="13.5" customHeight="1">
      <c r="A43" s="51"/>
      <c r="B43" s="52" t="s">
        <v>63</v>
      </c>
      <c r="C43" s="53">
        <v>1516976</v>
      </c>
      <c r="D43" s="53">
        <v>0</v>
      </c>
      <c r="E43" s="53">
        <v>1181146</v>
      </c>
      <c r="F43" s="53">
        <v>478484</v>
      </c>
      <c r="G43" s="53">
        <v>795981</v>
      </c>
    </row>
    <row r="44" spans="1:9" ht="13.5" customHeight="1">
      <c r="A44" s="51"/>
      <c r="B44" s="52" t="s">
        <v>82</v>
      </c>
      <c r="C44" s="53">
        <v>4633480</v>
      </c>
      <c r="D44" s="53">
        <v>6089215</v>
      </c>
      <c r="E44" s="53">
        <v>1659431</v>
      </c>
      <c r="F44" s="53">
        <v>1325819</v>
      </c>
      <c r="G44" s="53">
        <v>4620740</v>
      </c>
    </row>
    <row r="45" spans="1:9" ht="13.5" customHeight="1">
      <c r="A45" s="51"/>
      <c r="B45" s="52" t="s">
        <v>65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</row>
    <row r="46" spans="1:9" ht="13.5" customHeight="1">
      <c r="A46" s="51"/>
      <c r="B46" s="52" t="s">
        <v>83</v>
      </c>
      <c r="C46" s="53">
        <v>1395991</v>
      </c>
      <c r="D46" s="53">
        <v>125480</v>
      </c>
      <c r="E46" s="53">
        <v>3150699</v>
      </c>
      <c r="F46" s="53">
        <v>0</v>
      </c>
      <c r="G46" s="53">
        <v>0</v>
      </c>
    </row>
    <row r="47" spans="1:9" ht="13.5" customHeight="1">
      <c r="A47" s="51"/>
      <c r="B47" s="52" t="s">
        <v>84</v>
      </c>
      <c r="C47" s="53">
        <v>0</v>
      </c>
      <c r="D47" s="53">
        <v>0</v>
      </c>
      <c r="E47" s="53">
        <v>0</v>
      </c>
      <c r="F47" s="53">
        <v>168547</v>
      </c>
      <c r="G47" s="53">
        <v>0</v>
      </c>
    </row>
    <row r="48" spans="1:9" ht="13.5" customHeight="1">
      <c r="A48" s="51"/>
      <c r="B48" s="52" t="s">
        <v>85</v>
      </c>
      <c r="C48" s="53">
        <v>12880</v>
      </c>
      <c r="D48" s="53">
        <v>28807</v>
      </c>
      <c r="E48" s="53">
        <v>0</v>
      </c>
      <c r="F48" s="53">
        <v>-70852</v>
      </c>
      <c r="G48" s="53">
        <v>0</v>
      </c>
    </row>
    <row r="49" spans="1:11" ht="13.5" customHeight="1">
      <c r="A49" s="51"/>
      <c r="B49" s="52" t="s">
        <v>86</v>
      </c>
      <c r="C49" s="53">
        <v>1233</v>
      </c>
      <c r="D49" s="53">
        <v>11320</v>
      </c>
      <c r="E49" s="53">
        <v>0</v>
      </c>
      <c r="F49" s="53">
        <v>0</v>
      </c>
      <c r="G49" s="53">
        <v>0</v>
      </c>
    </row>
    <row r="50" spans="1:11" ht="13.5" customHeight="1">
      <c r="A50" s="51"/>
      <c r="B50" s="52" t="s">
        <v>87</v>
      </c>
      <c r="C50" s="53">
        <v>0</v>
      </c>
      <c r="D50" s="53">
        <v>0</v>
      </c>
      <c r="E50" s="53">
        <v>2788824</v>
      </c>
      <c r="F50" s="53">
        <v>0</v>
      </c>
      <c r="G50" s="53">
        <v>0</v>
      </c>
    </row>
    <row r="51" spans="1:11" s="40" customFormat="1" ht="13.5" customHeight="1" thickBot="1">
      <c r="A51" s="56" t="s">
        <v>88</v>
      </c>
      <c r="B51" s="57"/>
      <c r="C51" s="58">
        <f>SUM(C33:C50)</f>
        <v>68230683</v>
      </c>
      <c r="D51" s="58">
        <f>SUM(D33:D50)</f>
        <v>30943879</v>
      </c>
      <c r="E51" s="58">
        <f>SUM(E33:E50)</f>
        <v>22029535</v>
      </c>
      <c r="F51" s="58">
        <f>SUM(F33:F50)</f>
        <v>25181833</v>
      </c>
      <c r="G51" s="58">
        <f>SUM(G33:G50)</f>
        <v>71383018</v>
      </c>
      <c r="H51" s="125">
        <f>AVERAGE(C51:G51)</f>
        <v>43553789.600000001</v>
      </c>
      <c r="I51" s="59">
        <f>+SUM(C51:D51)+SUM(C53:D53)-C52-D52</f>
        <v>107407356</v>
      </c>
      <c r="K51" s="59">
        <f>+I51+'Class 6'!I51+'Class 5'!H51+'Class 4+'!J51+'Class 4'!L51+'Class 3+'!R51+'Class 3'!R51+'Class 2'!M51+'Class 1'!Q51</f>
        <v>206940167</v>
      </c>
    </row>
    <row r="52" spans="1:11" ht="13.5" customHeight="1">
      <c r="A52" s="120" t="s">
        <v>89</v>
      </c>
      <c r="B52" s="121"/>
      <c r="C52" s="222">
        <v>-3866247</v>
      </c>
      <c r="D52" s="124"/>
      <c r="E52" s="122"/>
      <c r="F52" s="122"/>
      <c r="G52" s="122"/>
      <c r="H52" s="147"/>
    </row>
    <row r="53" spans="1:11" s="40" customFormat="1" ht="13.5" customHeight="1">
      <c r="A53" s="41"/>
      <c r="B53" s="42" t="s">
        <v>90</v>
      </c>
      <c r="C53" s="43">
        <v>1383778</v>
      </c>
      <c r="D53" s="43">
        <v>2982769</v>
      </c>
      <c r="E53" s="43">
        <v>975964</v>
      </c>
      <c r="F53" s="43">
        <v>1834227</v>
      </c>
      <c r="G53" s="43">
        <v>6117983</v>
      </c>
      <c r="H53" s="125"/>
      <c r="I53" s="36">
        <f>SUM(C53:D53)</f>
        <v>4366547</v>
      </c>
    </row>
    <row r="54" spans="1:11" s="40" customFormat="1" ht="13.5" customHeight="1">
      <c r="A54" s="62" t="s">
        <v>91</v>
      </c>
      <c r="B54" s="63"/>
      <c r="C54" s="70">
        <f>+C31-C51</f>
        <v>6306195</v>
      </c>
      <c r="D54" s="70">
        <f>+D31-D51</f>
        <v>8554483</v>
      </c>
      <c r="E54" s="70">
        <f>+E31-E51</f>
        <v>1211076</v>
      </c>
      <c r="F54" s="70">
        <f>+F31-F51</f>
        <v>1823597</v>
      </c>
      <c r="G54" s="70">
        <f>+G31-G51</f>
        <v>2627011</v>
      </c>
      <c r="H54" s="125">
        <f>AVERAGE(C54:G54)</f>
        <v>4104472.4</v>
      </c>
    </row>
    <row r="55" spans="1:11" s="40" customFormat="1" ht="13.5" customHeight="1">
      <c r="A55" s="62" t="s">
        <v>92</v>
      </c>
      <c r="B55" s="63"/>
      <c r="C55" s="70">
        <f>+C54-C53</f>
        <v>4922417</v>
      </c>
      <c r="D55" s="70">
        <f>+D54-D53</f>
        <v>5571714</v>
      </c>
      <c r="E55" s="70">
        <f>+E54-E53</f>
        <v>235112</v>
      </c>
      <c r="F55" s="70">
        <f>+F54-F53</f>
        <v>-10630</v>
      </c>
      <c r="G55" s="70">
        <f>+G54-G53</f>
        <v>-3490972</v>
      </c>
      <c r="H55" s="125">
        <f>AVERAGE(C55:G55)</f>
        <v>1445528.2</v>
      </c>
    </row>
    <row r="56" spans="1:11" s="40" customFormat="1" ht="13.5" customHeight="1">
      <c r="A56" s="62" t="s">
        <v>93</v>
      </c>
      <c r="B56" s="63"/>
      <c r="C56" s="70">
        <f>C11+C12+C13+C31-C51</f>
        <v>6306195</v>
      </c>
      <c r="D56" s="70">
        <f>D11+D12+D13+D31-D51</f>
        <v>8666983</v>
      </c>
      <c r="E56" s="70">
        <f>E11+E12+E13+E31-E51</f>
        <v>2022820</v>
      </c>
      <c r="F56" s="70">
        <f>F11+F12+F13+F31-F51</f>
        <v>1823597</v>
      </c>
      <c r="G56" s="70">
        <f>G11+G12+G13+G31-G51</f>
        <v>2627011</v>
      </c>
      <c r="H56" s="125">
        <f>AVERAGE(C56:G56)</f>
        <v>4289321.2</v>
      </c>
    </row>
    <row r="57" spans="1:11" s="40" customFormat="1" ht="13.5" customHeight="1">
      <c r="A57" s="62" t="s">
        <v>94</v>
      </c>
      <c r="B57" s="63"/>
      <c r="C57" s="70">
        <f>+C11+C12+C13+C31-C51-C53</f>
        <v>4922417</v>
      </c>
      <c r="D57" s="70">
        <f>+D11+D12+D13+D31-D51-D53</f>
        <v>5684214</v>
      </c>
      <c r="E57" s="70">
        <f>+E11+E12+E13+E31-E51-E53</f>
        <v>1046856</v>
      </c>
      <c r="F57" s="70">
        <f>+F11+F12+F13+F31-F51-F53</f>
        <v>-10630</v>
      </c>
      <c r="G57" s="70">
        <f>+G11+G12+G13+G31-G51-G53</f>
        <v>-3490972</v>
      </c>
      <c r="H57" s="125">
        <f>AVERAGE(C57:G57)</f>
        <v>1630377</v>
      </c>
      <c r="I57" s="59">
        <f>SUM(C57:D57)</f>
        <v>10606631</v>
      </c>
    </row>
    <row r="58" spans="1:11" ht="13.5" customHeight="1">
      <c r="A58" s="45" t="s">
        <v>95</v>
      </c>
      <c r="B58" s="154"/>
      <c r="C58" s="65"/>
      <c r="D58" s="65"/>
      <c r="E58" s="65"/>
      <c r="F58" s="65"/>
      <c r="G58" s="65"/>
      <c r="H58" s="147"/>
    </row>
    <row r="59" spans="1:11" ht="13.5" customHeight="1">
      <c r="A59" s="45"/>
      <c r="B59" s="46" t="s">
        <v>46</v>
      </c>
      <c r="C59" s="28">
        <v>11308993</v>
      </c>
      <c r="D59" s="54">
        <v>31412944</v>
      </c>
      <c r="E59" s="54">
        <v>4892848</v>
      </c>
      <c r="F59" s="54">
        <v>-1676508</v>
      </c>
      <c r="G59" s="54">
        <v>8931508</v>
      </c>
      <c r="H59" s="147">
        <f>SUM(C59:G59)/5</f>
        <v>10973957</v>
      </c>
    </row>
    <row r="60" spans="1:11" ht="13.5" customHeight="1">
      <c r="A60" s="45"/>
      <c r="B60" s="46" t="s">
        <v>47</v>
      </c>
      <c r="C60" s="28">
        <v>170339</v>
      </c>
      <c r="D60" s="54">
        <v>112500</v>
      </c>
      <c r="E60" s="29">
        <v>0</v>
      </c>
      <c r="F60" s="54">
        <v>483139</v>
      </c>
      <c r="G60" s="54">
        <v>0</v>
      </c>
      <c r="H60" s="147">
        <f>MAX(C59:G59)</f>
        <v>31412944</v>
      </c>
    </row>
    <row r="61" spans="1:11" s="68" customFormat="1" ht="13.5" customHeight="1">
      <c r="A61" s="45"/>
      <c r="B61" s="46" t="s">
        <v>48</v>
      </c>
      <c r="C61" s="28">
        <v>21480075</v>
      </c>
      <c r="D61" s="54">
        <v>47404934</v>
      </c>
      <c r="E61" s="54">
        <v>7875757</v>
      </c>
      <c r="F61" s="54">
        <v>14662163</v>
      </c>
      <c r="G61" s="54">
        <v>39514893</v>
      </c>
      <c r="H61" s="223">
        <f>MIN(C59:G59)</f>
        <v>-1676508</v>
      </c>
    </row>
    <row r="62" spans="1:11" s="40" customFormat="1" ht="13.5" customHeight="1">
      <c r="A62" s="62"/>
      <c r="B62" s="69" t="s">
        <v>50</v>
      </c>
      <c r="C62" s="39">
        <f>SUM(C59:C61)</f>
        <v>32959407</v>
      </c>
      <c r="D62" s="39">
        <f>SUM(D59:D61)</f>
        <v>78930378</v>
      </c>
      <c r="E62" s="39">
        <f>SUM(E59:E61)</f>
        <v>12768605</v>
      </c>
      <c r="F62" s="39">
        <f>SUM(F59:F61)</f>
        <v>13468794</v>
      </c>
      <c r="G62" s="39">
        <f>SUM(G59:G61)</f>
        <v>48446401</v>
      </c>
      <c r="H62" s="224">
        <f>SUM(C62:D62)</f>
        <v>111889785</v>
      </c>
    </row>
    <row r="63" spans="1:11" s="133" customFormat="1" ht="13.5" customHeight="1" thickBot="1">
      <c r="A63" s="225" t="s">
        <v>215</v>
      </c>
      <c r="B63" s="226"/>
      <c r="C63" s="130">
        <f>C59/(C51-C52)</f>
        <v>0.15685817690156847</v>
      </c>
      <c r="D63" s="130">
        <f>D59/(D51)</f>
        <v>1.0151585714253859</v>
      </c>
      <c r="E63" s="130">
        <f>E59/(E51-E32)</f>
        <v>0.22210400718853121</v>
      </c>
      <c r="F63" s="130">
        <f>F59/(F51)</f>
        <v>-6.6576090787354519E-2</v>
      </c>
      <c r="G63" s="130">
        <f>G59/(G51)</f>
        <v>0.12512090760858555</v>
      </c>
      <c r="H63" s="205">
        <f>AVERAGE(C63:G63)</f>
        <v>0.29053311446734331</v>
      </c>
    </row>
    <row r="64" spans="1:11" hidden="1">
      <c r="A64" s="111"/>
      <c r="B64" s="100" t="s">
        <v>97</v>
      </c>
      <c r="C64" s="164">
        <f>+C9+C11+C12+C13+C31-C51-C53-C62+C52</f>
        <v>0</v>
      </c>
      <c r="D64" s="164">
        <f>+D9+D11+D12+D13+D31-D51-D53-D62</f>
        <v>-2</v>
      </c>
      <c r="E64" s="164">
        <f>+E9+E11+E12+E13+E31-E51-E53-E62</f>
        <v>0</v>
      </c>
      <c r="F64" s="164">
        <f>+F9+F11+F12+F13+F31-F51-F53-F62</f>
        <v>0</v>
      </c>
      <c r="G64" s="164">
        <f>+G9+G11+G12+G13+G31-G51-G53-G62</f>
        <v>0</v>
      </c>
      <c r="H64" s="199">
        <f>MAX(C63:G63)</f>
        <v>1.0151585714253859</v>
      </c>
    </row>
    <row r="65" spans="1:9" hidden="1">
      <c r="A65" s="410"/>
      <c r="B65" s="410"/>
      <c r="C65" s="211">
        <f>+C9+C57+C52-C62</f>
        <v>0</v>
      </c>
      <c r="D65" s="211">
        <f>+D9+D57+D52-D62</f>
        <v>-2</v>
      </c>
      <c r="E65" s="164">
        <f>+E9+E57+E52-E62</f>
        <v>0</v>
      </c>
      <c r="F65" s="164">
        <f>+F9+F57+F52-F62</f>
        <v>0</v>
      </c>
      <c r="G65" s="164">
        <f>+G9+G57+G52-G62</f>
        <v>0</v>
      </c>
      <c r="H65" s="199">
        <f>MIN(C63:G63)</f>
        <v>-6.6576090787354519E-2</v>
      </c>
    </row>
    <row r="66" spans="1:9" ht="13.5" customHeight="1">
      <c r="A66" s="328"/>
      <c r="B66" s="328"/>
      <c r="C66" s="211"/>
      <c r="D66" s="211"/>
      <c r="E66" s="164"/>
      <c r="F66" s="164"/>
      <c r="G66" s="164"/>
      <c r="H66" s="199"/>
    </row>
    <row r="67" spans="1:9" ht="13.5" customHeight="1">
      <c r="A67" s="323" t="s">
        <v>225</v>
      </c>
      <c r="B67" s="317"/>
      <c r="C67" s="91"/>
      <c r="D67" s="91"/>
      <c r="E67" s="164"/>
      <c r="F67" s="164"/>
      <c r="G67" s="164"/>
      <c r="H67" s="199"/>
    </row>
    <row r="68" spans="1:9" ht="12.75" customHeight="1">
      <c r="A68" s="320" t="s">
        <v>226</v>
      </c>
      <c r="B68" s="317"/>
      <c r="C68" s="91"/>
      <c r="D68" s="91"/>
    </row>
    <row r="69" spans="1:9" ht="12.75" customHeight="1">
      <c r="A69" s="321" t="s">
        <v>98</v>
      </c>
      <c r="B69" s="318"/>
      <c r="C69" s="230"/>
      <c r="D69" s="230"/>
    </row>
    <row r="70" spans="1:9">
      <c r="A70" s="322"/>
      <c r="B70" s="89"/>
      <c r="C70" s="89"/>
      <c r="D70" s="89"/>
    </row>
    <row r="71" spans="1:9" ht="12.75" customHeight="1">
      <c r="A71" s="320" t="s">
        <v>227</v>
      </c>
      <c r="B71" s="317"/>
      <c r="C71" s="91"/>
      <c r="D71" s="91"/>
    </row>
    <row r="72" spans="1:9" ht="12.75" customHeight="1">
      <c r="A72" s="320" t="s">
        <v>99</v>
      </c>
      <c r="B72" s="317"/>
      <c r="C72" s="91"/>
      <c r="D72" s="91"/>
    </row>
    <row r="73" spans="1:9" ht="12.75" customHeight="1">
      <c r="A73" s="320" t="s">
        <v>100</v>
      </c>
      <c r="B73" s="319"/>
      <c r="C73" s="232"/>
      <c r="D73" s="232"/>
    </row>
    <row r="74" spans="1:9" ht="13.5" thickBot="1"/>
    <row r="75" spans="1:9">
      <c r="A75" s="403"/>
      <c r="B75" s="404"/>
      <c r="C75" s="310"/>
      <c r="D75" s="310"/>
      <c r="E75" s="310"/>
      <c r="F75" s="310"/>
      <c r="G75" s="310"/>
    </row>
    <row r="76" spans="1:9" ht="70.5" customHeight="1">
      <c r="A76" s="405"/>
      <c r="B76" s="406"/>
      <c r="C76" s="326" t="str">
        <f>C2</f>
        <v>22nd DAA, 
San Diego County Fair</v>
      </c>
      <c r="D76" s="326" t="s">
        <v>212</v>
      </c>
      <c r="E76" s="326" t="str">
        <f>E2</f>
        <v>Alameda County Fair</v>
      </c>
      <c r="F76" s="326" t="s">
        <v>216</v>
      </c>
      <c r="G76" s="374" t="s">
        <v>217</v>
      </c>
    </row>
    <row r="77" spans="1:9" ht="13.5" customHeight="1">
      <c r="A77" s="22" t="s">
        <v>101</v>
      </c>
      <c r="B77" s="52"/>
      <c r="C77" s="93"/>
      <c r="D77" s="93"/>
      <c r="E77" s="93"/>
      <c r="F77" s="93"/>
      <c r="G77" s="93"/>
    </row>
    <row r="78" spans="1:9" ht="13.5" customHeight="1">
      <c r="A78" s="22" t="s">
        <v>102</v>
      </c>
      <c r="B78" s="52"/>
      <c r="C78" s="93"/>
      <c r="D78" s="93"/>
      <c r="E78" s="93"/>
      <c r="F78" s="93"/>
      <c r="G78" s="93"/>
    </row>
    <row r="79" spans="1:9" ht="13.5" customHeight="1">
      <c r="A79" s="51"/>
      <c r="B79" s="52" t="s">
        <v>103</v>
      </c>
      <c r="C79" s="53"/>
      <c r="D79" s="53"/>
      <c r="E79" s="53"/>
      <c r="F79" s="53"/>
      <c r="G79" s="53"/>
    </row>
    <row r="80" spans="1:9" ht="13.5" customHeight="1">
      <c r="A80" s="51"/>
      <c r="B80" s="52" t="s">
        <v>104</v>
      </c>
      <c r="C80" s="25">
        <v>1784004</v>
      </c>
      <c r="D80" s="25">
        <v>0</v>
      </c>
      <c r="E80" s="25">
        <v>0</v>
      </c>
      <c r="F80" s="25">
        <v>210586</v>
      </c>
      <c r="G80" s="25">
        <v>0</v>
      </c>
      <c r="I80" s="96">
        <f t="shared" ref="I80:I90" si="0">SUM(C80:D80)</f>
        <v>1784004</v>
      </c>
    </row>
    <row r="81" spans="1:9" ht="13.5" customHeight="1">
      <c r="A81" s="51"/>
      <c r="B81" s="52" t="s">
        <v>105</v>
      </c>
      <c r="C81" s="53">
        <v>13524130</v>
      </c>
      <c r="D81" s="53">
        <v>33577520</v>
      </c>
      <c r="E81" s="53">
        <v>4736334</v>
      </c>
      <c r="F81" s="53">
        <v>10015231</v>
      </c>
      <c r="G81" s="53">
        <v>11779095.93</v>
      </c>
      <c r="I81" s="96">
        <f t="shared" si="0"/>
        <v>47101650</v>
      </c>
    </row>
    <row r="82" spans="1:9" ht="13.5" customHeight="1">
      <c r="A82" s="51"/>
      <c r="B82" s="52" t="s">
        <v>106</v>
      </c>
      <c r="C82" s="53">
        <v>965294</v>
      </c>
      <c r="D82" s="53">
        <v>280762</v>
      </c>
      <c r="E82" s="53">
        <v>549829</v>
      </c>
      <c r="F82" s="53">
        <v>1279178</v>
      </c>
      <c r="G82" s="53">
        <v>1077886.3700000001</v>
      </c>
      <c r="I82" s="96">
        <f t="shared" si="0"/>
        <v>1246056</v>
      </c>
    </row>
    <row r="83" spans="1:9" ht="13.5" customHeight="1">
      <c r="A83" s="51"/>
      <c r="B83" s="52" t="s">
        <v>107</v>
      </c>
      <c r="C83" s="53">
        <v>383265</v>
      </c>
      <c r="D83" s="53">
        <v>19583</v>
      </c>
      <c r="E83" s="53">
        <v>62984</v>
      </c>
      <c r="F83" s="53">
        <v>143226</v>
      </c>
      <c r="G83" s="53">
        <v>0</v>
      </c>
      <c r="I83" s="96">
        <f t="shared" si="0"/>
        <v>402848</v>
      </c>
    </row>
    <row r="84" spans="1:9" ht="13.5" customHeight="1">
      <c r="A84" s="51"/>
      <c r="B84" s="52" t="s">
        <v>108</v>
      </c>
      <c r="C84" s="53">
        <v>34647</v>
      </c>
      <c r="D84" s="53">
        <v>253158</v>
      </c>
      <c r="E84" s="53">
        <v>810939</v>
      </c>
      <c r="F84" s="53">
        <v>0</v>
      </c>
      <c r="G84" s="53">
        <v>4394563.99</v>
      </c>
      <c r="I84" s="96">
        <f t="shared" si="0"/>
        <v>287805</v>
      </c>
    </row>
    <row r="85" spans="1:9" ht="13.5" customHeight="1">
      <c r="A85" s="51"/>
      <c r="B85" s="52" t="s">
        <v>109</v>
      </c>
      <c r="C85" s="53">
        <v>668589</v>
      </c>
      <c r="D85" s="53">
        <v>266877</v>
      </c>
      <c r="E85" s="53">
        <v>727945</v>
      </c>
      <c r="F85" s="53">
        <v>228438</v>
      </c>
      <c r="G85" s="53">
        <v>0</v>
      </c>
      <c r="I85" s="20">
        <f t="shared" si="0"/>
        <v>935466</v>
      </c>
    </row>
    <row r="86" spans="1:9" ht="13.5" customHeight="1">
      <c r="A86" s="51"/>
      <c r="B86" s="52" t="s">
        <v>110</v>
      </c>
      <c r="C86" s="53">
        <v>5512697</v>
      </c>
      <c r="D86" s="53">
        <v>133553</v>
      </c>
      <c r="E86" s="53">
        <v>1375291</v>
      </c>
      <c r="F86" s="53">
        <v>1643577</v>
      </c>
      <c r="G86" s="53">
        <v>368808</v>
      </c>
      <c r="I86" s="20">
        <f t="shared" si="0"/>
        <v>5646250</v>
      </c>
    </row>
    <row r="87" spans="1:9" ht="13.5" customHeight="1">
      <c r="A87" s="51"/>
      <c r="B87" s="52" t="s">
        <v>111</v>
      </c>
      <c r="C87" s="53">
        <v>57386149</v>
      </c>
      <c r="D87" s="53">
        <v>84734489</v>
      </c>
      <c r="E87" s="53">
        <v>28368599</v>
      </c>
      <c r="F87" s="53">
        <v>75062498</v>
      </c>
      <c r="G87" s="53">
        <v>170992064.53</v>
      </c>
      <c r="I87" s="20">
        <f t="shared" si="0"/>
        <v>142120638</v>
      </c>
    </row>
    <row r="88" spans="1:9" ht="13.5" customHeight="1">
      <c r="A88" s="51"/>
      <c r="B88" s="52" t="s">
        <v>112</v>
      </c>
      <c r="C88" s="53">
        <v>10813528</v>
      </c>
      <c r="D88" s="53">
        <v>6842700</v>
      </c>
      <c r="E88" s="53">
        <v>9164389</v>
      </c>
      <c r="F88" s="53">
        <v>5441104</v>
      </c>
      <c r="G88" s="53">
        <v>31527366</v>
      </c>
      <c r="I88" s="20">
        <f t="shared" si="0"/>
        <v>17656228</v>
      </c>
    </row>
    <row r="89" spans="1:9" ht="13.5" customHeight="1">
      <c r="A89" s="51"/>
      <c r="B89" s="52" t="s">
        <v>113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I89" s="20">
        <f t="shared" si="0"/>
        <v>0</v>
      </c>
    </row>
    <row r="90" spans="1:9" ht="13.5" customHeight="1">
      <c r="A90" s="51"/>
      <c r="B90" s="52" t="s">
        <v>209</v>
      </c>
      <c r="C90" s="53">
        <v>0</v>
      </c>
      <c r="D90" s="53">
        <v>0</v>
      </c>
      <c r="E90" s="53">
        <v>0</v>
      </c>
      <c r="F90" s="53">
        <v>0</v>
      </c>
      <c r="G90" s="53">
        <v>0</v>
      </c>
      <c r="I90" s="20">
        <f t="shared" si="0"/>
        <v>0</v>
      </c>
    </row>
    <row r="91" spans="1:9" ht="13.5" customHeight="1">
      <c r="A91" s="51"/>
      <c r="B91" s="52" t="s">
        <v>114</v>
      </c>
      <c r="C91" s="53">
        <f>-44887120-8013768</f>
        <v>-52900888</v>
      </c>
      <c r="D91" s="53">
        <f>-38135248-6437438</f>
        <v>-44572686</v>
      </c>
      <c r="E91" s="53">
        <f>-24797288-6268684</f>
        <v>-31065972</v>
      </c>
      <c r="F91" s="53">
        <f>-62704991-5008463</f>
        <v>-67713454</v>
      </c>
      <c r="G91" s="53">
        <f>-83085242.75-16294137.56</f>
        <v>-99379380.310000002</v>
      </c>
      <c r="I91" s="36">
        <f>SUM(C85:D91)</f>
        <v>68885008</v>
      </c>
    </row>
    <row r="92" spans="1:9" ht="13.5" customHeight="1">
      <c r="A92" s="51"/>
      <c r="B92" s="52" t="s">
        <v>115</v>
      </c>
      <c r="C92" s="53">
        <v>0</v>
      </c>
      <c r="D92" s="53">
        <v>0</v>
      </c>
      <c r="E92" s="53">
        <v>-1</v>
      </c>
      <c r="F92" s="53">
        <v>0</v>
      </c>
      <c r="G92" s="53">
        <v>0</v>
      </c>
    </row>
    <row r="93" spans="1:9" s="40" customFormat="1" ht="13.5" customHeight="1">
      <c r="A93" s="37" t="s">
        <v>116</v>
      </c>
      <c r="B93" s="42"/>
      <c r="C93" s="208">
        <f>SUM(C80:C92)</f>
        <v>38171415</v>
      </c>
      <c r="D93" s="208">
        <f>SUM(D80:D92)</f>
        <v>81535956</v>
      </c>
      <c r="E93" s="208">
        <f>SUM(E80:E92)</f>
        <v>14730337</v>
      </c>
      <c r="F93" s="208">
        <f>SUM(F80:F92)</f>
        <v>26310384</v>
      </c>
      <c r="G93" s="208">
        <f>SUM(G80:G92)</f>
        <v>120760404.50999999</v>
      </c>
      <c r="I93" s="99">
        <f>SUM(C93:D93)</f>
        <v>119707371</v>
      </c>
    </row>
    <row r="94" spans="1:9" ht="13.5" customHeight="1">
      <c r="A94" s="22" t="s">
        <v>154</v>
      </c>
      <c r="B94" s="52"/>
      <c r="C94" s="93"/>
      <c r="D94" s="93"/>
      <c r="E94" s="93"/>
      <c r="F94" s="93"/>
      <c r="G94" s="93"/>
    </row>
    <row r="95" spans="1:9" ht="13.5" customHeight="1">
      <c r="A95" s="51"/>
      <c r="B95" s="52" t="s">
        <v>118</v>
      </c>
      <c r="C95" s="53">
        <v>16498</v>
      </c>
      <c r="D95" s="53">
        <v>0</v>
      </c>
      <c r="E95" s="53">
        <v>1157</v>
      </c>
      <c r="F95" s="53">
        <v>0</v>
      </c>
      <c r="G95" s="53">
        <v>0</v>
      </c>
      <c r="I95" s="96">
        <f t="shared" ref="I95:I111" si="1">SUM(C95:D95)</f>
        <v>16498</v>
      </c>
    </row>
    <row r="96" spans="1:9" ht="13.5" customHeight="1">
      <c r="A96" s="51"/>
      <c r="B96" s="52" t="s">
        <v>119</v>
      </c>
      <c r="C96" s="53">
        <v>941060</v>
      </c>
      <c r="D96" s="53">
        <v>608565</v>
      </c>
      <c r="E96" s="53">
        <v>628355</v>
      </c>
      <c r="F96" s="53">
        <v>2607058</v>
      </c>
      <c r="G96" s="53">
        <v>4528904</v>
      </c>
      <c r="I96" s="96">
        <f t="shared" si="1"/>
        <v>1549625</v>
      </c>
    </row>
    <row r="97" spans="1:9" ht="13.5" customHeight="1">
      <c r="A97" s="51"/>
      <c r="B97" s="52" t="s">
        <v>120</v>
      </c>
      <c r="C97" s="53">
        <v>1068124</v>
      </c>
      <c r="D97" s="53">
        <v>368089</v>
      </c>
      <c r="E97" s="53">
        <v>53653</v>
      </c>
      <c r="F97" s="53">
        <v>0</v>
      </c>
      <c r="G97" s="53">
        <v>426887</v>
      </c>
      <c r="I97" s="96">
        <f t="shared" si="1"/>
        <v>1436213</v>
      </c>
    </row>
    <row r="98" spans="1:9" ht="13.5" customHeight="1">
      <c r="A98" s="51"/>
      <c r="B98" s="52" t="s">
        <v>121</v>
      </c>
      <c r="C98" s="53">
        <v>202545</v>
      </c>
      <c r="D98" s="53">
        <v>212359</v>
      </c>
      <c r="E98" s="53">
        <v>5079</v>
      </c>
      <c r="F98" s="53">
        <v>181064</v>
      </c>
      <c r="G98" s="53">
        <v>817703</v>
      </c>
      <c r="I98" s="96">
        <f t="shared" si="1"/>
        <v>414904</v>
      </c>
    </row>
    <row r="99" spans="1:9" ht="13.5" customHeight="1">
      <c r="A99" s="51"/>
      <c r="B99" s="52" t="s">
        <v>122</v>
      </c>
      <c r="C99" s="53">
        <v>392258</v>
      </c>
      <c r="D99" s="53">
        <v>436674</v>
      </c>
      <c r="E99" s="53">
        <v>2016</v>
      </c>
      <c r="F99" s="53">
        <v>486576</v>
      </c>
      <c r="G99" s="53">
        <v>6471658</v>
      </c>
      <c r="I99" s="96">
        <f t="shared" si="1"/>
        <v>828932</v>
      </c>
    </row>
    <row r="100" spans="1:9" ht="13.5" customHeight="1">
      <c r="A100" s="51"/>
      <c r="B100" s="52" t="s">
        <v>123</v>
      </c>
      <c r="C100" s="53">
        <v>0</v>
      </c>
      <c r="D100" s="53">
        <v>30127</v>
      </c>
      <c r="E100" s="53">
        <v>165534</v>
      </c>
      <c r="F100" s="53">
        <v>0</v>
      </c>
      <c r="G100" s="53">
        <v>0</v>
      </c>
      <c r="I100" s="96">
        <f t="shared" si="1"/>
        <v>30127</v>
      </c>
    </row>
    <row r="101" spans="1:9" ht="13.5" customHeight="1">
      <c r="A101" s="51"/>
      <c r="B101" s="52" t="s">
        <v>124</v>
      </c>
      <c r="C101" s="53">
        <v>2400459</v>
      </c>
      <c r="D101" s="53">
        <v>935843</v>
      </c>
      <c r="E101" s="53">
        <v>371439</v>
      </c>
      <c r="F101" s="53">
        <v>1102673</v>
      </c>
      <c r="G101" s="53">
        <v>630276</v>
      </c>
      <c r="I101" s="96">
        <f t="shared" si="1"/>
        <v>3336302</v>
      </c>
    </row>
    <row r="102" spans="1:9" ht="13.5" customHeight="1">
      <c r="A102" s="51"/>
      <c r="B102" s="52" t="s">
        <v>125</v>
      </c>
      <c r="C102" s="53">
        <v>20725</v>
      </c>
      <c r="D102" s="53">
        <v>0</v>
      </c>
      <c r="E102" s="53">
        <v>694494</v>
      </c>
      <c r="F102" s="53">
        <v>8464219</v>
      </c>
      <c r="G102" s="53">
        <v>59438581</v>
      </c>
      <c r="I102" s="96">
        <f t="shared" si="1"/>
        <v>20725</v>
      </c>
    </row>
    <row r="103" spans="1:9" s="40" customFormat="1" ht="13.5" customHeight="1">
      <c r="A103" s="37" t="s">
        <v>126</v>
      </c>
      <c r="B103" s="42"/>
      <c r="C103" s="43">
        <f>SUM(C95:C102)</f>
        <v>5041669</v>
      </c>
      <c r="D103" s="43">
        <f>SUM(D95:D102)</f>
        <v>2591657</v>
      </c>
      <c r="E103" s="43">
        <f>SUM(E95:E102)</f>
        <v>1921727</v>
      </c>
      <c r="F103" s="43">
        <f>SUM(F95:F102)</f>
        <v>12841590</v>
      </c>
      <c r="G103" s="43">
        <f>SUM(G95:G102)</f>
        <v>72314009</v>
      </c>
      <c r="I103" s="99">
        <f t="shared" si="1"/>
        <v>7633326</v>
      </c>
    </row>
    <row r="104" spans="1:9" ht="13.5" customHeight="1">
      <c r="A104" s="22" t="s">
        <v>127</v>
      </c>
      <c r="B104" s="52"/>
      <c r="C104" s="93"/>
      <c r="D104" s="93"/>
      <c r="E104" s="93"/>
      <c r="F104" s="93"/>
      <c r="G104" s="93"/>
      <c r="I104" s="96">
        <f t="shared" si="1"/>
        <v>0</v>
      </c>
    </row>
    <row r="105" spans="1:9" ht="13.5" customHeight="1">
      <c r="A105" s="51"/>
      <c r="B105" s="52" t="s">
        <v>128</v>
      </c>
      <c r="C105" s="53">
        <v>170339</v>
      </c>
      <c r="D105" s="53">
        <v>13921</v>
      </c>
      <c r="E105" s="53">
        <v>40004</v>
      </c>
      <c r="F105" s="53">
        <v>0</v>
      </c>
      <c r="G105" s="53">
        <v>0</v>
      </c>
      <c r="I105" s="96">
        <f t="shared" si="1"/>
        <v>184260</v>
      </c>
    </row>
    <row r="106" spans="1:9" ht="13.5" customHeight="1">
      <c r="A106" s="51"/>
      <c r="B106" s="52" t="s">
        <v>46</v>
      </c>
      <c r="C106" s="53">
        <f>C59</f>
        <v>11308993</v>
      </c>
      <c r="D106" s="53">
        <f>D59</f>
        <v>31412944</v>
      </c>
      <c r="E106" s="53">
        <f>E59</f>
        <v>4892848</v>
      </c>
      <c r="F106" s="53">
        <f>F59</f>
        <v>-1676508</v>
      </c>
      <c r="G106" s="53">
        <v>8931508.4299999997</v>
      </c>
      <c r="I106" s="96">
        <f t="shared" si="1"/>
        <v>42721937</v>
      </c>
    </row>
    <row r="107" spans="1:9" ht="13.5" customHeight="1">
      <c r="A107" s="51"/>
      <c r="B107" s="52" t="s">
        <v>210</v>
      </c>
      <c r="C107" s="53">
        <f t="shared" ref="C107:F108" si="2">C60</f>
        <v>170339</v>
      </c>
      <c r="D107" s="53">
        <f t="shared" si="2"/>
        <v>112500</v>
      </c>
      <c r="E107" s="53">
        <f t="shared" si="2"/>
        <v>0</v>
      </c>
      <c r="F107" s="53">
        <f t="shared" si="2"/>
        <v>483139</v>
      </c>
      <c r="G107" s="53">
        <v>0</v>
      </c>
      <c r="I107" s="96">
        <f t="shared" si="1"/>
        <v>282839</v>
      </c>
    </row>
    <row r="108" spans="1:9" ht="13.5" customHeight="1">
      <c r="A108" s="51"/>
      <c r="B108" s="52" t="s">
        <v>129</v>
      </c>
      <c r="C108" s="53">
        <f t="shared" si="2"/>
        <v>21480075</v>
      </c>
      <c r="D108" s="53">
        <f t="shared" si="2"/>
        <v>47404934</v>
      </c>
      <c r="E108" s="53">
        <f t="shared" si="2"/>
        <v>7875757</v>
      </c>
      <c r="F108" s="53">
        <f t="shared" si="2"/>
        <v>14662163</v>
      </c>
      <c r="G108" s="53">
        <v>39514892.520000003</v>
      </c>
      <c r="I108" s="96">
        <f t="shared" si="1"/>
        <v>68885009</v>
      </c>
    </row>
    <row r="109" spans="1:9" ht="13.5" customHeight="1">
      <c r="A109" s="101"/>
      <c r="B109" s="102" t="s">
        <v>115</v>
      </c>
      <c r="C109" s="104">
        <v>0</v>
      </c>
      <c r="D109" s="104">
        <v>0</v>
      </c>
      <c r="E109" s="104">
        <v>1</v>
      </c>
      <c r="F109" s="104">
        <v>0</v>
      </c>
      <c r="G109" s="104">
        <v>-5</v>
      </c>
      <c r="I109" s="96">
        <f t="shared" si="1"/>
        <v>0</v>
      </c>
    </row>
    <row r="110" spans="1:9" s="40" customFormat="1" ht="13.5" customHeight="1">
      <c r="A110" s="37" t="s">
        <v>50</v>
      </c>
      <c r="B110" s="106"/>
      <c r="C110" s="107">
        <f>SUM(C105:C109)</f>
        <v>33129746</v>
      </c>
      <c r="D110" s="107">
        <f>SUM(D105:D109)</f>
        <v>78944299</v>
      </c>
      <c r="E110" s="107">
        <f>SUM(E105:E109)</f>
        <v>12808610</v>
      </c>
      <c r="F110" s="107">
        <f>SUM(F105:F109)</f>
        <v>13468794</v>
      </c>
      <c r="G110" s="107">
        <f>SUM(G105:G109)</f>
        <v>48446395.950000003</v>
      </c>
      <c r="I110" s="99">
        <f t="shared" si="1"/>
        <v>112074045</v>
      </c>
    </row>
    <row r="111" spans="1:9" s="40" customFormat="1" ht="13.5" customHeight="1" thickBot="1">
      <c r="A111" s="56" t="s">
        <v>130</v>
      </c>
      <c r="B111" s="57"/>
      <c r="C111" s="109">
        <f>SUM(C103:C109)</f>
        <v>38171415</v>
      </c>
      <c r="D111" s="109">
        <f>SUM(D103:D108)</f>
        <v>81535956</v>
      </c>
      <c r="E111" s="109">
        <f>SUM(E103:E109)</f>
        <v>14730337</v>
      </c>
      <c r="F111" s="109">
        <f>SUM(F103:F109)</f>
        <v>26310384</v>
      </c>
      <c r="G111" s="109">
        <f>SUM(G103:G109)</f>
        <v>120760404.95000002</v>
      </c>
      <c r="I111" s="99">
        <f t="shared" si="1"/>
        <v>119707371</v>
      </c>
    </row>
    <row r="112" spans="1:9" ht="12.75" hidden="1" customHeight="1">
      <c r="A112" s="111"/>
      <c r="B112" s="100" t="s">
        <v>97</v>
      </c>
      <c r="C112" s="164">
        <f>+C93-C111</f>
        <v>0</v>
      </c>
      <c r="D112" s="164">
        <f>+D93-D111</f>
        <v>0</v>
      </c>
      <c r="E112" s="165">
        <f>+E93-E111</f>
        <v>0</v>
      </c>
      <c r="F112" s="164">
        <f>+F93-F111</f>
        <v>0</v>
      </c>
      <c r="G112" s="164"/>
      <c r="H112" s="100"/>
    </row>
    <row r="113" spans="1:8" ht="13.5" customHeight="1">
      <c r="A113" s="100"/>
      <c r="B113" s="142"/>
      <c r="C113" s="144"/>
      <c r="D113" s="144"/>
      <c r="E113" s="144"/>
      <c r="F113" s="144"/>
      <c r="G113" s="144"/>
    </row>
    <row r="114" spans="1:8" ht="39.75" customHeight="1">
      <c r="A114" s="395" t="s">
        <v>131</v>
      </c>
      <c r="B114" s="396"/>
      <c r="C114" s="400">
        <f>C54/(C31)</f>
        <v>8.4605032692675969E-2</v>
      </c>
      <c r="D114" s="400">
        <f>D54/(D31)</f>
        <v>0.21657817101377522</v>
      </c>
      <c r="E114" s="400">
        <f>E54/(E31)</f>
        <v>5.211033393227054E-2</v>
      </c>
      <c r="F114" s="400">
        <f>F54/(F31)</f>
        <v>6.7527049189737023E-2</v>
      </c>
      <c r="G114" s="400">
        <f>G54/(G31)</f>
        <v>3.5495338071006563E-2</v>
      </c>
    </row>
    <row r="115" spans="1:8" ht="24">
      <c r="A115" s="257"/>
      <c r="B115" s="258" t="s">
        <v>132</v>
      </c>
      <c r="C115" s="400"/>
      <c r="D115" s="400"/>
      <c r="E115" s="400"/>
      <c r="F115" s="400"/>
      <c r="G115" s="400"/>
    </row>
    <row r="116" spans="1:8" ht="14.25">
      <c r="A116" s="251" t="s">
        <v>220</v>
      </c>
      <c r="B116" s="252"/>
      <c r="C116" s="401">
        <f>(SUM(C81:C82))/SUM(C95:C100)</f>
        <v>5.5292909518657805</v>
      </c>
      <c r="D116" s="401">
        <f>(SUM(D81:D82))/SUM(D95:D100)</f>
        <v>20.44811917280564</v>
      </c>
      <c r="E116" s="401">
        <f>(SUM(E81:E82))/SUM(E95:E100)</f>
        <v>6.176910564925671</v>
      </c>
      <c r="F116" s="401">
        <f>(SUM(F81:F82))/SUM(F95:F100)</f>
        <v>3.4489925483204864</v>
      </c>
      <c r="G116" s="401">
        <f>(SUM(G81:G82))/SUM(G95:G100)</f>
        <v>1.0499651045572975</v>
      </c>
    </row>
    <row r="117" spans="1:8" ht="36">
      <c r="A117" s="253"/>
      <c r="B117" s="254" t="s">
        <v>221</v>
      </c>
      <c r="C117" s="402"/>
      <c r="D117" s="402"/>
      <c r="E117" s="402"/>
      <c r="F117" s="402"/>
      <c r="G117" s="402"/>
    </row>
    <row r="118" spans="1:8" ht="14.25">
      <c r="A118" s="251" t="s">
        <v>222</v>
      </c>
      <c r="B118" s="252"/>
      <c r="C118" s="401">
        <f>(SUM(C81:C82))/SUM(C95:C101)</f>
        <v>2.8857967744710953</v>
      </c>
      <c r="D118" s="401">
        <f>(SUM(D81:D82))/SUM(D95:D101)</f>
        <v>13.064337603317105</v>
      </c>
      <c r="E118" s="401">
        <f>(SUM(E81:E82))/SUM(E95:E101)</f>
        <v>4.3073833575205365</v>
      </c>
      <c r="F118" s="401">
        <f>(SUM(F81:F82))/SUM(F95:F101)</f>
        <v>2.5801808893968547</v>
      </c>
      <c r="G118" s="401">
        <f>(SUM(G81:G82))/SUM(G95:G101)</f>
        <v>0.99856737189629741</v>
      </c>
    </row>
    <row r="119" spans="1:8" ht="36">
      <c r="A119" s="253"/>
      <c r="B119" s="254" t="s">
        <v>223</v>
      </c>
      <c r="C119" s="402"/>
      <c r="D119" s="402"/>
      <c r="E119" s="402"/>
      <c r="F119" s="402"/>
      <c r="G119" s="402"/>
    </row>
    <row r="120" spans="1:8" s="256" customFormat="1" ht="8.1" customHeight="1">
      <c r="A120" s="263"/>
      <c r="B120" s="264"/>
      <c r="C120" s="265"/>
      <c r="D120" s="265"/>
      <c r="E120" s="265"/>
      <c r="F120" s="265"/>
      <c r="G120" s="265"/>
    </row>
    <row r="121" spans="1:8" ht="13.5" customHeight="1">
      <c r="A121" s="259" t="s">
        <v>133</v>
      </c>
      <c r="B121" s="260"/>
      <c r="C121" s="399">
        <f>C103/C93</f>
        <v>0.13207969890558158</v>
      </c>
      <c r="D121" s="399">
        <f>D103/D93</f>
        <v>3.17854493543928E-2</v>
      </c>
      <c r="E121" s="399">
        <f>E103/E93</f>
        <v>0.13046049116187905</v>
      </c>
      <c r="F121" s="399">
        <f>F103/F93</f>
        <v>0.48808067567542912</v>
      </c>
      <c r="G121" s="399">
        <f>G103/G93</f>
        <v>0.59882218259720865</v>
      </c>
    </row>
    <row r="122" spans="1:8" ht="25.5">
      <c r="A122" s="257"/>
      <c r="B122" s="261" t="s">
        <v>134</v>
      </c>
      <c r="C122" s="399"/>
      <c r="D122" s="399"/>
      <c r="E122" s="399"/>
      <c r="F122" s="399"/>
      <c r="G122" s="399"/>
    </row>
    <row r="123" spans="1:8" ht="13.5" customHeight="1">
      <c r="A123" s="259" t="s">
        <v>135</v>
      </c>
      <c r="B123" s="262"/>
      <c r="C123" s="399">
        <f>C110/C93</f>
        <v>0.86792030109441842</v>
      </c>
      <c r="D123" s="399">
        <f>D110/D93</f>
        <v>0.96821455064560724</v>
      </c>
      <c r="E123" s="399">
        <f>E110/E93</f>
        <v>0.86953950883812092</v>
      </c>
      <c r="F123" s="399">
        <f>F110/F93</f>
        <v>0.51191932432457088</v>
      </c>
      <c r="G123" s="399">
        <f>G110/G93</f>
        <v>0.40117782104636979</v>
      </c>
    </row>
    <row r="124" spans="1:8" ht="24">
      <c r="A124" s="257"/>
      <c r="B124" s="258" t="s">
        <v>136</v>
      </c>
      <c r="C124" s="399"/>
      <c r="D124" s="399"/>
      <c r="E124" s="399"/>
      <c r="F124" s="399"/>
      <c r="G124" s="399"/>
    </row>
    <row r="125" spans="1:8" ht="13.5" customHeight="1">
      <c r="A125" s="397" t="s">
        <v>137</v>
      </c>
      <c r="B125" s="398"/>
      <c r="C125" s="399">
        <f>C103/C110</f>
        <v>0.15217952470870136</v>
      </c>
      <c r="D125" s="399">
        <f>D103/D110</f>
        <v>3.2828931700311884E-2</v>
      </c>
      <c r="E125" s="399">
        <f>E103/E110</f>
        <v>0.15003400056680624</v>
      </c>
      <c r="F125" s="399">
        <f>F103/F110</f>
        <v>0.95343280177868928</v>
      </c>
      <c r="G125" s="399">
        <f>G103/G110</f>
        <v>1.4926602398789997</v>
      </c>
    </row>
    <row r="126" spans="1:8">
      <c r="A126" s="257"/>
      <c r="B126" s="258" t="s">
        <v>138</v>
      </c>
      <c r="C126" s="399"/>
      <c r="D126" s="399"/>
      <c r="E126" s="399"/>
      <c r="F126" s="399"/>
      <c r="G126" s="399"/>
    </row>
    <row r="127" spans="1:8" s="256" customFormat="1" ht="8.1" customHeight="1">
      <c r="A127" s="267"/>
      <c r="B127" s="268"/>
      <c r="C127" s="284"/>
      <c r="D127" s="284"/>
      <c r="E127" s="284"/>
      <c r="F127" s="284"/>
      <c r="G127" s="284"/>
    </row>
    <row r="128" spans="1:8">
      <c r="A128" s="277" t="s">
        <v>139</v>
      </c>
      <c r="B128" s="278"/>
      <c r="C128" s="114">
        <v>182</v>
      </c>
      <c r="D128" s="114">
        <v>89</v>
      </c>
      <c r="E128" s="114">
        <v>146</v>
      </c>
      <c r="F128" s="114">
        <v>166</v>
      </c>
      <c r="G128" s="114">
        <f>109+656+533</f>
        <v>1298</v>
      </c>
      <c r="H128" s="227">
        <f>AVERAGE(C128:G128)</f>
        <v>376.2</v>
      </c>
    </row>
    <row r="129" spans="1:8" s="256" customFormat="1" ht="8.1" customHeight="1">
      <c r="A129" s="273"/>
      <c r="B129" s="268"/>
      <c r="C129" s="285"/>
      <c r="D129" s="285"/>
      <c r="E129" s="285"/>
      <c r="F129" s="285"/>
      <c r="G129" s="285"/>
    </row>
    <row r="130" spans="1:8">
      <c r="A130" s="283" t="s">
        <v>140</v>
      </c>
      <c r="B130" s="283"/>
      <c r="C130" s="276">
        <v>743789</v>
      </c>
      <c r="D130" s="276">
        <v>1013154</v>
      </c>
      <c r="E130" s="276">
        <v>289031</v>
      </c>
      <c r="F130" s="114">
        <v>577646</v>
      </c>
      <c r="G130" s="114">
        <v>683768</v>
      </c>
      <c r="H130" s="125">
        <f>AVERAGE(C130:G130)</f>
        <v>661477.6</v>
      </c>
    </row>
    <row r="131" spans="1:8">
      <c r="A131" s="275" t="s">
        <v>143</v>
      </c>
      <c r="B131" s="275"/>
      <c r="C131" s="276">
        <v>70523</v>
      </c>
      <c r="D131" s="276">
        <v>307587</v>
      </c>
      <c r="E131" s="276">
        <v>10991</v>
      </c>
      <c r="F131" s="114">
        <v>208495</v>
      </c>
      <c r="G131" s="114">
        <v>593049</v>
      </c>
      <c r="H131" s="125">
        <f>AVERAGE(C131:G131)</f>
        <v>238129</v>
      </c>
    </row>
    <row r="132" spans="1:8">
      <c r="A132" s="275" t="s">
        <v>144</v>
      </c>
      <c r="B132" s="275"/>
      <c r="C132" s="288">
        <v>814312</v>
      </c>
      <c r="D132" s="288">
        <v>1320741</v>
      </c>
      <c r="E132" s="288">
        <v>300022</v>
      </c>
      <c r="F132" s="176">
        <v>786141</v>
      </c>
      <c r="G132" s="176">
        <v>1276817</v>
      </c>
      <c r="H132" s="125">
        <f>AVERAGE(C132:G132)</f>
        <v>899606.6</v>
      </c>
    </row>
    <row r="133" spans="1:8">
      <c r="A133" s="20" t="s">
        <v>203</v>
      </c>
      <c r="C133" s="146"/>
      <c r="D133" s="146"/>
      <c r="E133" s="146"/>
      <c r="F133" s="147"/>
      <c r="G133" s="147"/>
      <c r="H133" s="125"/>
    </row>
    <row r="135" spans="1:8">
      <c r="A135" s="357"/>
      <c r="B135" s="91"/>
    </row>
    <row r="136" spans="1:8">
      <c r="A136" s="357"/>
      <c r="B136" s="91"/>
    </row>
  </sheetData>
  <mergeCells count="40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D114:D115"/>
    <mergeCell ref="E114:E115"/>
    <mergeCell ref="F114:F115"/>
    <mergeCell ref="G114:G115"/>
    <mergeCell ref="D116:D117"/>
    <mergeCell ref="E116:E117"/>
    <mergeCell ref="F116:F117"/>
    <mergeCell ref="G116:G117"/>
    <mergeCell ref="F2:F3"/>
    <mergeCell ref="G2:G3"/>
    <mergeCell ref="A125:B125"/>
    <mergeCell ref="A65:B65"/>
    <mergeCell ref="A1:B3"/>
    <mergeCell ref="C2:C3"/>
    <mergeCell ref="D2:D3"/>
    <mergeCell ref="E2:E3"/>
    <mergeCell ref="A114:B114"/>
    <mergeCell ref="A75:B76"/>
    <mergeCell ref="C114:C115"/>
    <mergeCell ref="C116:C117"/>
    <mergeCell ref="C118:C119"/>
    <mergeCell ref="C121:C122"/>
    <mergeCell ref="C123:C124"/>
    <mergeCell ref="C125:C126"/>
  </mergeCells>
  <conditionalFormatting sqref="C114:F115">
    <cfRule type="cellIs" dxfId="3" priority="6" operator="lessThan">
      <formula>0</formula>
    </cfRule>
  </conditionalFormatting>
  <conditionalFormatting sqref="C63:F63">
    <cfRule type="cellIs" dxfId="2" priority="5" operator="lessThan">
      <formula>0</formula>
    </cfRule>
  </conditionalFormatting>
  <conditionalFormatting sqref="G63">
    <cfRule type="cellIs" dxfId="1" priority="2" operator="lessThan">
      <formula>0</formula>
    </cfRule>
  </conditionalFormatting>
  <conditionalFormatting sqref="G114:G115">
    <cfRule type="cellIs" dxfId="0" priority="1" operator="lessThan">
      <formula>0</formula>
    </cfRule>
  </conditionalFormatting>
  <printOptions horizontalCentered="1"/>
  <pageMargins left="0.5" right="0.5" top="0.75" bottom="0.35" header="0.5" footer="0.15"/>
  <pageSetup scale="65" fitToHeight="2" orientation="portrait" r:id="rId1"/>
  <headerFooter alignWithMargins="0">
    <oddHeader>&amp;C&amp;"Arial,Bold"&amp;14CLASS VII FAIRS</oddHeader>
    <oddFooter xml:space="preserve">&amp;CFairs and Expositions&amp;R
</oddFooter>
  </headerFooter>
  <rowBreaks count="1" manualBreakCount="1">
    <brk id="74" max="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43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20" sqref="E20"/>
    </sheetView>
  </sheetViews>
  <sheetFormatPr defaultRowHeight="12.75"/>
  <cols>
    <col min="1" max="1" width="4.7109375" style="20" customWidth="1"/>
    <col min="2" max="2" width="50.7109375" style="20" customWidth="1"/>
    <col min="3" max="3" width="12.7109375" style="117" customWidth="1"/>
    <col min="4" max="7" width="12.7109375" style="20" customWidth="1"/>
    <col min="8" max="8" width="12.7109375" style="87" customWidth="1"/>
    <col min="9" max="9" width="12.7109375" style="20" customWidth="1"/>
    <col min="10" max="10" width="12.7109375" style="87" customWidth="1"/>
    <col min="11" max="11" width="12.7109375" style="20" customWidth="1"/>
    <col min="12" max="13" width="12.7109375" style="87" customWidth="1"/>
    <col min="14" max="14" width="12.7109375" style="20" customWidth="1"/>
    <col min="15" max="15" width="13.42578125" style="20" bestFit="1" customWidth="1"/>
    <col min="16" max="16" width="2.140625" style="20" customWidth="1"/>
    <col min="17" max="17" width="12" style="20" customWidth="1"/>
    <col min="18" max="16384" width="9.140625" style="20"/>
  </cols>
  <sheetData>
    <row r="1" spans="1:17" ht="12" customHeight="1">
      <c r="A1" s="383"/>
      <c r="B1" s="384"/>
      <c r="C1" s="310"/>
      <c r="D1" s="310"/>
      <c r="E1" s="310"/>
      <c r="F1" s="310"/>
      <c r="G1" s="310"/>
      <c r="H1" s="310"/>
      <c r="I1" s="310"/>
      <c r="J1" s="356"/>
      <c r="K1" s="310"/>
      <c r="L1" s="310"/>
      <c r="M1" s="310"/>
      <c r="N1" s="311"/>
    </row>
    <row r="2" spans="1:17" ht="12" customHeight="1">
      <c r="A2" s="385"/>
      <c r="B2" s="386"/>
      <c r="C2" s="387" t="s">
        <v>32</v>
      </c>
      <c r="D2" s="387" t="s">
        <v>33</v>
      </c>
      <c r="E2" s="387" t="s">
        <v>34</v>
      </c>
      <c r="F2" s="387" t="s">
        <v>35</v>
      </c>
      <c r="G2" s="387" t="s">
        <v>36</v>
      </c>
      <c r="H2" s="387" t="s">
        <v>37</v>
      </c>
      <c r="I2" s="387" t="s">
        <v>38</v>
      </c>
      <c r="J2" s="387" t="s">
        <v>230</v>
      </c>
      <c r="K2" s="387" t="s">
        <v>39</v>
      </c>
      <c r="L2" s="387" t="s">
        <v>40</v>
      </c>
      <c r="M2" s="387" t="s">
        <v>41</v>
      </c>
      <c r="N2" s="389" t="s">
        <v>42</v>
      </c>
    </row>
    <row r="3" spans="1:17" ht="69" customHeight="1">
      <c r="A3" s="385"/>
      <c r="B3" s="386"/>
      <c r="C3" s="387"/>
      <c r="D3" s="387"/>
      <c r="E3" s="387"/>
      <c r="F3" s="387"/>
      <c r="G3" s="387"/>
      <c r="H3" s="387"/>
      <c r="I3" s="390"/>
      <c r="J3" s="387"/>
      <c r="K3" s="387"/>
      <c r="L3" s="387"/>
      <c r="M3" s="387"/>
      <c r="N3" s="389"/>
      <c r="O3" s="21" t="s">
        <v>43</v>
      </c>
      <c r="Q3" s="20" t="s">
        <v>44</v>
      </c>
    </row>
    <row r="4" spans="1:17" ht="12.95" customHeight="1">
      <c r="A4" s="22" t="s">
        <v>45</v>
      </c>
      <c r="B4" s="23"/>
      <c r="C4" s="24"/>
      <c r="D4" s="25"/>
      <c r="E4" s="25"/>
      <c r="F4" s="25"/>
      <c r="G4" s="25"/>
      <c r="H4" s="26"/>
      <c r="I4" s="25"/>
      <c r="J4" s="26"/>
      <c r="K4" s="25"/>
      <c r="L4" s="26"/>
      <c r="M4" s="26"/>
      <c r="N4" s="27"/>
    </row>
    <row r="5" spans="1:17" ht="12.95" customHeight="1">
      <c r="A5" s="22"/>
      <c r="B5" s="23" t="s">
        <v>46</v>
      </c>
      <c r="C5" s="28">
        <v>170635</v>
      </c>
      <c r="D5" s="29">
        <v>188634</v>
      </c>
      <c r="E5" s="29">
        <v>135594</v>
      </c>
      <c r="F5" s="29">
        <v>-491011</v>
      </c>
      <c r="G5" s="29">
        <v>-236712</v>
      </c>
      <c r="H5" s="29">
        <v>111674</v>
      </c>
      <c r="I5" s="29">
        <v>-14301</v>
      </c>
      <c r="J5" s="29">
        <v>42342</v>
      </c>
      <c r="K5" s="29">
        <v>200017</v>
      </c>
      <c r="L5" s="29">
        <v>669338</v>
      </c>
      <c r="M5" s="29">
        <v>398664</v>
      </c>
      <c r="N5" s="30">
        <v>310445</v>
      </c>
    </row>
    <row r="6" spans="1:17" ht="12.95" customHeight="1">
      <c r="A6" s="22"/>
      <c r="B6" s="31" t="s">
        <v>47</v>
      </c>
      <c r="C6" s="28">
        <v>0</v>
      </c>
      <c r="D6" s="29">
        <v>0</v>
      </c>
      <c r="E6" s="29">
        <v>0</v>
      </c>
      <c r="F6" s="29">
        <v>2971485</v>
      </c>
      <c r="G6" s="29">
        <v>3000000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30">
        <v>0</v>
      </c>
    </row>
    <row r="7" spans="1:17" ht="12.95" customHeight="1">
      <c r="A7" s="22"/>
      <c r="B7" s="23" t="s">
        <v>48</v>
      </c>
      <c r="C7" s="28">
        <v>885452</v>
      </c>
      <c r="D7" s="29">
        <v>1529715</v>
      </c>
      <c r="E7" s="29">
        <v>550146</v>
      </c>
      <c r="F7" s="29">
        <v>290665</v>
      </c>
      <c r="G7" s="29">
        <v>0</v>
      </c>
      <c r="H7" s="29">
        <v>9402</v>
      </c>
      <c r="I7" s="29">
        <v>1154853</v>
      </c>
      <c r="J7" s="29">
        <v>419971</v>
      </c>
      <c r="K7" s="29">
        <v>2599059</v>
      </c>
      <c r="L7" s="29">
        <v>768199</v>
      </c>
      <c r="M7" s="29">
        <v>129966</v>
      </c>
      <c r="N7" s="32">
        <v>988988</v>
      </c>
    </row>
    <row r="8" spans="1:17" ht="12.95" customHeight="1">
      <c r="A8" s="22"/>
      <c r="B8" s="23" t="s">
        <v>49</v>
      </c>
      <c r="C8" s="33">
        <v>17068</v>
      </c>
      <c r="D8" s="34">
        <v>0</v>
      </c>
      <c r="E8" s="34">
        <v>0</v>
      </c>
      <c r="F8" s="34">
        <v>0</v>
      </c>
      <c r="G8" s="34">
        <v>0</v>
      </c>
      <c r="H8" s="34">
        <v>3</v>
      </c>
      <c r="I8" s="34">
        <v>0</v>
      </c>
      <c r="J8" s="34">
        <v>55411</v>
      </c>
      <c r="K8" s="34">
        <v>0</v>
      </c>
      <c r="L8" s="34">
        <v>-1791</v>
      </c>
      <c r="M8" s="34">
        <v>0</v>
      </c>
      <c r="N8" s="35">
        <v>0</v>
      </c>
      <c r="Q8" s="36">
        <f>SUM(C8:J8)</f>
        <v>72482</v>
      </c>
    </row>
    <row r="9" spans="1:17" s="40" customFormat="1" ht="12.95" customHeight="1" thickBot="1">
      <c r="A9" s="56"/>
      <c r="B9" s="153" t="s">
        <v>50</v>
      </c>
      <c r="C9" s="109">
        <f>SUM(C5:C8)</f>
        <v>1073155</v>
      </c>
      <c r="D9" s="109">
        <f t="shared" ref="D9:N9" si="0">SUM(D5:D8)</f>
        <v>1718349</v>
      </c>
      <c r="E9" s="109">
        <f t="shared" si="0"/>
        <v>685740</v>
      </c>
      <c r="F9" s="109">
        <f t="shared" si="0"/>
        <v>2771139</v>
      </c>
      <c r="G9" s="109">
        <f t="shared" si="0"/>
        <v>2763288</v>
      </c>
      <c r="H9" s="109">
        <f>SUM(H5:H8)</f>
        <v>121079</v>
      </c>
      <c r="I9" s="109">
        <f t="shared" si="0"/>
        <v>1140552</v>
      </c>
      <c r="J9" s="109">
        <f t="shared" ref="J9" si="1">SUM(J5:J8)</f>
        <v>517724</v>
      </c>
      <c r="K9" s="109">
        <f t="shared" si="0"/>
        <v>2799076</v>
      </c>
      <c r="L9" s="109">
        <f t="shared" si="0"/>
        <v>1435746</v>
      </c>
      <c r="M9" s="109">
        <f>SUM(M5:M8)</f>
        <v>528630</v>
      </c>
      <c r="N9" s="110">
        <f t="shared" si="0"/>
        <v>1299433</v>
      </c>
      <c r="Q9" s="36">
        <f>SUM(C9:J9)</f>
        <v>10791026</v>
      </c>
    </row>
    <row r="10" spans="1:17" s="40" customFormat="1" ht="12.95" customHeight="1">
      <c r="A10" s="62" t="s">
        <v>51</v>
      </c>
      <c r="B10" s="63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</row>
    <row r="11" spans="1:17" s="40" customFormat="1" ht="12.95" customHeight="1">
      <c r="A11" s="41"/>
      <c r="B11" s="42" t="s">
        <v>52</v>
      </c>
      <c r="C11" s="43">
        <v>40000</v>
      </c>
      <c r="D11" s="43">
        <v>40000</v>
      </c>
      <c r="E11" s="43">
        <v>90920</v>
      </c>
      <c r="F11" s="43">
        <v>33000</v>
      </c>
      <c r="G11" s="43">
        <v>39600</v>
      </c>
      <c r="H11" s="43">
        <v>0</v>
      </c>
      <c r="I11" s="43">
        <v>40000</v>
      </c>
      <c r="J11" s="43">
        <v>90920</v>
      </c>
      <c r="K11" s="43">
        <v>40000</v>
      </c>
      <c r="L11" s="43">
        <v>40000</v>
      </c>
      <c r="M11" s="43">
        <v>0</v>
      </c>
      <c r="N11" s="44">
        <v>40000</v>
      </c>
      <c r="Q11" s="36">
        <f>SUM(C11:J11)</f>
        <v>374440</v>
      </c>
    </row>
    <row r="12" spans="1:17" s="40" customFormat="1" ht="12.95" customHeight="1">
      <c r="A12" s="41"/>
      <c r="B12" s="42" t="s">
        <v>53</v>
      </c>
      <c r="C12" s="43">
        <v>0</v>
      </c>
      <c r="D12" s="43">
        <v>63063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4">
        <v>0</v>
      </c>
      <c r="Q12" s="36">
        <f>SUM(C12:J12)</f>
        <v>63063</v>
      </c>
    </row>
    <row r="13" spans="1:17" s="40" customFormat="1" ht="12.95" customHeight="1" thickBot="1">
      <c r="A13" s="292"/>
      <c r="B13" s="57" t="s">
        <v>54</v>
      </c>
      <c r="C13" s="58">
        <v>0</v>
      </c>
      <c r="D13" s="58">
        <f>1262+21843</f>
        <v>23105</v>
      </c>
      <c r="E13" s="58">
        <v>0</v>
      </c>
      <c r="F13" s="58">
        <v>0</v>
      </c>
      <c r="G13" s="58">
        <v>0</v>
      </c>
      <c r="H13" s="58">
        <v>0</v>
      </c>
      <c r="I13" s="58">
        <v>17341</v>
      </c>
      <c r="J13" s="58">
        <v>0</v>
      </c>
      <c r="K13" s="58">
        <v>0</v>
      </c>
      <c r="L13" s="58">
        <v>0</v>
      </c>
      <c r="M13" s="58">
        <v>0</v>
      </c>
      <c r="N13" s="152">
        <v>25000</v>
      </c>
      <c r="Q13" s="36">
        <f>SUM(C13:J13)</f>
        <v>40446</v>
      </c>
    </row>
    <row r="14" spans="1:17" ht="12.95" customHeight="1">
      <c r="A14" s="45" t="s">
        <v>55</v>
      </c>
      <c r="B14" s="46"/>
      <c r="C14" s="47"/>
      <c r="D14" s="48"/>
      <c r="E14" s="48"/>
      <c r="F14" s="48"/>
      <c r="G14" s="48"/>
      <c r="H14" s="49"/>
      <c r="I14" s="48"/>
      <c r="J14" s="49"/>
      <c r="K14" s="48"/>
      <c r="L14" s="49"/>
      <c r="M14" s="49"/>
      <c r="N14" s="50"/>
    </row>
    <row r="15" spans="1:17" ht="12.95" customHeight="1">
      <c r="A15" s="51"/>
      <c r="B15" s="52" t="s">
        <v>56</v>
      </c>
      <c r="C15" s="33">
        <v>0</v>
      </c>
      <c r="D15" s="53">
        <v>86703</v>
      </c>
      <c r="E15" s="53">
        <v>16032</v>
      </c>
      <c r="F15" s="53">
        <v>0</v>
      </c>
      <c r="G15" s="53">
        <v>0</v>
      </c>
      <c r="H15" s="34">
        <v>190221</v>
      </c>
      <c r="I15" s="53">
        <v>38906</v>
      </c>
      <c r="J15" s="34">
        <v>63548</v>
      </c>
      <c r="K15" s="53">
        <v>82232</v>
      </c>
      <c r="L15" s="34">
        <v>86956</v>
      </c>
      <c r="M15" s="34">
        <v>60434</v>
      </c>
      <c r="N15" s="30">
        <v>0</v>
      </c>
    </row>
    <row r="16" spans="1:17" ht="12.95" customHeight="1">
      <c r="A16" s="51"/>
      <c r="B16" s="52" t="s">
        <v>57</v>
      </c>
      <c r="C16" s="33">
        <v>25538</v>
      </c>
      <c r="D16" s="53">
        <v>22672</v>
      </c>
      <c r="E16" s="53">
        <v>1750</v>
      </c>
      <c r="F16" s="53">
        <v>0</v>
      </c>
      <c r="G16" s="53">
        <v>0</v>
      </c>
      <c r="H16" s="34">
        <v>93926</v>
      </c>
      <c r="I16" s="53">
        <v>12369</v>
      </c>
      <c r="J16" s="34">
        <v>7395</v>
      </c>
      <c r="K16" s="53">
        <v>13260</v>
      </c>
      <c r="L16" s="34">
        <v>14567</v>
      </c>
      <c r="M16" s="34">
        <v>9825</v>
      </c>
      <c r="N16" s="30">
        <v>0</v>
      </c>
    </row>
    <row r="17" spans="1:19" ht="12.95" customHeight="1">
      <c r="A17" s="51"/>
      <c r="B17" s="52" t="s">
        <v>58</v>
      </c>
      <c r="C17" s="33">
        <v>83354</v>
      </c>
      <c r="D17" s="53">
        <v>0</v>
      </c>
      <c r="E17" s="53">
        <v>5925</v>
      </c>
      <c r="F17" s="53">
        <v>0</v>
      </c>
      <c r="G17" s="53">
        <v>0</v>
      </c>
      <c r="H17" s="34">
        <v>115862</v>
      </c>
      <c r="I17" s="53">
        <v>39845</v>
      </c>
      <c r="J17" s="34">
        <v>37485</v>
      </c>
      <c r="K17" s="53">
        <v>0</v>
      </c>
      <c r="L17" s="34">
        <v>35020</v>
      </c>
      <c r="M17" s="34">
        <v>54860</v>
      </c>
      <c r="N17" s="30">
        <v>0</v>
      </c>
    </row>
    <row r="18" spans="1:19" ht="12.95" customHeight="1">
      <c r="A18" s="51"/>
      <c r="B18" s="52" t="s">
        <v>59</v>
      </c>
      <c r="C18" s="33">
        <v>67471</v>
      </c>
      <c r="D18" s="53">
        <v>46541</v>
      </c>
      <c r="E18" s="53">
        <v>12804</v>
      </c>
      <c r="F18" s="53">
        <v>0</v>
      </c>
      <c r="G18" s="53">
        <v>0</v>
      </c>
      <c r="H18" s="34">
        <v>108317</v>
      </c>
      <c r="I18" s="53"/>
      <c r="J18" s="34">
        <v>25287</v>
      </c>
      <c r="K18" s="53">
        <v>73252</v>
      </c>
      <c r="L18" s="34">
        <v>43362</v>
      </c>
      <c r="M18" s="34">
        <v>58614</v>
      </c>
      <c r="N18" s="30">
        <v>0</v>
      </c>
    </row>
    <row r="19" spans="1:19" ht="12.95" customHeight="1">
      <c r="A19" s="51"/>
      <c r="B19" s="52" t="s">
        <v>60</v>
      </c>
      <c r="C19" s="33">
        <v>10709</v>
      </c>
      <c r="D19" s="53">
        <v>23059</v>
      </c>
      <c r="E19" s="53">
        <v>27367</v>
      </c>
      <c r="F19" s="53">
        <v>0</v>
      </c>
      <c r="G19" s="53">
        <v>5950</v>
      </c>
      <c r="H19" s="34">
        <v>63833</v>
      </c>
      <c r="I19" s="53">
        <v>4028</v>
      </c>
      <c r="J19" s="34">
        <v>25</v>
      </c>
      <c r="K19" s="53">
        <v>28320</v>
      </c>
      <c r="L19" s="34">
        <v>19798</v>
      </c>
      <c r="M19" s="34">
        <v>4338</v>
      </c>
      <c r="N19" s="30">
        <v>8280</v>
      </c>
    </row>
    <row r="20" spans="1:19" ht="12.95" customHeight="1">
      <c r="A20" s="51"/>
      <c r="B20" s="52" t="s">
        <v>61</v>
      </c>
      <c r="C20" s="33">
        <v>0</v>
      </c>
      <c r="D20" s="53">
        <v>62890</v>
      </c>
      <c r="E20" s="53">
        <v>38058</v>
      </c>
      <c r="F20" s="53">
        <v>0</v>
      </c>
      <c r="G20" s="53">
        <v>0</v>
      </c>
      <c r="H20" s="34">
        <v>7957</v>
      </c>
      <c r="I20" s="53">
        <v>0</v>
      </c>
      <c r="J20" s="34">
        <v>0</v>
      </c>
      <c r="K20" s="53">
        <v>0</v>
      </c>
      <c r="L20" s="34">
        <v>-25</v>
      </c>
      <c r="M20" s="34">
        <v>0</v>
      </c>
      <c r="N20" s="30">
        <v>0</v>
      </c>
    </row>
    <row r="21" spans="1:19" ht="12.95" customHeight="1">
      <c r="A21" s="51"/>
      <c r="B21" s="52" t="s">
        <v>62</v>
      </c>
      <c r="C21" s="33">
        <v>0</v>
      </c>
      <c r="D21" s="53">
        <v>0</v>
      </c>
      <c r="E21" s="53">
        <v>0</v>
      </c>
      <c r="F21" s="53">
        <v>0</v>
      </c>
      <c r="G21" s="53">
        <v>0</v>
      </c>
      <c r="H21" s="34"/>
      <c r="I21" s="53">
        <v>0</v>
      </c>
      <c r="J21" s="34">
        <v>0</v>
      </c>
      <c r="K21" s="53">
        <v>0</v>
      </c>
      <c r="L21" s="34">
        <v>0</v>
      </c>
      <c r="M21" s="34">
        <v>0</v>
      </c>
      <c r="N21" s="30">
        <v>0</v>
      </c>
    </row>
    <row r="22" spans="1:19" ht="12.95" customHeight="1">
      <c r="A22" s="51"/>
      <c r="B22" s="52" t="s">
        <v>63</v>
      </c>
      <c r="C22" s="33">
        <v>0</v>
      </c>
      <c r="D22" s="53">
        <v>0</v>
      </c>
      <c r="E22" s="53">
        <v>0</v>
      </c>
      <c r="F22" s="53">
        <v>0</v>
      </c>
      <c r="G22" s="53">
        <v>0</v>
      </c>
      <c r="H22" s="34"/>
      <c r="I22" s="53">
        <v>0</v>
      </c>
      <c r="J22" s="34">
        <v>0</v>
      </c>
      <c r="K22" s="53">
        <v>0</v>
      </c>
      <c r="L22" s="34">
        <v>0</v>
      </c>
      <c r="M22" s="34">
        <v>0</v>
      </c>
      <c r="N22" s="30">
        <v>0</v>
      </c>
    </row>
    <row r="23" spans="1:19" ht="12.95" customHeight="1">
      <c r="A23" s="51"/>
      <c r="B23" s="52" t="s">
        <v>64</v>
      </c>
      <c r="C23" s="33">
        <v>20325</v>
      </c>
      <c r="D23" s="53">
        <v>20361</v>
      </c>
      <c r="E23" s="53">
        <v>17625</v>
      </c>
      <c r="F23" s="53">
        <v>0</v>
      </c>
      <c r="G23" s="53">
        <v>0</v>
      </c>
      <c r="H23" s="34">
        <v>42597</v>
      </c>
      <c r="I23" s="53">
        <v>1854</v>
      </c>
      <c r="J23" s="34">
        <v>0</v>
      </c>
      <c r="K23" s="53">
        <v>13580</v>
      </c>
      <c r="L23" s="34">
        <v>0</v>
      </c>
      <c r="M23" s="34">
        <v>65470</v>
      </c>
      <c r="N23" s="30">
        <v>1280</v>
      </c>
    </row>
    <row r="24" spans="1:19" ht="12.95" customHeight="1">
      <c r="A24" s="51"/>
      <c r="B24" s="52" t="s">
        <v>65</v>
      </c>
      <c r="C24" s="33">
        <v>0</v>
      </c>
      <c r="D24" s="53">
        <v>0</v>
      </c>
      <c r="E24" s="53">
        <v>0</v>
      </c>
      <c r="F24" s="53">
        <v>0</v>
      </c>
      <c r="G24" s="53">
        <v>0</v>
      </c>
      <c r="H24" s="34">
        <v>0</v>
      </c>
      <c r="I24" s="53">
        <v>0</v>
      </c>
      <c r="J24" s="34">
        <v>0</v>
      </c>
      <c r="K24" s="53">
        <v>0</v>
      </c>
      <c r="L24" s="34">
        <v>0</v>
      </c>
      <c r="M24" s="34">
        <v>56306</v>
      </c>
      <c r="N24" s="30">
        <v>5057</v>
      </c>
    </row>
    <row r="25" spans="1:19" ht="12.95" customHeight="1">
      <c r="A25" s="51"/>
      <c r="B25" s="52" t="s">
        <v>66</v>
      </c>
      <c r="C25" s="33">
        <v>0</v>
      </c>
      <c r="D25" s="53">
        <v>0</v>
      </c>
      <c r="E25" s="53">
        <v>0</v>
      </c>
      <c r="F25" s="53">
        <v>0</v>
      </c>
      <c r="G25" s="53">
        <v>0</v>
      </c>
      <c r="H25" s="34">
        <v>0</v>
      </c>
      <c r="I25" s="53">
        <v>0</v>
      </c>
      <c r="J25" s="34">
        <v>0</v>
      </c>
      <c r="K25" s="53">
        <v>26898</v>
      </c>
      <c r="L25" s="34">
        <v>0</v>
      </c>
      <c r="M25" s="34">
        <v>0</v>
      </c>
      <c r="N25" s="30">
        <v>0</v>
      </c>
    </row>
    <row r="26" spans="1:19" ht="12.95" customHeight="1">
      <c r="A26" s="51"/>
      <c r="B26" s="52" t="s">
        <v>67</v>
      </c>
      <c r="C26" s="33">
        <v>49229</v>
      </c>
      <c r="D26" s="53">
        <v>165439</v>
      </c>
      <c r="E26" s="53">
        <v>7074</v>
      </c>
      <c r="F26" s="53">
        <v>2500</v>
      </c>
      <c r="G26" s="53">
        <v>0</v>
      </c>
      <c r="H26" s="34">
        <v>99774</v>
      </c>
      <c r="I26" s="53">
        <v>22390</v>
      </c>
      <c r="J26" s="34">
        <v>71777</v>
      </c>
      <c r="K26" s="53">
        <v>71369</v>
      </c>
      <c r="L26" s="34">
        <v>49905</v>
      </c>
      <c r="M26" s="34">
        <v>26705</v>
      </c>
      <c r="N26" s="30">
        <v>3906</v>
      </c>
    </row>
    <row r="27" spans="1:19" ht="12.95" customHeight="1">
      <c r="A27" s="51"/>
      <c r="B27" s="52" t="s">
        <v>68</v>
      </c>
      <c r="C27" s="33">
        <v>35963</v>
      </c>
      <c r="D27" s="53">
        <v>0</v>
      </c>
      <c r="E27" s="53">
        <v>15399</v>
      </c>
      <c r="F27" s="53">
        <v>0</v>
      </c>
      <c r="G27" s="53">
        <v>0</v>
      </c>
      <c r="H27" s="34">
        <v>20</v>
      </c>
      <c r="I27" s="53">
        <v>11118</v>
      </c>
      <c r="J27" s="34">
        <v>0</v>
      </c>
      <c r="K27" s="53">
        <v>83595</v>
      </c>
      <c r="L27" s="34">
        <v>55300</v>
      </c>
      <c r="M27" s="34">
        <v>0</v>
      </c>
      <c r="N27" s="30">
        <v>0</v>
      </c>
    </row>
    <row r="28" spans="1:19" ht="12.95" customHeight="1">
      <c r="A28" s="51"/>
      <c r="B28" s="52" t="s">
        <v>69</v>
      </c>
      <c r="C28" s="33">
        <v>187843</v>
      </c>
      <c r="D28" s="53">
        <v>236764</v>
      </c>
      <c r="E28" s="53">
        <v>0</v>
      </c>
      <c r="F28" s="53">
        <v>2</v>
      </c>
      <c r="G28" s="53">
        <v>0</v>
      </c>
      <c r="H28" s="34">
        <v>6949</v>
      </c>
      <c r="I28" s="53">
        <v>74119</v>
      </c>
      <c r="J28" s="34">
        <v>71436</v>
      </c>
      <c r="K28" s="53">
        <v>86013</v>
      </c>
      <c r="L28" s="34">
        <v>104807</v>
      </c>
      <c r="M28" s="34">
        <v>90874</v>
      </c>
      <c r="N28" s="30">
        <v>408313</v>
      </c>
      <c r="Q28" s="36">
        <f>SUM(C28:J28)</f>
        <v>577113</v>
      </c>
    </row>
    <row r="29" spans="1:19" ht="12.95" customHeight="1">
      <c r="A29" s="51"/>
      <c r="B29" s="52" t="s">
        <v>70</v>
      </c>
      <c r="C29" s="33">
        <v>3986</v>
      </c>
      <c r="D29" s="53">
        <v>360</v>
      </c>
      <c r="E29" s="53">
        <v>0</v>
      </c>
      <c r="F29" s="53">
        <v>7914</v>
      </c>
      <c r="G29" s="53">
        <v>0</v>
      </c>
      <c r="H29" s="34">
        <v>-1286</v>
      </c>
      <c r="I29" s="53">
        <v>791</v>
      </c>
      <c r="J29" s="34">
        <v>0</v>
      </c>
      <c r="K29" s="53">
        <v>0</v>
      </c>
      <c r="L29" s="34">
        <v>653</v>
      </c>
      <c r="M29" s="34">
        <v>926</v>
      </c>
      <c r="N29" s="30">
        <v>0</v>
      </c>
      <c r="Q29" s="36">
        <f>SUM(C29:J29)</f>
        <v>11765</v>
      </c>
    </row>
    <row r="30" spans="1:19" ht="12.95" customHeight="1">
      <c r="A30" s="51"/>
      <c r="B30" s="52" t="s">
        <v>71</v>
      </c>
      <c r="C30" s="28">
        <v>20768</v>
      </c>
      <c r="D30" s="54">
        <v>57695</v>
      </c>
      <c r="E30" s="54">
        <v>5891</v>
      </c>
      <c r="F30" s="54">
        <v>9537</v>
      </c>
      <c r="G30" s="54">
        <v>9174</v>
      </c>
      <c r="H30" s="29">
        <v>182</v>
      </c>
      <c r="I30" s="54">
        <f>3946+156196</f>
        <v>160142</v>
      </c>
      <c r="J30" s="29">
        <v>25049</v>
      </c>
      <c r="K30" s="54">
        <v>3518</v>
      </c>
      <c r="L30" s="29">
        <v>3001</v>
      </c>
      <c r="M30" s="29">
        <v>575</v>
      </c>
      <c r="N30" s="55">
        <v>556</v>
      </c>
      <c r="O30" s="36"/>
      <c r="Q30" s="36">
        <f>SUM(C30:J30)</f>
        <v>288438</v>
      </c>
      <c r="R30" s="36">
        <f>+Q30+Q29+Q8</f>
        <v>372685</v>
      </c>
      <c r="S30" s="20" t="s">
        <v>72</v>
      </c>
    </row>
    <row r="31" spans="1:19" s="40" customFormat="1" ht="12.95" customHeight="1" thickBot="1">
      <c r="A31" s="56" t="s">
        <v>73</v>
      </c>
      <c r="B31" s="57"/>
      <c r="C31" s="58">
        <f>SUM(C15:C30)</f>
        <v>505186</v>
      </c>
      <c r="D31" s="58">
        <f>SUM(D15:D30)</f>
        <v>722484</v>
      </c>
      <c r="E31" s="58">
        <f>SUM(E15:E30)</f>
        <v>147925</v>
      </c>
      <c r="F31" s="58">
        <f>SUM(F15:F30)</f>
        <v>19953</v>
      </c>
      <c r="G31" s="58">
        <f t="shared" ref="G31:N31" si="2">SUM(G15:G30)</f>
        <v>15124</v>
      </c>
      <c r="H31" s="58">
        <f t="shared" si="2"/>
        <v>728352</v>
      </c>
      <c r="I31" s="58">
        <f t="shared" si="2"/>
        <v>365562</v>
      </c>
      <c r="J31" s="58">
        <f t="shared" si="2"/>
        <v>302002</v>
      </c>
      <c r="K31" s="58">
        <f t="shared" si="2"/>
        <v>482037</v>
      </c>
      <c r="L31" s="58">
        <f t="shared" si="2"/>
        <v>413344</v>
      </c>
      <c r="M31" s="58">
        <f t="shared" si="2"/>
        <v>428927</v>
      </c>
      <c r="N31" s="152">
        <f t="shared" si="2"/>
        <v>427392</v>
      </c>
      <c r="O31" s="59">
        <f>AVERAGE(C31:N31)</f>
        <v>379857.33333333331</v>
      </c>
      <c r="P31" s="59"/>
      <c r="Q31" s="59">
        <f>SUM(C31:J31)+SUM(C11:J13)</f>
        <v>3284537</v>
      </c>
      <c r="R31" s="40" t="s">
        <v>74</v>
      </c>
    </row>
    <row r="32" spans="1:19" ht="12.95" customHeight="1">
      <c r="A32" s="45" t="s">
        <v>75</v>
      </c>
      <c r="B32" s="46"/>
      <c r="C32" s="47"/>
      <c r="D32" s="48"/>
      <c r="E32" s="48"/>
      <c r="F32" s="48"/>
      <c r="G32" s="48"/>
      <c r="H32" s="49"/>
      <c r="I32" s="48"/>
      <c r="J32" s="49"/>
      <c r="K32" s="48"/>
      <c r="L32" s="49"/>
      <c r="M32" s="49"/>
      <c r="N32" s="50"/>
    </row>
    <row r="33" spans="1:17" ht="12.95" customHeight="1">
      <c r="A33" s="51"/>
      <c r="B33" s="52" t="s">
        <v>76</v>
      </c>
      <c r="C33" s="33">
        <v>175816</v>
      </c>
      <c r="D33" s="53">
        <v>265107</v>
      </c>
      <c r="E33" s="53">
        <v>161321</v>
      </c>
      <c r="F33" s="53">
        <v>216724</v>
      </c>
      <c r="G33" s="53">
        <v>84733</v>
      </c>
      <c r="H33" s="34">
        <v>248731</v>
      </c>
      <c r="I33" s="53">
        <v>145065</v>
      </c>
      <c r="J33" s="34">
        <v>170286</v>
      </c>
      <c r="K33" s="53">
        <v>239676</v>
      </c>
      <c r="L33" s="34">
        <v>140111</v>
      </c>
      <c r="M33" s="34">
        <v>165540</v>
      </c>
      <c r="N33" s="30">
        <v>146291</v>
      </c>
      <c r="Q33" s="36">
        <f>SUM(C33:J33)</f>
        <v>1467783</v>
      </c>
    </row>
    <row r="34" spans="1:17" ht="12.95" customHeight="1">
      <c r="A34" s="51"/>
      <c r="B34" s="52" t="s">
        <v>77</v>
      </c>
      <c r="C34" s="33">
        <v>250901</v>
      </c>
      <c r="D34" s="53">
        <v>238854</v>
      </c>
      <c r="E34" s="53">
        <v>125794</v>
      </c>
      <c r="F34" s="53">
        <v>9406</v>
      </c>
      <c r="G34" s="53">
        <v>0</v>
      </c>
      <c r="H34" s="34">
        <v>5437</v>
      </c>
      <c r="I34" s="53">
        <v>114307</v>
      </c>
      <c r="J34" s="34">
        <v>131686</v>
      </c>
      <c r="K34" s="53">
        <v>82986</v>
      </c>
      <c r="L34" s="34">
        <v>149846</v>
      </c>
      <c r="M34" s="34">
        <v>123800</v>
      </c>
      <c r="N34" s="30">
        <v>167981</v>
      </c>
      <c r="Q34" s="36">
        <f>SUM(C34:J34)</f>
        <v>876385</v>
      </c>
    </row>
    <row r="35" spans="1:17" ht="12.95" customHeight="1">
      <c r="A35" s="51"/>
      <c r="B35" s="52" t="s">
        <v>78</v>
      </c>
      <c r="C35" s="33">
        <v>16901</v>
      </c>
      <c r="D35" s="53">
        <v>30033</v>
      </c>
      <c r="E35" s="53">
        <v>2757</v>
      </c>
      <c r="F35" s="53">
        <v>4186</v>
      </c>
      <c r="G35" s="53">
        <v>0</v>
      </c>
      <c r="H35" s="34">
        <v>76666</v>
      </c>
      <c r="I35" s="53">
        <v>7549</v>
      </c>
      <c r="J35" s="34">
        <v>7352</v>
      </c>
      <c r="K35" s="53">
        <v>16843</v>
      </c>
      <c r="L35" s="34">
        <v>18902</v>
      </c>
      <c r="M35" s="34">
        <v>9276</v>
      </c>
      <c r="N35" s="30">
        <v>6749</v>
      </c>
    </row>
    <row r="36" spans="1:17" ht="12.95" customHeight="1">
      <c r="A36" s="51"/>
      <c r="B36" s="52" t="s">
        <v>79</v>
      </c>
      <c r="C36" s="33">
        <v>21381</v>
      </c>
      <c r="D36" s="53">
        <v>33066</v>
      </c>
      <c r="E36" s="53">
        <v>6752</v>
      </c>
      <c r="F36" s="53">
        <v>0</v>
      </c>
      <c r="G36" s="53">
        <v>0</v>
      </c>
      <c r="H36" s="34">
        <v>0</v>
      </c>
      <c r="I36" s="53">
        <v>17152</v>
      </c>
      <c r="J36" s="34">
        <v>11954</v>
      </c>
      <c r="K36" s="53">
        <v>18321</v>
      </c>
      <c r="L36" s="34">
        <v>13820</v>
      </c>
      <c r="M36" s="34">
        <v>0</v>
      </c>
      <c r="N36" s="30">
        <v>4516</v>
      </c>
    </row>
    <row r="37" spans="1:17" ht="12.95" customHeight="1">
      <c r="A37" s="51"/>
      <c r="B37" s="52" t="s">
        <v>67</v>
      </c>
      <c r="C37" s="33">
        <v>11867</v>
      </c>
      <c r="D37" s="53">
        <v>15208</v>
      </c>
      <c r="E37" s="53">
        <v>18644</v>
      </c>
      <c r="F37" s="53">
        <v>3477</v>
      </c>
      <c r="G37" s="53">
        <v>0</v>
      </c>
      <c r="H37" s="34">
        <v>22025</v>
      </c>
      <c r="I37" s="53">
        <v>2842</v>
      </c>
      <c r="J37" s="34">
        <v>12990</v>
      </c>
      <c r="K37" s="53">
        <v>16016</v>
      </c>
      <c r="L37" s="34">
        <v>40784</v>
      </c>
      <c r="M37" s="34">
        <v>26898</v>
      </c>
      <c r="N37" s="30">
        <v>2986</v>
      </c>
    </row>
    <row r="38" spans="1:17" ht="12.95" customHeight="1">
      <c r="A38" s="51"/>
      <c r="B38" s="52" t="s">
        <v>80</v>
      </c>
      <c r="C38" s="33">
        <v>24014</v>
      </c>
      <c r="D38" s="53">
        <v>0</v>
      </c>
      <c r="E38" s="53">
        <v>0</v>
      </c>
      <c r="F38" s="53">
        <v>569</v>
      </c>
      <c r="G38" s="53">
        <v>0</v>
      </c>
      <c r="H38" s="34">
        <v>0</v>
      </c>
      <c r="I38" s="53">
        <v>13523</v>
      </c>
      <c r="J38" s="34">
        <v>6580</v>
      </c>
      <c r="K38" s="53">
        <v>27723</v>
      </c>
      <c r="L38" s="34">
        <v>8484</v>
      </c>
      <c r="M38" s="34">
        <v>0</v>
      </c>
      <c r="N38" s="30">
        <v>0</v>
      </c>
    </row>
    <row r="39" spans="1:17" ht="12.95" customHeight="1">
      <c r="A39" s="51"/>
      <c r="B39" s="52" t="s">
        <v>81</v>
      </c>
      <c r="C39" s="33">
        <v>22665</v>
      </c>
      <c r="D39" s="53">
        <v>7781</v>
      </c>
      <c r="E39" s="53">
        <v>8565</v>
      </c>
      <c r="F39" s="53">
        <v>20316</v>
      </c>
      <c r="G39" s="53">
        <v>8000</v>
      </c>
      <c r="H39" s="34">
        <v>1162</v>
      </c>
      <c r="I39" s="53">
        <v>884</v>
      </c>
      <c r="J39" s="34">
        <v>3615</v>
      </c>
      <c r="K39" s="53">
        <v>13985</v>
      </c>
      <c r="L39" s="34">
        <v>39502</v>
      </c>
      <c r="M39" s="34">
        <v>13433</v>
      </c>
      <c r="N39" s="30">
        <v>2650</v>
      </c>
    </row>
    <row r="40" spans="1:17" ht="12.95" customHeight="1">
      <c r="A40" s="51"/>
      <c r="B40" s="52" t="s">
        <v>60</v>
      </c>
      <c r="C40" s="33">
        <v>21950</v>
      </c>
      <c r="D40" s="53">
        <v>24650</v>
      </c>
      <c r="E40" s="53">
        <v>12391</v>
      </c>
      <c r="F40" s="53">
        <v>47311</v>
      </c>
      <c r="G40" s="53">
        <v>3988</v>
      </c>
      <c r="H40" s="34">
        <v>51311</v>
      </c>
      <c r="I40" s="53">
        <v>1225</v>
      </c>
      <c r="J40" s="34">
        <v>11062</v>
      </c>
      <c r="K40" s="53">
        <v>7977</v>
      </c>
      <c r="L40" s="34">
        <v>30653</v>
      </c>
      <c r="M40" s="34">
        <v>9174</v>
      </c>
      <c r="N40" s="30">
        <v>7128</v>
      </c>
    </row>
    <row r="41" spans="1:17" ht="12.95" customHeight="1">
      <c r="A41" s="51"/>
      <c r="B41" s="52" t="s">
        <v>61</v>
      </c>
      <c r="C41" s="33">
        <v>557</v>
      </c>
      <c r="D41" s="53">
        <v>54281</v>
      </c>
      <c r="E41" s="53">
        <v>34858</v>
      </c>
      <c r="F41" s="53">
        <v>0</v>
      </c>
      <c r="G41" s="53">
        <v>0</v>
      </c>
      <c r="H41" s="34">
        <v>275</v>
      </c>
      <c r="I41" s="53">
        <v>0</v>
      </c>
      <c r="J41" s="34">
        <v>0</v>
      </c>
      <c r="K41" s="53">
        <v>0</v>
      </c>
      <c r="L41" s="34">
        <v>766</v>
      </c>
      <c r="M41" s="34">
        <v>0</v>
      </c>
      <c r="N41" s="30">
        <v>120</v>
      </c>
    </row>
    <row r="42" spans="1:17" ht="12.95" customHeight="1">
      <c r="A42" s="51"/>
      <c r="B42" s="52" t="s">
        <v>62</v>
      </c>
      <c r="C42" s="33">
        <v>0</v>
      </c>
      <c r="D42" s="53">
        <v>0</v>
      </c>
      <c r="E42" s="53">
        <v>0</v>
      </c>
      <c r="F42" s="53">
        <v>0</v>
      </c>
      <c r="G42" s="53">
        <v>0</v>
      </c>
      <c r="H42" s="34">
        <v>0</v>
      </c>
      <c r="I42" s="53">
        <v>0</v>
      </c>
      <c r="J42" s="34">
        <v>0</v>
      </c>
      <c r="K42" s="53">
        <v>0</v>
      </c>
      <c r="L42" s="34">
        <v>0</v>
      </c>
      <c r="M42" s="34">
        <v>0</v>
      </c>
      <c r="N42" s="30">
        <v>0</v>
      </c>
    </row>
    <row r="43" spans="1:17" ht="12.95" customHeight="1">
      <c r="A43" s="51"/>
      <c r="B43" s="52" t="s">
        <v>63</v>
      </c>
      <c r="C43" s="33">
        <v>0</v>
      </c>
      <c r="D43" s="53">
        <v>0</v>
      </c>
      <c r="E43" s="53">
        <v>0</v>
      </c>
      <c r="F43" s="53">
        <v>0</v>
      </c>
      <c r="G43" s="53">
        <v>0</v>
      </c>
      <c r="H43" s="34">
        <v>0</v>
      </c>
      <c r="I43" s="53">
        <v>0</v>
      </c>
      <c r="J43" s="34">
        <v>0</v>
      </c>
      <c r="K43" s="53">
        <v>0</v>
      </c>
      <c r="L43" s="34">
        <v>0</v>
      </c>
      <c r="M43" s="34">
        <v>0</v>
      </c>
      <c r="N43" s="30">
        <v>0</v>
      </c>
    </row>
    <row r="44" spans="1:17" ht="12.95" customHeight="1">
      <c r="A44" s="51"/>
      <c r="B44" s="52" t="s">
        <v>82</v>
      </c>
      <c r="C44" s="33">
        <v>68164</v>
      </c>
      <c r="D44" s="53">
        <v>47569</v>
      </c>
      <c r="E44" s="53">
        <v>21846</v>
      </c>
      <c r="F44" s="53">
        <v>11404</v>
      </c>
      <c r="G44" s="53">
        <v>0</v>
      </c>
      <c r="H44" s="34">
        <v>224783</v>
      </c>
      <c r="I44" s="53">
        <v>46357</v>
      </c>
      <c r="J44" s="34">
        <v>30800</v>
      </c>
      <c r="K44" s="53">
        <v>82855</v>
      </c>
      <c r="L44" s="34">
        <v>29425</v>
      </c>
      <c r="M44" s="34">
        <v>87808</v>
      </c>
      <c r="N44" s="30">
        <v>1136</v>
      </c>
    </row>
    <row r="45" spans="1:17" ht="12.95" customHeight="1">
      <c r="A45" s="51"/>
      <c r="B45" s="52" t="s">
        <v>65</v>
      </c>
      <c r="C45" s="33">
        <v>0</v>
      </c>
      <c r="D45" s="53">
        <v>0</v>
      </c>
      <c r="E45" s="53">
        <v>0</v>
      </c>
      <c r="F45" s="53">
        <v>0</v>
      </c>
      <c r="G45" s="53">
        <v>0</v>
      </c>
      <c r="H45" s="34">
        <v>0</v>
      </c>
      <c r="I45" s="53">
        <v>0</v>
      </c>
      <c r="J45" s="34">
        <v>0</v>
      </c>
      <c r="K45" s="53">
        <v>0</v>
      </c>
      <c r="L45" s="34">
        <v>0</v>
      </c>
      <c r="M45" s="34">
        <v>25752</v>
      </c>
      <c r="N45" s="30">
        <v>0</v>
      </c>
    </row>
    <row r="46" spans="1:17" ht="12.95" customHeight="1">
      <c r="A46" s="51"/>
      <c r="B46" s="52" t="s">
        <v>83</v>
      </c>
      <c r="C46" s="33">
        <v>0</v>
      </c>
      <c r="D46" s="53">
        <v>11850</v>
      </c>
      <c r="E46" s="53">
        <v>0</v>
      </c>
      <c r="F46" s="53">
        <v>0</v>
      </c>
      <c r="G46" s="53">
        <v>0</v>
      </c>
      <c r="H46" s="34">
        <v>0</v>
      </c>
      <c r="I46" s="53">
        <v>0</v>
      </c>
      <c r="J46" s="34">
        <v>0</v>
      </c>
      <c r="K46" s="53">
        <v>0</v>
      </c>
      <c r="L46" s="34">
        <v>-65</v>
      </c>
      <c r="M46" s="34">
        <v>8354</v>
      </c>
      <c r="N46" s="30">
        <v>0</v>
      </c>
    </row>
    <row r="47" spans="1:17" ht="12.95" customHeight="1">
      <c r="A47" s="51"/>
      <c r="B47" s="52" t="s">
        <v>84</v>
      </c>
      <c r="C47" s="33">
        <v>1169</v>
      </c>
      <c r="D47" s="53">
        <v>19493</v>
      </c>
      <c r="E47" s="53">
        <v>0</v>
      </c>
      <c r="F47" s="53">
        <v>0</v>
      </c>
      <c r="G47" s="53">
        <v>0</v>
      </c>
      <c r="H47" s="34">
        <v>111627</v>
      </c>
      <c r="I47" s="53">
        <v>10317</v>
      </c>
      <c r="J47" s="34">
        <v>0</v>
      </c>
      <c r="K47" s="53">
        <v>0</v>
      </c>
      <c r="L47" s="34">
        <v>798</v>
      </c>
      <c r="M47" s="34">
        <v>0</v>
      </c>
      <c r="N47" s="30">
        <v>0</v>
      </c>
    </row>
    <row r="48" spans="1:17" ht="12.95" customHeight="1">
      <c r="A48" s="51"/>
      <c r="B48" s="52" t="s">
        <v>85</v>
      </c>
      <c r="C48" s="33">
        <v>11090</v>
      </c>
      <c r="D48" s="53">
        <v>3842</v>
      </c>
      <c r="E48" s="33">
        <v>799</v>
      </c>
      <c r="F48" s="53">
        <v>445</v>
      </c>
      <c r="G48" s="53">
        <v>85</v>
      </c>
      <c r="H48" s="34">
        <v>-14600</v>
      </c>
      <c r="I48" s="53">
        <v>284</v>
      </c>
      <c r="J48" s="34">
        <v>0</v>
      </c>
      <c r="K48" s="53">
        <v>60</v>
      </c>
      <c r="L48" s="34">
        <v>0</v>
      </c>
      <c r="M48" s="34">
        <v>0</v>
      </c>
      <c r="N48" s="30">
        <v>11823</v>
      </c>
    </row>
    <row r="49" spans="1:17" ht="12.95" customHeight="1">
      <c r="A49" s="51"/>
      <c r="B49" s="52" t="s">
        <v>86</v>
      </c>
      <c r="C49" s="33">
        <v>-5</v>
      </c>
      <c r="D49" s="53">
        <v>37</v>
      </c>
      <c r="E49" s="53">
        <v>0</v>
      </c>
      <c r="F49" s="53">
        <v>0</v>
      </c>
      <c r="G49" s="53">
        <v>0</v>
      </c>
      <c r="H49" s="34">
        <v>0</v>
      </c>
      <c r="I49" s="53">
        <v>-639</v>
      </c>
      <c r="J49" s="34">
        <v>77</v>
      </c>
      <c r="K49" s="53">
        <v>180</v>
      </c>
      <c r="L49" s="34">
        <v>-1</v>
      </c>
      <c r="M49" s="34">
        <v>0</v>
      </c>
      <c r="N49" s="30">
        <v>0</v>
      </c>
    </row>
    <row r="50" spans="1:17" ht="12.95" customHeight="1">
      <c r="A50" s="51"/>
      <c r="B50" s="52" t="s">
        <v>87</v>
      </c>
      <c r="C50" s="33">
        <v>0</v>
      </c>
      <c r="D50" s="53">
        <v>4829</v>
      </c>
      <c r="E50" s="53">
        <v>1640</v>
      </c>
      <c r="F50" s="53">
        <v>0</v>
      </c>
      <c r="G50" s="53">
        <v>0</v>
      </c>
      <c r="H50" s="34">
        <v>0</v>
      </c>
      <c r="I50" s="53">
        <v>49762</v>
      </c>
      <c r="J50" s="34">
        <v>0</v>
      </c>
      <c r="K50" s="53">
        <v>0</v>
      </c>
      <c r="L50" s="34">
        <v>-891</v>
      </c>
      <c r="M50" s="34">
        <v>0</v>
      </c>
      <c r="N50" s="30">
        <v>0</v>
      </c>
    </row>
    <row r="51" spans="1:17" s="40" customFormat="1" ht="12.95" customHeight="1" thickBot="1">
      <c r="A51" s="56" t="s">
        <v>88</v>
      </c>
      <c r="B51" s="57"/>
      <c r="C51" s="60">
        <f t="shared" ref="C51:L51" si="3">SUM(C33:C50)</f>
        <v>626470</v>
      </c>
      <c r="D51" s="60">
        <f t="shared" si="3"/>
        <v>756600</v>
      </c>
      <c r="E51" s="60">
        <f t="shared" si="3"/>
        <v>395367</v>
      </c>
      <c r="F51" s="60">
        <f t="shared" si="3"/>
        <v>313838</v>
      </c>
      <c r="G51" s="60">
        <f t="shared" si="3"/>
        <v>96806</v>
      </c>
      <c r="H51" s="60">
        <f t="shared" si="3"/>
        <v>727417</v>
      </c>
      <c r="I51" s="60">
        <f t="shared" si="3"/>
        <v>408628</v>
      </c>
      <c r="J51" s="60">
        <f t="shared" si="3"/>
        <v>386402</v>
      </c>
      <c r="K51" s="60">
        <f t="shared" si="3"/>
        <v>506622</v>
      </c>
      <c r="L51" s="60">
        <f t="shared" si="3"/>
        <v>472134</v>
      </c>
      <c r="M51" s="61">
        <f>SUM(M33:M50)</f>
        <v>470035</v>
      </c>
      <c r="N51" s="61">
        <f>SUM(N33:N50)</f>
        <v>351380</v>
      </c>
      <c r="O51" s="59">
        <f>AVERAGE(C51:N51)</f>
        <v>459308.25</v>
      </c>
      <c r="P51" s="59"/>
      <c r="Q51" s="59">
        <f>SUM(C51:J51)+SUM(C53:J53)</f>
        <v>4027860</v>
      </c>
    </row>
    <row r="52" spans="1:17" ht="12.95" customHeight="1">
      <c r="A52" s="45" t="s">
        <v>89</v>
      </c>
      <c r="B52" s="46"/>
      <c r="C52" s="28">
        <v>0</v>
      </c>
      <c r="D52" s="54">
        <v>0</v>
      </c>
      <c r="E52" s="54">
        <v>0</v>
      </c>
      <c r="F52" s="54">
        <v>0</v>
      </c>
      <c r="G52" s="54">
        <v>0</v>
      </c>
      <c r="H52" s="29">
        <v>0</v>
      </c>
      <c r="I52" s="54">
        <v>0</v>
      </c>
      <c r="J52" s="29"/>
      <c r="K52" s="54">
        <v>0</v>
      </c>
      <c r="L52" s="29"/>
      <c r="M52" s="29"/>
      <c r="N52" s="55">
        <v>0</v>
      </c>
    </row>
    <row r="53" spans="1:17" s="40" customFormat="1" ht="12.95" customHeight="1">
      <c r="A53" s="41"/>
      <c r="B53" s="42" t="s">
        <v>90</v>
      </c>
      <c r="C53" s="43">
        <v>53531</v>
      </c>
      <c r="D53" s="43">
        <v>75791</v>
      </c>
      <c r="E53" s="43">
        <v>32108</v>
      </c>
      <c r="F53" s="43">
        <v>16148</v>
      </c>
      <c r="G53" s="43">
        <v>0</v>
      </c>
      <c r="H53" s="228">
        <v>324</v>
      </c>
      <c r="I53" s="43">
        <v>83240</v>
      </c>
      <c r="J53" s="43">
        <v>55190</v>
      </c>
      <c r="K53" s="43">
        <v>158825</v>
      </c>
      <c r="L53" s="43">
        <v>48705</v>
      </c>
      <c r="M53" s="44">
        <v>4990</v>
      </c>
      <c r="N53" s="44">
        <v>88109</v>
      </c>
      <c r="Q53" s="36">
        <f>SUM(C53:J53)</f>
        <v>316332</v>
      </c>
    </row>
    <row r="54" spans="1:17" s="40" customFormat="1" ht="12.95" customHeight="1">
      <c r="A54" s="62" t="s">
        <v>91</v>
      </c>
      <c r="B54" s="63"/>
      <c r="C54" s="43">
        <f t="shared" ref="C54:L54" si="4">+C31-C51</f>
        <v>-121284</v>
      </c>
      <c r="D54" s="43">
        <f t="shared" si="4"/>
        <v>-34116</v>
      </c>
      <c r="E54" s="43">
        <f t="shared" si="4"/>
        <v>-247442</v>
      </c>
      <c r="F54" s="43">
        <f t="shared" si="4"/>
        <v>-293885</v>
      </c>
      <c r="G54" s="43">
        <f t="shared" si="4"/>
        <v>-81682</v>
      </c>
      <c r="H54" s="43">
        <f t="shared" si="4"/>
        <v>935</v>
      </c>
      <c r="I54" s="43">
        <f t="shared" si="4"/>
        <v>-43066</v>
      </c>
      <c r="J54" s="43">
        <f t="shared" ref="J54" si="5">+J31-J51</f>
        <v>-84400</v>
      </c>
      <c r="K54" s="43">
        <f t="shared" si="4"/>
        <v>-24585</v>
      </c>
      <c r="L54" s="43">
        <f t="shared" si="4"/>
        <v>-58790</v>
      </c>
      <c r="M54" s="43">
        <f>+M31-M51</f>
        <v>-41108</v>
      </c>
      <c r="N54" s="44">
        <f>+N31-N51</f>
        <v>76012</v>
      </c>
      <c r="O54" s="59">
        <f>AVERAGE(C54:N54)</f>
        <v>-79450.916666666672</v>
      </c>
    </row>
    <row r="55" spans="1:17" s="40" customFormat="1" ht="12.95" customHeight="1">
      <c r="A55" s="62" t="s">
        <v>92</v>
      </c>
      <c r="B55" s="63"/>
      <c r="C55" s="43">
        <f t="shared" ref="C55:L55" si="6">+C31-C51-C53</f>
        <v>-174815</v>
      </c>
      <c r="D55" s="43">
        <f t="shared" si="6"/>
        <v>-109907</v>
      </c>
      <c r="E55" s="43">
        <f t="shared" si="6"/>
        <v>-279550</v>
      </c>
      <c r="F55" s="43">
        <f t="shared" si="6"/>
        <v>-310033</v>
      </c>
      <c r="G55" s="43">
        <f t="shared" si="6"/>
        <v>-81682</v>
      </c>
      <c r="H55" s="43">
        <f t="shared" si="6"/>
        <v>611</v>
      </c>
      <c r="I55" s="43">
        <f t="shared" si="6"/>
        <v>-126306</v>
      </c>
      <c r="J55" s="43">
        <f t="shared" ref="J55" si="7">+J31-J51-J53</f>
        <v>-139590</v>
      </c>
      <c r="K55" s="43">
        <f t="shared" si="6"/>
        <v>-183410</v>
      </c>
      <c r="L55" s="43">
        <f t="shared" si="6"/>
        <v>-107495</v>
      </c>
      <c r="M55" s="43">
        <f>+M31-M51-M53</f>
        <v>-46098</v>
      </c>
      <c r="N55" s="44">
        <f>+N31-N51-N53</f>
        <v>-12097</v>
      </c>
      <c r="O55" s="59">
        <f>AVERAGE(C55:N55)</f>
        <v>-130864.33333333333</v>
      </c>
    </row>
    <row r="56" spans="1:17" s="40" customFormat="1" ht="12.95" customHeight="1">
      <c r="A56" s="62" t="s">
        <v>93</v>
      </c>
      <c r="B56" s="63"/>
      <c r="C56" s="43">
        <f t="shared" ref="C56:L56" si="8">+C11+C12+C13+C31+-C51</f>
        <v>-81284</v>
      </c>
      <c r="D56" s="43">
        <f t="shared" si="8"/>
        <v>92052</v>
      </c>
      <c r="E56" s="43">
        <f t="shared" si="8"/>
        <v>-156522</v>
      </c>
      <c r="F56" s="43">
        <f t="shared" si="8"/>
        <v>-260885</v>
      </c>
      <c r="G56" s="43">
        <f t="shared" si="8"/>
        <v>-42082</v>
      </c>
      <c r="H56" s="43">
        <f t="shared" si="8"/>
        <v>935</v>
      </c>
      <c r="I56" s="43">
        <f t="shared" si="8"/>
        <v>14275</v>
      </c>
      <c r="J56" s="43">
        <f t="shared" ref="J56" si="9">+J11+J12+J13+J31+-J51</f>
        <v>6520</v>
      </c>
      <c r="K56" s="43">
        <f t="shared" si="8"/>
        <v>15415</v>
      </c>
      <c r="L56" s="43">
        <f t="shared" si="8"/>
        <v>-18790</v>
      </c>
      <c r="M56" s="43">
        <f>+M11+M12+M13+M31+-M51</f>
        <v>-41108</v>
      </c>
      <c r="N56" s="44">
        <f>+N11+N12+N13+N31+-N51</f>
        <v>141012</v>
      </c>
      <c r="O56" s="59">
        <f>AVERAGE(C56:N56)</f>
        <v>-27538.5</v>
      </c>
      <c r="P56" s="59"/>
    </row>
    <row r="57" spans="1:17" s="40" customFormat="1" ht="12.95" customHeight="1">
      <c r="A57" s="62" t="s">
        <v>94</v>
      </c>
      <c r="B57" s="63"/>
      <c r="C57" s="43">
        <f t="shared" ref="C57:L57" si="10">+C11+C12+C13+C31-C51-C53</f>
        <v>-134815</v>
      </c>
      <c r="D57" s="43">
        <f t="shared" si="10"/>
        <v>16261</v>
      </c>
      <c r="E57" s="43">
        <f t="shared" si="10"/>
        <v>-188630</v>
      </c>
      <c r="F57" s="43">
        <f t="shared" si="10"/>
        <v>-277033</v>
      </c>
      <c r="G57" s="43">
        <f t="shared" si="10"/>
        <v>-42082</v>
      </c>
      <c r="H57" s="43">
        <f t="shared" si="10"/>
        <v>611</v>
      </c>
      <c r="I57" s="43">
        <f t="shared" si="10"/>
        <v>-68965</v>
      </c>
      <c r="J57" s="43">
        <f t="shared" ref="J57" si="11">+J11+J12+J13+J31-J51-J53</f>
        <v>-48670</v>
      </c>
      <c r="K57" s="43">
        <f t="shared" si="10"/>
        <v>-143410</v>
      </c>
      <c r="L57" s="43">
        <f t="shared" si="10"/>
        <v>-67495</v>
      </c>
      <c r="M57" s="43">
        <f>+M11+M12+M13+M31-M51-M53</f>
        <v>-46098</v>
      </c>
      <c r="N57" s="44">
        <f>+N11+N12+N13+N31-N51-N53</f>
        <v>52903</v>
      </c>
      <c r="O57" s="59">
        <f>AVERAGE(C57:N57)</f>
        <v>-78951.916666666672</v>
      </c>
      <c r="P57" s="59"/>
      <c r="Q57" s="59">
        <f>SUM(C57:J57)</f>
        <v>-743323</v>
      </c>
    </row>
    <row r="58" spans="1:17" s="68" customFormat="1" ht="12.95" customHeight="1">
      <c r="A58" s="22" t="s">
        <v>95</v>
      </c>
      <c r="B58" s="23"/>
      <c r="C58" s="64"/>
      <c r="D58" s="65"/>
      <c r="E58" s="65"/>
      <c r="F58" s="65"/>
      <c r="G58" s="65"/>
      <c r="H58" s="66"/>
      <c r="I58" s="65"/>
      <c r="J58" s="65"/>
      <c r="K58" s="65"/>
      <c r="L58" s="66"/>
      <c r="M58" s="66"/>
      <c r="N58" s="67"/>
    </row>
    <row r="59" spans="1:17" s="73" customFormat="1" ht="12.95" customHeight="1">
      <c r="A59" s="62"/>
      <c r="B59" s="69" t="s">
        <v>46</v>
      </c>
      <c r="C59" s="70">
        <f>81880+17068</f>
        <v>98948</v>
      </c>
      <c r="D59" s="70">
        <v>217615</v>
      </c>
      <c r="E59" s="70">
        <v>-20930</v>
      </c>
      <c r="F59" s="70">
        <v>-751898</v>
      </c>
      <c r="G59" s="70">
        <v>-278794</v>
      </c>
      <c r="H59" s="70">
        <v>112612</v>
      </c>
      <c r="I59" s="70">
        <v>-20027</v>
      </c>
      <c r="J59" s="70">
        <v>39576</v>
      </c>
      <c r="K59" s="70">
        <v>185929</v>
      </c>
      <c r="L59" s="70">
        <v>650877</v>
      </c>
      <c r="M59" s="71">
        <v>357556</v>
      </c>
      <c r="N59" s="71">
        <v>441098</v>
      </c>
      <c r="O59" s="72">
        <f>SUM(C59:N59)/11</f>
        <v>93869.272727272721</v>
      </c>
      <c r="P59" s="72"/>
    </row>
    <row r="60" spans="1:17" s="40" customFormat="1" ht="12.95" customHeight="1">
      <c r="A60" s="62"/>
      <c r="B60" s="69" t="s">
        <v>47</v>
      </c>
      <c r="C60" s="70">
        <v>0</v>
      </c>
      <c r="D60" s="70">
        <v>0</v>
      </c>
      <c r="E60" s="70">
        <v>0</v>
      </c>
      <c r="F60" s="70">
        <v>2971485</v>
      </c>
      <c r="G60" s="70">
        <v>3000000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1">
        <v>0</v>
      </c>
      <c r="N60" s="71">
        <v>0</v>
      </c>
      <c r="O60" s="59">
        <f>MAX(C59:N59)</f>
        <v>650877</v>
      </c>
      <c r="P60" s="59"/>
    </row>
    <row r="61" spans="1:17" s="40" customFormat="1" ht="12.95" customHeight="1">
      <c r="A61" s="62"/>
      <c r="B61" s="69" t="s">
        <v>48</v>
      </c>
      <c r="C61" s="70">
        <v>839392</v>
      </c>
      <c r="D61" s="70">
        <v>1516993</v>
      </c>
      <c r="E61" s="70">
        <v>518040</v>
      </c>
      <c r="F61" s="70">
        <v>274517</v>
      </c>
      <c r="G61" s="70"/>
      <c r="H61" s="70">
        <v>9078</v>
      </c>
      <c r="I61" s="70">
        <v>1091613</v>
      </c>
      <c r="J61" s="70">
        <v>429482</v>
      </c>
      <c r="K61" s="70">
        <v>2469734</v>
      </c>
      <c r="L61" s="70">
        <v>717375</v>
      </c>
      <c r="M61" s="71">
        <v>124976</v>
      </c>
      <c r="N61" s="71">
        <v>911237</v>
      </c>
      <c r="O61" s="59">
        <f>MIN(C59:N59)</f>
        <v>-751898</v>
      </c>
      <c r="P61" s="59"/>
    </row>
    <row r="62" spans="1:17" s="40" customFormat="1" ht="12.95" customHeight="1">
      <c r="A62" s="62"/>
      <c r="B62" s="69" t="s">
        <v>50</v>
      </c>
      <c r="C62" s="39">
        <f>SUM(C59:C61)</f>
        <v>938340</v>
      </c>
      <c r="D62" s="39">
        <f>SUM(D59:D61)</f>
        <v>1734608</v>
      </c>
      <c r="E62" s="39">
        <f>SUM(E59:E61)</f>
        <v>497110</v>
      </c>
      <c r="F62" s="39">
        <f>SUM(F59:F61)</f>
        <v>2494104</v>
      </c>
      <c r="G62" s="39">
        <f t="shared" ref="G62:N62" si="12">SUM(G59:G61)</f>
        <v>2721206</v>
      </c>
      <c r="H62" s="39">
        <f>SUM(H59:H61)</f>
        <v>121690</v>
      </c>
      <c r="I62" s="39">
        <f t="shared" si="12"/>
        <v>1071586</v>
      </c>
      <c r="J62" s="39">
        <f t="shared" ref="J62" si="13">SUM(J59:J61)</f>
        <v>469058</v>
      </c>
      <c r="K62" s="39">
        <f t="shared" si="12"/>
        <v>2655663</v>
      </c>
      <c r="L62" s="39">
        <f>SUM(L59:L61)</f>
        <v>1368252</v>
      </c>
      <c r="M62" s="74">
        <f>SUM(M59:M61)</f>
        <v>482532</v>
      </c>
      <c r="N62" s="74">
        <f t="shared" si="12"/>
        <v>1352335</v>
      </c>
    </row>
    <row r="63" spans="1:17" s="80" customFormat="1" ht="12.95" customHeight="1" thickBot="1">
      <c r="A63" s="75" t="s">
        <v>96</v>
      </c>
      <c r="B63" s="76"/>
      <c r="C63" s="77">
        <f t="shared" ref="C63:K63" si="14">C59/(C51)</f>
        <v>0.15794531262470668</v>
      </c>
      <c r="D63" s="77">
        <f t="shared" si="14"/>
        <v>0.28762225746761827</v>
      </c>
      <c r="E63" s="77">
        <f t="shared" si="14"/>
        <v>-5.2938156194118374E-2</v>
      </c>
      <c r="F63" s="77">
        <f t="shared" si="14"/>
        <v>-2.3958156756033366</v>
      </c>
      <c r="G63" s="77">
        <f t="shared" si="14"/>
        <v>-2.8799247980497076</v>
      </c>
      <c r="H63" s="77">
        <f t="shared" si="14"/>
        <v>0.15481078940965087</v>
      </c>
      <c r="I63" s="77">
        <f t="shared" si="14"/>
        <v>-4.9010346819111761E-2</v>
      </c>
      <c r="J63" s="77">
        <f t="shared" ref="J63" si="15">J59/(J51)</f>
        <v>0.10242183011475096</v>
      </c>
      <c r="K63" s="77">
        <f t="shared" si="14"/>
        <v>0.36699748530462556</v>
      </c>
      <c r="L63" s="77">
        <f>L59/(L51)</f>
        <v>1.3785853168803772</v>
      </c>
      <c r="M63" s="78">
        <f>M59/(M51)</f>
        <v>0.76070079887667941</v>
      </c>
      <c r="N63" s="78">
        <f>N59/(N51)</f>
        <v>1.2553304115202915</v>
      </c>
      <c r="O63" s="79">
        <f>SUM(C63:N63)/11</f>
        <v>-8.3024979497052176E-2</v>
      </c>
      <c r="P63" s="79"/>
    </row>
    <row r="64" spans="1:17" ht="12.95" hidden="1" customHeight="1">
      <c r="A64" s="81"/>
      <c r="B64" s="82" t="s">
        <v>97</v>
      </c>
      <c r="C64" s="83">
        <f>+C9+C11+C12+C13+C31-C51-C53-C59-C61-C60</f>
        <v>0</v>
      </c>
      <c r="D64" s="84">
        <f>+D9+D11+D12+D13+D31-D51-D53-D59-D61-D60</f>
        <v>2</v>
      </c>
      <c r="E64" s="84">
        <f>+E9+E11+E12+E13+E31-E51-E53-E59-E61-E60</f>
        <v>0</v>
      </c>
      <c r="F64" s="84">
        <f>+F9+F11+F12+F13+F31-F51-F53-F59-F61-F60</f>
        <v>2</v>
      </c>
      <c r="G64" s="83">
        <f>+G9+G11+G12+G13+G31-G51-G53-G59-G61-G60</f>
        <v>0</v>
      </c>
      <c r="H64" s="85"/>
      <c r="I64" s="84">
        <f t="shared" ref="I64:N64" si="16">+I9+I11+I12+I13+I31-I51-I53-I59-I61-I60</f>
        <v>1</v>
      </c>
      <c r="J64" s="85">
        <f t="shared" si="16"/>
        <v>-4</v>
      </c>
      <c r="K64" s="84">
        <f t="shared" si="16"/>
        <v>3</v>
      </c>
      <c r="L64" s="85">
        <f t="shared" si="16"/>
        <v>-1</v>
      </c>
      <c r="M64" s="85">
        <f t="shared" si="16"/>
        <v>0</v>
      </c>
      <c r="N64" s="84">
        <f t="shared" si="16"/>
        <v>1</v>
      </c>
      <c r="O64" s="86">
        <f>MAX(C63:N63)</f>
        <v>1.3785853168803772</v>
      </c>
      <c r="P64" s="86"/>
    </row>
    <row r="65" spans="1:256" ht="12.95" hidden="1" customHeight="1">
      <c r="A65" s="246"/>
      <c r="B65" s="246"/>
      <c r="C65" s="247">
        <f t="shared" ref="C65:N65" si="17">+C9+C57-C62</f>
        <v>0</v>
      </c>
      <c r="D65" s="247">
        <f t="shared" si="17"/>
        <v>2</v>
      </c>
      <c r="E65" s="247">
        <f t="shared" si="17"/>
        <v>0</v>
      </c>
      <c r="F65" s="85">
        <f t="shared" si="17"/>
        <v>2</v>
      </c>
      <c r="G65" s="85">
        <f t="shared" si="17"/>
        <v>0</v>
      </c>
      <c r="H65" s="85">
        <f t="shared" si="17"/>
        <v>0</v>
      </c>
      <c r="I65" s="85">
        <f t="shared" si="17"/>
        <v>1</v>
      </c>
      <c r="J65" s="85">
        <f t="shared" si="17"/>
        <v>-4</v>
      </c>
      <c r="K65" s="85">
        <f t="shared" si="17"/>
        <v>3</v>
      </c>
      <c r="L65" s="85">
        <f t="shared" si="17"/>
        <v>-1</v>
      </c>
      <c r="M65" s="85">
        <f t="shared" si="17"/>
        <v>0</v>
      </c>
      <c r="N65" s="84">
        <f t="shared" si="17"/>
        <v>1</v>
      </c>
      <c r="O65" s="86"/>
      <c r="P65" s="86"/>
    </row>
    <row r="66" spans="1:256" ht="12.95" customHeight="1">
      <c r="A66" s="246"/>
      <c r="B66" s="246"/>
      <c r="C66" s="247"/>
      <c r="D66" s="247"/>
      <c r="E66" s="247"/>
      <c r="F66" s="85"/>
      <c r="G66" s="85"/>
      <c r="H66" s="85"/>
      <c r="I66" s="85"/>
      <c r="J66" s="85"/>
      <c r="K66" s="85"/>
      <c r="L66" s="85"/>
      <c r="M66" s="85"/>
      <c r="N66" s="84"/>
      <c r="O66" s="86"/>
      <c r="P66" s="86"/>
    </row>
    <row r="67" spans="1:256" ht="12.95" customHeight="1">
      <c r="A67" s="323" t="s">
        <v>225</v>
      </c>
      <c r="B67" s="91"/>
      <c r="C67" s="91"/>
      <c r="D67" s="91"/>
      <c r="E67" s="243"/>
      <c r="F67" s="87"/>
      <c r="G67" s="87"/>
      <c r="I67" s="87"/>
      <c r="K67" s="87"/>
    </row>
    <row r="68" spans="1:256" ht="12.95" customHeight="1">
      <c r="A68" s="320" t="s">
        <v>226</v>
      </c>
      <c r="B68" s="91"/>
      <c r="C68" s="91"/>
      <c r="D68" s="91"/>
      <c r="E68" s="243"/>
      <c r="F68" s="87"/>
      <c r="G68" s="87"/>
      <c r="I68" s="87"/>
      <c r="K68" s="87"/>
    </row>
    <row r="69" spans="1:256" ht="12.95" customHeight="1">
      <c r="A69" s="321" t="s">
        <v>98</v>
      </c>
      <c r="B69" s="91"/>
      <c r="C69" s="91"/>
      <c r="D69" s="91"/>
      <c r="E69" s="243"/>
      <c r="F69" s="87"/>
      <c r="G69" s="87"/>
      <c r="I69" s="87"/>
      <c r="K69" s="87"/>
    </row>
    <row r="70" spans="1:256" ht="12.95" customHeight="1">
      <c r="A70" s="322"/>
      <c r="B70" s="91"/>
      <c r="C70" s="91"/>
      <c r="D70" s="91"/>
      <c r="E70" s="243"/>
      <c r="F70" s="87"/>
      <c r="G70" s="87"/>
      <c r="I70" s="87"/>
      <c r="K70" s="87"/>
    </row>
    <row r="71" spans="1:256" ht="12.95" customHeight="1">
      <c r="A71" s="320" t="s">
        <v>227</v>
      </c>
      <c r="B71" s="91"/>
      <c r="C71" s="91"/>
      <c r="D71" s="91"/>
      <c r="E71" s="243"/>
      <c r="F71" s="87"/>
      <c r="G71" s="87"/>
      <c r="I71" s="87"/>
      <c r="K71" s="87"/>
    </row>
    <row r="72" spans="1:256" ht="12.95" customHeight="1">
      <c r="A72" s="320" t="s">
        <v>99</v>
      </c>
      <c r="B72" s="91"/>
      <c r="C72" s="91"/>
      <c r="D72" s="91"/>
      <c r="E72" s="233"/>
      <c r="Q72" s="388"/>
      <c r="R72" s="388"/>
      <c r="S72" s="388"/>
      <c r="T72" s="388"/>
      <c r="U72" s="388"/>
      <c r="V72" s="388"/>
      <c r="W72" s="388"/>
      <c r="X72" s="388"/>
      <c r="Y72" s="388"/>
      <c r="Z72" s="388"/>
      <c r="AA72" s="388"/>
      <c r="AB72" s="388"/>
      <c r="AC72" s="388"/>
      <c r="AD72" s="388"/>
      <c r="AE72" s="388"/>
      <c r="AF72" s="388"/>
      <c r="AG72" s="388"/>
      <c r="AH72" s="388"/>
      <c r="AI72" s="388"/>
      <c r="AJ72" s="388"/>
      <c r="AK72" s="388"/>
      <c r="AL72" s="388"/>
      <c r="AM72" s="388"/>
      <c r="AN72" s="388"/>
      <c r="AO72" s="388"/>
      <c r="AP72" s="388"/>
      <c r="AQ72" s="388"/>
      <c r="AR72" s="388"/>
      <c r="AS72" s="388"/>
      <c r="AT72" s="388"/>
      <c r="AU72" s="388"/>
      <c r="AV72" s="388"/>
      <c r="AW72" s="388"/>
      <c r="AX72" s="388"/>
      <c r="AY72" s="388"/>
      <c r="AZ72" s="388"/>
      <c r="BA72" s="388"/>
      <c r="BB72" s="388"/>
      <c r="BC72" s="388"/>
      <c r="BD72" s="388"/>
      <c r="BE72" s="388"/>
      <c r="BF72" s="388"/>
      <c r="BG72" s="388"/>
      <c r="BH72" s="388"/>
      <c r="BI72" s="388"/>
      <c r="BJ72" s="388"/>
      <c r="BK72" s="388"/>
      <c r="BL72" s="388"/>
      <c r="BM72" s="388"/>
      <c r="BN72" s="388"/>
      <c r="BO72" s="388"/>
      <c r="BP72" s="388"/>
      <c r="BQ72" s="388"/>
      <c r="BR72" s="388"/>
      <c r="BS72" s="388"/>
      <c r="BT72" s="388"/>
      <c r="BU72" s="388"/>
      <c r="BV72" s="388"/>
      <c r="BW72" s="388"/>
      <c r="BX72" s="388"/>
      <c r="BY72" s="388"/>
      <c r="BZ72" s="388"/>
      <c r="CA72" s="388"/>
      <c r="CB72" s="388"/>
      <c r="CC72" s="388"/>
      <c r="CD72" s="388"/>
      <c r="CE72" s="388"/>
      <c r="CF72" s="388"/>
      <c r="CG72" s="388"/>
      <c r="CH72" s="388"/>
      <c r="CI72" s="388"/>
      <c r="CJ72" s="388"/>
      <c r="CK72" s="388"/>
      <c r="CL72" s="388"/>
      <c r="CM72" s="388"/>
      <c r="CN72" s="388"/>
      <c r="CO72" s="388"/>
      <c r="CP72" s="388"/>
      <c r="CQ72" s="388"/>
      <c r="CR72" s="388"/>
      <c r="CS72" s="388"/>
      <c r="CT72" s="388"/>
      <c r="CU72" s="388"/>
      <c r="CV72" s="388"/>
      <c r="CW72" s="388"/>
      <c r="CX72" s="388"/>
      <c r="CY72" s="388"/>
      <c r="CZ72" s="388"/>
      <c r="DA72" s="388"/>
      <c r="DB72" s="388"/>
      <c r="DC72" s="388"/>
      <c r="DD72" s="388"/>
      <c r="DE72" s="388"/>
      <c r="DF72" s="388"/>
      <c r="DG72" s="388"/>
      <c r="DH72" s="388"/>
      <c r="DI72" s="388"/>
      <c r="DJ72" s="388"/>
      <c r="DK72" s="388"/>
      <c r="DL72" s="388"/>
      <c r="DM72" s="388"/>
      <c r="DN72" s="388"/>
      <c r="DO72" s="388"/>
      <c r="DP72" s="388"/>
      <c r="DQ72" s="388"/>
      <c r="DR72" s="388"/>
      <c r="DS72" s="388"/>
      <c r="DT72" s="388"/>
      <c r="DU72" s="388"/>
      <c r="DV72" s="388"/>
      <c r="DW72" s="388"/>
      <c r="DX72" s="388"/>
      <c r="DY72" s="388"/>
      <c r="DZ72" s="388"/>
      <c r="EA72" s="388"/>
      <c r="EB72" s="388"/>
      <c r="EC72" s="388"/>
      <c r="ED72" s="388"/>
      <c r="EE72" s="388"/>
      <c r="EF72" s="388"/>
      <c r="EG72" s="388"/>
      <c r="EH72" s="388"/>
      <c r="EI72" s="388"/>
      <c r="EJ72" s="388"/>
      <c r="EK72" s="388"/>
      <c r="EL72" s="388"/>
      <c r="EM72" s="388"/>
      <c r="EN72" s="388"/>
      <c r="EO72" s="388"/>
      <c r="EP72" s="388"/>
      <c r="EQ72" s="388"/>
      <c r="ER72" s="388"/>
      <c r="ES72" s="388"/>
      <c r="ET72" s="388"/>
      <c r="EU72" s="388"/>
      <c r="EV72" s="388"/>
      <c r="EW72" s="388"/>
      <c r="EX72" s="388"/>
      <c r="EY72" s="388"/>
      <c r="EZ72" s="388"/>
      <c r="FA72" s="388"/>
      <c r="FB72" s="388"/>
      <c r="FC72" s="388"/>
      <c r="FD72" s="388"/>
      <c r="FE72" s="388"/>
      <c r="FF72" s="388"/>
      <c r="FG72" s="388"/>
      <c r="FH72" s="388"/>
      <c r="FI72" s="388"/>
      <c r="FJ72" s="388"/>
      <c r="FK72" s="388"/>
      <c r="FL72" s="388"/>
      <c r="FM72" s="388"/>
      <c r="FN72" s="388"/>
      <c r="FO72" s="388"/>
      <c r="FP72" s="388"/>
      <c r="FQ72" s="388"/>
      <c r="FR72" s="388"/>
      <c r="FS72" s="388"/>
      <c r="FT72" s="388"/>
      <c r="FU72" s="388"/>
      <c r="FV72" s="388"/>
      <c r="FW72" s="388"/>
      <c r="FX72" s="388"/>
      <c r="FY72" s="388"/>
      <c r="FZ72" s="388"/>
      <c r="GA72" s="388"/>
      <c r="GB72" s="388"/>
      <c r="GC72" s="388"/>
      <c r="GD72" s="388"/>
      <c r="GE72" s="388"/>
      <c r="GF72" s="388"/>
      <c r="GG72" s="388"/>
      <c r="GH72" s="388"/>
      <c r="GI72" s="388"/>
      <c r="GJ72" s="388"/>
      <c r="GK72" s="388"/>
      <c r="GL72" s="388"/>
      <c r="GM72" s="388"/>
      <c r="GN72" s="388"/>
      <c r="GO72" s="388"/>
      <c r="GP72" s="388"/>
      <c r="GQ72" s="388"/>
      <c r="GR72" s="388"/>
      <c r="GS72" s="388"/>
      <c r="GT72" s="388"/>
      <c r="GU72" s="388"/>
      <c r="GV72" s="388"/>
      <c r="GW72" s="388"/>
      <c r="GX72" s="388"/>
      <c r="GY72" s="388"/>
      <c r="GZ72" s="388"/>
      <c r="HA72" s="388"/>
      <c r="HB72" s="388"/>
      <c r="HC72" s="388"/>
      <c r="HD72" s="388"/>
      <c r="HE72" s="388"/>
      <c r="HF72" s="388"/>
      <c r="HG72" s="388"/>
      <c r="HH72" s="388"/>
      <c r="HI72" s="388"/>
      <c r="HJ72" s="388"/>
      <c r="HK72" s="388"/>
      <c r="HL72" s="388"/>
      <c r="HM72" s="388"/>
      <c r="HN72" s="388"/>
      <c r="HO72" s="388"/>
      <c r="HP72" s="388"/>
      <c r="HQ72" s="388"/>
      <c r="HR72" s="388"/>
      <c r="HS72" s="388"/>
      <c r="HT72" s="388"/>
      <c r="HU72" s="388"/>
      <c r="HV72" s="388"/>
      <c r="HW72" s="388"/>
      <c r="HX72" s="388"/>
      <c r="HY72" s="388"/>
      <c r="HZ72" s="388"/>
      <c r="IA72" s="388"/>
      <c r="IB72" s="388"/>
      <c r="IC72" s="388"/>
      <c r="ID72" s="388"/>
      <c r="IE72" s="388"/>
      <c r="IF72" s="388"/>
      <c r="IG72" s="388"/>
      <c r="IH72" s="388"/>
      <c r="II72" s="388"/>
      <c r="IJ72" s="388"/>
      <c r="IK72" s="388"/>
      <c r="IL72" s="388"/>
      <c r="IM72" s="388"/>
      <c r="IN72" s="388"/>
      <c r="IO72" s="388"/>
      <c r="IP72" s="388"/>
      <c r="IQ72" s="388"/>
      <c r="IR72" s="388"/>
      <c r="IS72" s="388"/>
      <c r="IT72" s="388"/>
      <c r="IU72" s="388"/>
      <c r="IV72" s="388"/>
    </row>
    <row r="73" spans="1:256" ht="12.95" customHeight="1">
      <c r="A73" s="320" t="s">
        <v>100</v>
      </c>
      <c r="B73" s="231"/>
      <c r="C73" s="232"/>
      <c r="D73" s="232"/>
      <c r="E73" s="233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89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89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89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89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89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89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89"/>
      <c r="ID73" s="89"/>
      <c r="IE73" s="89"/>
      <c r="IF73" s="89"/>
      <c r="IG73" s="89"/>
      <c r="IH73" s="89"/>
      <c r="II73" s="89"/>
      <c r="IJ73" s="89"/>
      <c r="IK73" s="89"/>
      <c r="IL73" s="89"/>
      <c r="IM73" s="89"/>
      <c r="IN73" s="89"/>
      <c r="IO73" s="89"/>
      <c r="IP73" s="89"/>
      <c r="IQ73" s="89"/>
      <c r="IR73" s="89"/>
      <c r="IS73" s="89"/>
      <c r="IT73" s="89"/>
      <c r="IU73" s="89"/>
      <c r="IV73" s="89"/>
    </row>
    <row r="74" spans="1:256" ht="12.95" customHeight="1" thickBot="1">
      <c r="A74" s="91"/>
      <c r="B74" s="91"/>
      <c r="C74" s="91"/>
      <c r="D74" s="91"/>
      <c r="E74" s="233"/>
      <c r="Q74" s="388"/>
      <c r="R74" s="388"/>
      <c r="S74" s="388"/>
      <c r="T74" s="388"/>
      <c r="U74" s="388"/>
      <c r="V74" s="388"/>
      <c r="W74" s="388"/>
      <c r="X74" s="388"/>
      <c r="Y74" s="388"/>
      <c r="Z74" s="388"/>
      <c r="AA74" s="388"/>
      <c r="AB74" s="388"/>
      <c r="AC74" s="388"/>
      <c r="AD74" s="388"/>
      <c r="AE74" s="388"/>
      <c r="AF74" s="388"/>
      <c r="AG74" s="388"/>
      <c r="AH74" s="388"/>
      <c r="AI74" s="388"/>
      <c r="AJ74" s="388"/>
      <c r="AK74" s="388"/>
      <c r="AL74" s="388"/>
      <c r="AM74" s="388"/>
      <c r="AN74" s="388"/>
      <c r="AO74" s="388"/>
      <c r="AP74" s="388"/>
      <c r="AQ74" s="388"/>
      <c r="AR74" s="388"/>
      <c r="AS74" s="388"/>
      <c r="AT74" s="388"/>
      <c r="AU74" s="388"/>
      <c r="AV74" s="388"/>
      <c r="AW74" s="388"/>
      <c r="AX74" s="388"/>
      <c r="AY74" s="388"/>
      <c r="AZ74" s="388"/>
      <c r="BA74" s="388"/>
      <c r="BB74" s="388"/>
      <c r="BC74" s="388"/>
      <c r="BD74" s="388"/>
      <c r="BE74" s="388"/>
      <c r="BF74" s="388"/>
      <c r="BG74" s="388"/>
      <c r="BH74" s="388"/>
      <c r="BI74" s="388"/>
      <c r="BJ74" s="388"/>
      <c r="BK74" s="388"/>
      <c r="BL74" s="388"/>
      <c r="BM74" s="388"/>
      <c r="BN74" s="388"/>
      <c r="BO74" s="388"/>
      <c r="BP74" s="388"/>
      <c r="BQ74" s="388"/>
      <c r="BR74" s="388"/>
      <c r="BS74" s="388"/>
      <c r="BT74" s="388"/>
      <c r="BU74" s="388"/>
      <c r="BV74" s="388"/>
      <c r="BW74" s="388"/>
      <c r="BX74" s="388"/>
      <c r="BY74" s="388"/>
      <c r="BZ74" s="388"/>
      <c r="CA74" s="388"/>
      <c r="CB74" s="388"/>
      <c r="CC74" s="388"/>
      <c r="CD74" s="388"/>
      <c r="CE74" s="388"/>
      <c r="CF74" s="388"/>
      <c r="CG74" s="388"/>
      <c r="CH74" s="388"/>
      <c r="CI74" s="388"/>
      <c r="CJ74" s="388"/>
      <c r="CK74" s="388"/>
      <c r="CL74" s="388"/>
      <c r="CM74" s="388"/>
      <c r="CN74" s="388"/>
      <c r="CO74" s="388"/>
      <c r="CP74" s="388"/>
      <c r="CQ74" s="388"/>
      <c r="CR74" s="388"/>
      <c r="CS74" s="388"/>
      <c r="CT74" s="388"/>
      <c r="CU74" s="388"/>
      <c r="CV74" s="388"/>
      <c r="CW74" s="388"/>
      <c r="CX74" s="388"/>
      <c r="CY74" s="388"/>
      <c r="CZ74" s="388"/>
      <c r="DA74" s="388"/>
      <c r="DB74" s="388"/>
      <c r="DC74" s="388"/>
      <c r="DD74" s="388"/>
      <c r="DE74" s="388"/>
      <c r="DF74" s="388"/>
      <c r="DG74" s="388"/>
      <c r="DH74" s="388"/>
      <c r="DI74" s="388"/>
      <c r="DJ74" s="388"/>
      <c r="DK74" s="388"/>
      <c r="DL74" s="388"/>
      <c r="DM74" s="388"/>
      <c r="DN74" s="388"/>
      <c r="DO74" s="388"/>
      <c r="DP74" s="388"/>
      <c r="DQ74" s="388"/>
      <c r="DR74" s="388"/>
      <c r="DS74" s="388"/>
      <c r="DT74" s="388"/>
      <c r="DU74" s="388"/>
      <c r="DV74" s="388"/>
      <c r="DW74" s="388"/>
      <c r="DX74" s="388"/>
      <c r="DY74" s="388"/>
      <c r="DZ74" s="388"/>
      <c r="EA74" s="388"/>
      <c r="EB74" s="388"/>
      <c r="EC74" s="388"/>
      <c r="ED74" s="388"/>
      <c r="EE74" s="388"/>
      <c r="EF74" s="388"/>
      <c r="EG74" s="388"/>
      <c r="EH74" s="388"/>
      <c r="EI74" s="388"/>
      <c r="EJ74" s="388"/>
      <c r="EK74" s="388"/>
      <c r="EL74" s="388"/>
      <c r="EM74" s="388"/>
      <c r="EN74" s="388"/>
      <c r="EO74" s="388"/>
      <c r="EP74" s="388"/>
      <c r="EQ74" s="388"/>
      <c r="ER74" s="388"/>
      <c r="ES74" s="388"/>
      <c r="ET74" s="388"/>
      <c r="EU74" s="388"/>
      <c r="EV74" s="388"/>
      <c r="EW74" s="388"/>
      <c r="EX74" s="388"/>
      <c r="EY74" s="388"/>
      <c r="EZ74" s="388"/>
      <c r="FA74" s="388"/>
      <c r="FB74" s="388"/>
      <c r="FC74" s="388"/>
      <c r="FD74" s="388"/>
      <c r="FE74" s="388"/>
      <c r="FF74" s="388"/>
      <c r="FG74" s="388"/>
      <c r="FH74" s="388"/>
      <c r="FI74" s="388"/>
      <c r="FJ74" s="388"/>
      <c r="FK74" s="388"/>
      <c r="FL74" s="388"/>
      <c r="FM74" s="388"/>
      <c r="FN74" s="388"/>
      <c r="FO74" s="388"/>
      <c r="FP74" s="388"/>
      <c r="FQ74" s="388"/>
      <c r="FR74" s="388"/>
      <c r="FS74" s="388"/>
      <c r="FT74" s="388"/>
      <c r="FU74" s="388"/>
      <c r="FV74" s="388"/>
      <c r="FW74" s="388"/>
      <c r="FX74" s="388"/>
      <c r="FY74" s="388"/>
      <c r="FZ74" s="388"/>
      <c r="GA74" s="388"/>
      <c r="GB74" s="388"/>
      <c r="GC74" s="388"/>
      <c r="GD74" s="388"/>
      <c r="GE74" s="388"/>
      <c r="GF74" s="388"/>
      <c r="GG74" s="388"/>
      <c r="GH74" s="388"/>
      <c r="GI74" s="388"/>
      <c r="GJ74" s="388"/>
      <c r="GK74" s="388"/>
      <c r="GL74" s="388"/>
      <c r="GM74" s="388"/>
      <c r="GN74" s="388"/>
      <c r="GO74" s="388"/>
      <c r="GP74" s="388"/>
      <c r="GQ74" s="388"/>
      <c r="GR74" s="388"/>
      <c r="GS74" s="388"/>
      <c r="GT74" s="388"/>
      <c r="GU74" s="388"/>
      <c r="GV74" s="388"/>
      <c r="GW74" s="388"/>
      <c r="GX74" s="388"/>
      <c r="GY74" s="388"/>
      <c r="GZ74" s="388"/>
      <c r="HA74" s="388"/>
      <c r="HB74" s="388"/>
      <c r="HC74" s="388"/>
      <c r="HD74" s="388"/>
      <c r="HE74" s="388"/>
      <c r="HF74" s="388"/>
      <c r="HG74" s="388"/>
      <c r="HH74" s="388"/>
      <c r="HI74" s="388"/>
      <c r="HJ74" s="388"/>
      <c r="HK74" s="388"/>
      <c r="HL74" s="388"/>
      <c r="HM74" s="388"/>
      <c r="HN74" s="388"/>
      <c r="HO74" s="388"/>
      <c r="HP74" s="388"/>
      <c r="HQ74" s="388"/>
      <c r="HR74" s="388"/>
      <c r="HS74" s="388"/>
      <c r="HT74" s="388"/>
      <c r="HU74" s="388"/>
      <c r="HV74" s="388"/>
      <c r="HW74" s="388"/>
      <c r="HX74" s="388"/>
      <c r="HY74" s="388"/>
      <c r="HZ74" s="388"/>
      <c r="IA74" s="388"/>
      <c r="IB74" s="388"/>
      <c r="IC74" s="388"/>
      <c r="ID74" s="388"/>
      <c r="IE74" s="388"/>
      <c r="IF74" s="388"/>
      <c r="IG74" s="388"/>
      <c r="IH74" s="388"/>
      <c r="II74" s="388"/>
      <c r="IJ74" s="388"/>
      <c r="IK74" s="388"/>
      <c r="IL74" s="388"/>
      <c r="IM74" s="388"/>
      <c r="IN74" s="388"/>
      <c r="IO74" s="388"/>
      <c r="IP74" s="388"/>
      <c r="IQ74" s="388"/>
      <c r="IR74" s="388"/>
      <c r="IS74" s="388"/>
      <c r="IT74" s="388"/>
      <c r="IU74" s="388"/>
      <c r="IV74" s="388"/>
    </row>
    <row r="75" spans="1:256">
      <c r="A75" s="391"/>
      <c r="B75" s="392"/>
      <c r="C75" s="316"/>
      <c r="D75" s="312"/>
      <c r="E75" s="312"/>
      <c r="F75" s="312"/>
      <c r="G75" s="312"/>
      <c r="H75" s="312"/>
      <c r="I75" s="312"/>
      <c r="J75" s="355"/>
      <c r="K75" s="312"/>
      <c r="L75" s="312"/>
      <c r="M75" s="312"/>
      <c r="N75" s="313"/>
    </row>
    <row r="76" spans="1:256" ht="77.25" customHeight="1">
      <c r="A76" s="393"/>
      <c r="B76" s="394"/>
      <c r="C76" s="324" t="str">
        <f t="shared" ref="C76:N76" si="18">C2</f>
        <v>10-A DAA, Tulelake-Butte Valley Fair</v>
      </c>
      <c r="D76" s="324" t="str">
        <f t="shared" si="18"/>
        <v>33rd DAA,      San Benito County Fair</v>
      </c>
      <c r="E76" s="324" t="str">
        <f t="shared" si="18"/>
        <v>34th DAA, Modoc-Last Frontier Fair</v>
      </c>
      <c r="F76" s="324" t="str">
        <f t="shared" si="18"/>
        <v>48th DAA, Schools Involvement Fair</v>
      </c>
      <c r="G76" s="324" t="str">
        <f t="shared" si="18"/>
        <v>51st DAA,       The Valley Fair</v>
      </c>
      <c r="H76" s="324" t="str">
        <f t="shared" si="18"/>
        <v>52nd DAA, Sacramento County Fair</v>
      </c>
      <c r="I76" s="324" t="str">
        <f t="shared" si="18"/>
        <v>53rd DAA, Desert Empire Fair</v>
      </c>
      <c r="J76" s="352" t="str">
        <f t="shared" si="18"/>
        <v>54th DAA, Colorado River Country Fair</v>
      </c>
      <c r="K76" s="324" t="str">
        <f t="shared" si="18"/>
        <v>Chowchilla- Madera County Fair</v>
      </c>
      <c r="L76" s="324" t="str">
        <f t="shared" si="18"/>
        <v>Mendocino County Fair</v>
      </c>
      <c r="M76" s="324" t="str">
        <f t="shared" si="18"/>
        <v>Inter-Mountain Fair of Shasta County</v>
      </c>
      <c r="N76" s="325" t="str">
        <f t="shared" si="18"/>
        <v>Trinity County Fair</v>
      </c>
    </row>
    <row r="77" spans="1:256" ht="13.5" customHeight="1">
      <c r="A77" s="22" t="s">
        <v>101</v>
      </c>
      <c r="B77" s="52"/>
      <c r="C77" s="92"/>
      <c r="D77" s="93"/>
      <c r="E77" s="93"/>
      <c r="F77" s="93"/>
      <c r="G77" s="93"/>
      <c r="H77" s="94"/>
      <c r="I77" s="93"/>
      <c r="J77" s="94"/>
      <c r="K77" s="93"/>
      <c r="L77" s="94"/>
      <c r="M77" s="94"/>
      <c r="N77" s="95"/>
    </row>
    <row r="78" spans="1:256" ht="13.5" customHeight="1">
      <c r="A78" s="22" t="s">
        <v>102</v>
      </c>
      <c r="B78" s="52"/>
      <c r="C78" s="92"/>
      <c r="D78" s="93"/>
      <c r="E78" s="93"/>
      <c r="F78" s="93"/>
      <c r="G78" s="93"/>
      <c r="H78" s="94"/>
      <c r="I78" s="93"/>
      <c r="J78" s="94"/>
      <c r="K78" s="93"/>
      <c r="L78" s="94"/>
      <c r="M78" s="94"/>
      <c r="N78" s="95"/>
    </row>
    <row r="79" spans="1:256" ht="13.5" customHeight="1">
      <c r="A79" s="51"/>
      <c r="B79" s="52" t="s">
        <v>103</v>
      </c>
      <c r="C79" s="33"/>
      <c r="D79" s="53"/>
      <c r="E79" s="53"/>
      <c r="F79" s="53"/>
      <c r="G79" s="53"/>
      <c r="H79" s="34"/>
      <c r="I79" s="53"/>
      <c r="J79" s="34"/>
      <c r="K79" s="53"/>
      <c r="L79" s="34"/>
      <c r="M79" s="34"/>
      <c r="N79" s="30"/>
    </row>
    <row r="80" spans="1:256" ht="13.5" customHeight="1">
      <c r="A80" s="51"/>
      <c r="B80" s="52" t="s">
        <v>104</v>
      </c>
      <c r="C80" s="24">
        <v>0</v>
      </c>
      <c r="D80" s="24">
        <v>104207</v>
      </c>
      <c r="E80" s="25">
        <v>0</v>
      </c>
      <c r="F80" s="25">
        <v>0</v>
      </c>
      <c r="G80" s="25">
        <v>2697337</v>
      </c>
      <c r="H80" s="26">
        <v>393311</v>
      </c>
      <c r="I80" s="25">
        <v>0</v>
      </c>
      <c r="J80" s="26">
        <v>0</v>
      </c>
      <c r="K80" s="25">
        <v>0</v>
      </c>
      <c r="L80" s="26">
        <v>0</v>
      </c>
      <c r="M80" s="26">
        <v>0</v>
      </c>
      <c r="N80" s="27">
        <v>24076</v>
      </c>
      <c r="P80" s="96"/>
      <c r="Q80" s="96">
        <f t="shared" ref="Q80:Q89" si="19">SUM(C80:J80)</f>
        <v>3194855</v>
      </c>
    </row>
    <row r="81" spans="1:17" ht="13.5" customHeight="1">
      <c r="A81" s="51"/>
      <c r="B81" s="52" t="s">
        <v>105</v>
      </c>
      <c r="C81" s="33">
        <v>129856</v>
      </c>
      <c r="D81" s="33">
        <v>236964</v>
      </c>
      <c r="E81" s="53">
        <v>22854</v>
      </c>
      <c r="F81" s="53">
        <f>200+27770+2182549</f>
        <v>2210519</v>
      </c>
      <c r="G81" s="53">
        <v>18473</v>
      </c>
      <c r="H81" s="34">
        <v>409966</v>
      </c>
      <c r="I81" s="53">
        <v>23817</v>
      </c>
      <c r="J81" s="34">
        <v>51318</v>
      </c>
      <c r="K81" s="53">
        <v>343103</v>
      </c>
      <c r="L81" s="34">
        <v>674552</v>
      </c>
      <c r="M81" s="34">
        <v>410288</v>
      </c>
      <c r="N81" s="30">
        <v>421433</v>
      </c>
      <c r="P81" s="96"/>
      <c r="Q81" s="96">
        <f t="shared" si="19"/>
        <v>3103767</v>
      </c>
    </row>
    <row r="82" spans="1:17" ht="13.5" customHeight="1">
      <c r="A82" s="51"/>
      <c r="B82" s="52" t="s">
        <v>106</v>
      </c>
      <c r="C82" s="33">
        <v>8283</v>
      </c>
      <c r="D82" s="53">
        <f>18910+2203</f>
        <v>21113</v>
      </c>
      <c r="E82" s="53">
        <v>718</v>
      </c>
      <c r="F82" s="53">
        <v>9161</v>
      </c>
      <c r="G82" s="53">
        <v>2496</v>
      </c>
      <c r="H82" s="34">
        <v>16572</v>
      </c>
      <c r="I82" s="53">
        <f>9454+1727</f>
        <v>11181</v>
      </c>
      <c r="J82" s="34">
        <v>3086</v>
      </c>
      <c r="K82" s="53">
        <v>12865</v>
      </c>
      <c r="L82" s="34">
        <v>24308</v>
      </c>
      <c r="M82" s="34">
        <v>16088</v>
      </c>
      <c r="N82" s="30">
        <v>48975</v>
      </c>
      <c r="P82" s="96"/>
      <c r="Q82" s="96">
        <f t="shared" si="19"/>
        <v>72610</v>
      </c>
    </row>
    <row r="83" spans="1:17" ht="13.5" customHeight="1">
      <c r="A83" s="51"/>
      <c r="B83" s="52" t="s">
        <v>107</v>
      </c>
      <c r="C83" s="33">
        <v>0</v>
      </c>
      <c r="D83" s="53">
        <v>9948</v>
      </c>
      <c r="E83" s="53">
        <v>0</v>
      </c>
      <c r="F83" s="53">
        <v>22641</v>
      </c>
      <c r="G83" s="53">
        <v>0</v>
      </c>
      <c r="H83" s="34">
        <v>2697</v>
      </c>
      <c r="I83" s="53">
        <v>2007</v>
      </c>
      <c r="J83" s="34">
        <v>0</v>
      </c>
      <c r="K83" s="53">
        <v>0</v>
      </c>
      <c r="L83" s="34">
        <v>0</v>
      </c>
      <c r="M83" s="34">
        <v>0</v>
      </c>
      <c r="N83" s="30">
        <v>0</v>
      </c>
      <c r="P83" s="96"/>
      <c r="Q83" s="96">
        <f t="shared" si="19"/>
        <v>37293</v>
      </c>
    </row>
    <row r="84" spans="1:17" ht="13.5" customHeight="1">
      <c r="A84" s="51"/>
      <c r="B84" s="52" t="s">
        <v>108</v>
      </c>
      <c r="C84" s="33">
        <v>0</v>
      </c>
      <c r="D84" s="53">
        <v>0</v>
      </c>
      <c r="E84" s="53">
        <v>0</v>
      </c>
      <c r="F84" s="53">
        <v>0</v>
      </c>
      <c r="G84" s="53">
        <v>0</v>
      </c>
      <c r="H84" s="34">
        <v>0</v>
      </c>
      <c r="I84" s="53">
        <v>0</v>
      </c>
      <c r="J84" s="34">
        <v>0</v>
      </c>
      <c r="K84" s="53">
        <v>0</v>
      </c>
      <c r="L84" s="34">
        <v>0</v>
      </c>
      <c r="M84" s="34">
        <v>0</v>
      </c>
      <c r="N84" s="30">
        <v>0</v>
      </c>
      <c r="P84" s="96"/>
      <c r="Q84" s="96">
        <f t="shared" si="19"/>
        <v>0</v>
      </c>
    </row>
    <row r="85" spans="1:17" ht="13.5" customHeight="1">
      <c r="A85" s="51"/>
      <c r="B85" s="52" t="s">
        <v>109</v>
      </c>
      <c r="C85" s="33">
        <v>0</v>
      </c>
      <c r="D85" s="53">
        <v>101040</v>
      </c>
      <c r="E85" s="53">
        <v>0</v>
      </c>
      <c r="F85" s="53">
        <v>0</v>
      </c>
      <c r="G85" s="53">
        <v>0</v>
      </c>
      <c r="H85" s="34">
        <v>0</v>
      </c>
      <c r="I85" s="53">
        <v>0</v>
      </c>
      <c r="J85" s="34">
        <v>0</v>
      </c>
      <c r="K85" s="53">
        <v>0</v>
      </c>
      <c r="L85" s="34">
        <v>0</v>
      </c>
      <c r="M85" s="34">
        <v>0</v>
      </c>
      <c r="N85" s="30">
        <v>0</v>
      </c>
      <c r="Q85" s="96">
        <f t="shared" si="19"/>
        <v>101040</v>
      </c>
    </row>
    <row r="86" spans="1:17" ht="13.5" customHeight="1">
      <c r="A86" s="51"/>
      <c r="B86" s="52" t="s">
        <v>110</v>
      </c>
      <c r="C86" s="33">
        <v>52888</v>
      </c>
      <c r="D86" s="53">
        <v>61442</v>
      </c>
      <c r="E86" s="53">
        <v>600</v>
      </c>
      <c r="F86" s="53">
        <v>0</v>
      </c>
      <c r="G86" s="53">
        <v>0</v>
      </c>
      <c r="H86" s="34">
        <v>0</v>
      </c>
      <c r="I86" s="53">
        <v>71375</v>
      </c>
      <c r="J86" s="34">
        <v>71241</v>
      </c>
      <c r="K86" s="53">
        <v>33347</v>
      </c>
      <c r="L86" s="34">
        <v>0</v>
      </c>
      <c r="M86" s="34">
        <v>0</v>
      </c>
      <c r="N86" s="30">
        <v>0</v>
      </c>
      <c r="Q86" s="96">
        <f t="shared" si="19"/>
        <v>257546</v>
      </c>
    </row>
    <row r="87" spans="1:17" ht="13.5" customHeight="1">
      <c r="A87" s="51"/>
      <c r="B87" s="52" t="s">
        <v>111</v>
      </c>
      <c r="C87" s="33">
        <v>2366592</v>
      </c>
      <c r="D87" s="53">
        <v>3368020</v>
      </c>
      <c r="E87" s="53">
        <v>1827040</v>
      </c>
      <c r="F87" s="53">
        <v>0</v>
      </c>
      <c r="G87" s="53">
        <v>0</v>
      </c>
      <c r="H87" s="34">
        <v>76731</v>
      </c>
      <c r="I87" s="53">
        <v>2214554</v>
      </c>
      <c r="J87" s="34">
        <v>2250102</v>
      </c>
      <c r="K87" s="53">
        <v>4434724</v>
      </c>
      <c r="L87" s="34">
        <v>0</v>
      </c>
      <c r="M87" s="34">
        <v>0</v>
      </c>
      <c r="N87" s="30">
        <v>0</v>
      </c>
      <c r="Q87" s="96">
        <f t="shared" si="19"/>
        <v>12103039</v>
      </c>
    </row>
    <row r="88" spans="1:17" ht="13.5" customHeight="1">
      <c r="A88" s="51"/>
      <c r="B88" s="52" t="s">
        <v>112</v>
      </c>
      <c r="C88" s="33">
        <v>200332</v>
      </c>
      <c r="D88" s="53">
        <v>73099</v>
      </c>
      <c r="E88" s="53">
        <v>107768</v>
      </c>
      <c r="F88" s="53">
        <v>18698</v>
      </c>
      <c r="G88" s="53">
        <v>0</v>
      </c>
      <c r="H88" s="34">
        <v>9726</v>
      </c>
      <c r="I88" s="53">
        <v>123355</v>
      </c>
      <c r="J88" s="34">
        <v>71644</v>
      </c>
      <c r="K88" s="53">
        <v>74867</v>
      </c>
      <c r="L88" s="34">
        <v>121459</v>
      </c>
      <c r="M88" s="34">
        <v>0</v>
      </c>
      <c r="N88" s="30">
        <v>115725</v>
      </c>
      <c r="Q88" s="96">
        <f t="shared" si="19"/>
        <v>604622</v>
      </c>
    </row>
    <row r="89" spans="1:17" ht="13.5" customHeight="1">
      <c r="A89" s="51"/>
      <c r="B89" s="52" t="s">
        <v>113</v>
      </c>
      <c r="C89" s="33">
        <v>0</v>
      </c>
      <c r="D89" s="53">
        <v>0</v>
      </c>
      <c r="E89" s="53">
        <v>0</v>
      </c>
      <c r="F89" s="53">
        <v>484442</v>
      </c>
      <c r="G89" s="53">
        <v>0</v>
      </c>
      <c r="H89" s="34">
        <v>0</v>
      </c>
      <c r="I89" s="53">
        <v>686437</v>
      </c>
      <c r="J89" s="34">
        <v>0</v>
      </c>
      <c r="K89" s="53">
        <v>633251</v>
      </c>
      <c r="L89" s="34">
        <v>2602544</v>
      </c>
      <c r="M89" s="34">
        <v>296268</v>
      </c>
      <c r="N89" s="30">
        <v>1994810</v>
      </c>
      <c r="Q89" s="96">
        <f t="shared" si="19"/>
        <v>1170879</v>
      </c>
    </row>
    <row r="90" spans="1:17" ht="13.5" customHeight="1">
      <c r="A90" s="51"/>
      <c r="B90" s="52" t="s">
        <v>209</v>
      </c>
      <c r="C90" s="33">
        <v>0</v>
      </c>
      <c r="D90" s="53">
        <v>0</v>
      </c>
      <c r="E90" s="53">
        <v>0</v>
      </c>
      <c r="F90" s="53">
        <v>0</v>
      </c>
      <c r="G90" s="53">
        <v>0</v>
      </c>
      <c r="H90" s="34">
        <v>0</v>
      </c>
      <c r="I90" s="53">
        <v>0</v>
      </c>
      <c r="J90" s="34">
        <v>0</v>
      </c>
      <c r="K90" s="53">
        <v>0</v>
      </c>
      <c r="L90" s="34">
        <v>0</v>
      </c>
      <c r="M90" s="34">
        <v>0</v>
      </c>
      <c r="N90" s="30">
        <v>0</v>
      </c>
      <c r="Q90" s="96">
        <f>SUM(C90:N90)</f>
        <v>0</v>
      </c>
    </row>
    <row r="91" spans="1:17" ht="13.5" customHeight="1">
      <c r="A91" s="51"/>
      <c r="B91" s="52" t="s">
        <v>114</v>
      </c>
      <c r="C91" s="33">
        <f>-1580089-200332</f>
        <v>-1780421</v>
      </c>
      <c r="D91" s="53">
        <f>-2020509-66098</f>
        <v>-2086607</v>
      </c>
      <c r="E91" s="53">
        <f>-1309600-107768</f>
        <v>-1417368</v>
      </c>
      <c r="F91" s="53">
        <f>-18698-209925</f>
        <v>-228623</v>
      </c>
      <c r="G91" s="53">
        <v>0</v>
      </c>
      <c r="H91" s="34">
        <v>-77379</v>
      </c>
      <c r="I91" s="53">
        <f>-1493319-123355-297456</f>
        <v>-1914130</v>
      </c>
      <c r="J91" s="34">
        <f>-1891861-71644</f>
        <v>-1963505</v>
      </c>
      <c r="K91" s="53">
        <f>-2266702-62817-168867</f>
        <v>-2498386</v>
      </c>
      <c r="L91" s="34">
        <f>-116209-1890419</f>
        <v>-2006628</v>
      </c>
      <c r="M91" s="34">
        <v>-171292</v>
      </c>
      <c r="N91" s="30">
        <f>-107451-1091846</f>
        <v>-1199297</v>
      </c>
      <c r="P91" s="36"/>
      <c r="Q91" s="36">
        <f>SUM(C85:J91)</f>
        <v>4769093</v>
      </c>
    </row>
    <row r="92" spans="1:17" ht="13.5" customHeight="1">
      <c r="A92" s="51"/>
      <c r="B92" s="52" t="s">
        <v>115</v>
      </c>
      <c r="C92" s="33">
        <v>0</v>
      </c>
      <c r="D92" s="53">
        <v>-2</v>
      </c>
      <c r="E92" s="53">
        <v>0</v>
      </c>
      <c r="F92" s="53">
        <v>1</v>
      </c>
      <c r="G92" s="53">
        <v>0</v>
      </c>
      <c r="H92" s="34">
        <v>0</v>
      </c>
      <c r="I92" s="53">
        <v>0</v>
      </c>
      <c r="J92" s="34">
        <v>0</v>
      </c>
      <c r="K92" s="53">
        <v>0</v>
      </c>
      <c r="L92" s="34">
        <v>0</v>
      </c>
      <c r="M92" s="34">
        <v>0</v>
      </c>
      <c r="N92" s="30">
        <v>-1</v>
      </c>
      <c r="P92" s="36"/>
      <c r="Q92" s="36"/>
    </row>
    <row r="93" spans="1:17" s="40" customFormat="1" ht="13.5" customHeight="1">
      <c r="A93" s="37" t="s">
        <v>116</v>
      </c>
      <c r="B93" s="42"/>
      <c r="C93" s="97">
        <f t="shared" ref="C93:N93" si="20">SUM(C79:C92)</f>
        <v>977530</v>
      </c>
      <c r="D93" s="97">
        <f t="shared" si="20"/>
        <v>1889224</v>
      </c>
      <c r="E93" s="97">
        <f t="shared" si="20"/>
        <v>541612</v>
      </c>
      <c r="F93" s="97">
        <f t="shared" si="20"/>
        <v>2516839</v>
      </c>
      <c r="G93" s="97">
        <f t="shared" si="20"/>
        <v>2718306</v>
      </c>
      <c r="H93" s="97">
        <f t="shared" si="20"/>
        <v>831624</v>
      </c>
      <c r="I93" s="97">
        <f t="shared" si="20"/>
        <v>1218596</v>
      </c>
      <c r="J93" s="97">
        <f t="shared" si="20"/>
        <v>483886</v>
      </c>
      <c r="K93" s="97">
        <f t="shared" si="20"/>
        <v>3033771</v>
      </c>
      <c r="L93" s="97">
        <f t="shared" si="20"/>
        <v>1416235</v>
      </c>
      <c r="M93" s="98">
        <f t="shared" si="20"/>
        <v>551352</v>
      </c>
      <c r="N93" s="98">
        <f t="shared" si="20"/>
        <v>1405721</v>
      </c>
      <c r="P93" s="99"/>
      <c r="Q93" s="99">
        <f>SUM(C93:J93)</f>
        <v>11177617</v>
      </c>
    </row>
    <row r="94" spans="1:17" ht="13.5" customHeight="1">
      <c r="A94" s="22" t="s">
        <v>117</v>
      </c>
      <c r="B94" s="52"/>
      <c r="C94" s="92"/>
      <c r="D94" s="100"/>
      <c r="E94" s="100"/>
      <c r="F94" s="100"/>
      <c r="G94" s="100"/>
      <c r="H94" s="94"/>
      <c r="I94" s="93"/>
      <c r="J94" s="94"/>
      <c r="K94" s="93"/>
      <c r="L94" s="94"/>
      <c r="M94" s="94"/>
      <c r="N94" s="95"/>
    </row>
    <row r="95" spans="1:17" ht="13.5" customHeight="1">
      <c r="A95" s="51"/>
      <c r="B95" s="52" t="s">
        <v>118</v>
      </c>
      <c r="C95" s="33">
        <v>0</v>
      </c>
      <c r="D95" s="53">
        <v>0</v>
      </c>
      <c r="E95" s="53">
        <v>0</v>
      </c>
      <c r="F95" s="53">
        <v>0</v>
      </c>
      <c r="G95" s="53">
        <v>0</v>
      </c>
      <c r="H95" s="34">
        <v>0</v>
      </c>
      <c r="I95" s="53">
        <v>0</v>
      </c>
      <c r="J95" s="34">
        <v>0</v>
      </c>
      <c r="K95" s="53">
        <v>-445</v>
      </c>
      <c r="L95" s="34">
        <v>1120</v>
      </c>
      <c r="M95" s="34">
        <v>0</v>
      </c>
      <c r="N95" s="30">
        <v>0</v>
      </c>
      <c r="P95" s="96"/>
      <c r="Q95" s="96">
        <f t="shared" ref="Q95:Q103" si="21">SUM(C95:J95)</f>
        <v>0</v>
      </c>
    </row>
    <row r="96" spans="1:17" ht="13.5" customHeight="1">
      <c r="A96" s="51"/>
      <c r="B96" s="52" t="s">
        <v>119</v>
      </c>
      <c r="C96" s="33">
        <v>16229</v>
      </c>
      <c r="D96" s="53">
        <f>6400+2600</f>
        <v>9000</v>
      </c>
      <c r="E96" s="53">
        <v>500</v>
      </c>
      <c r="F96" s="53">
        <v>13507</v>
      </c>
      <c r="G96" s="53">
        <v>17179</v>
      </c>
      <c r="H96" s="34">
        <v>184222</v>
      </c>
      <c r="I96" s="53">
        <v>43346</v>
      </c>
      <c r="J96" s="34">
        <v>-734</v>
      </c>
      <c r="K96" s="53">
        <v>16315</v>
      </c>
      <c r="L96" s="34">
        <v>0</v>
      </c>
      <c r="M96" s="34">
        <v>10655</v>
      </c>
      <c r="N96" s="30">
        <v>8460</v>
      </c>
      <c r="P96" s="96"/>
      <c r="Q96" s="96">
        <f t="shared" si="21"/>
        <v>283249</v>
      </c>
    </row>
    <row r="97" spans="1:17" ht="13.5" customHeight="1">
      <c r="A97" s="51"/>
      <c r="B97" s="52" t="s">
        <v>120</v>
      </c>
      <c r="C97" s="33">
        <v>0</v>
      </c>
      <c r="D97" s="53">
        <v>5343</v>
      </c>
      <c r="E97" s="53">
        <v>2519</v>
      </c>
      <c r="F97" s="53">
        <v>2329</v>
      </c>
      <c r="G97" s="53">
        <v>0</v>
      </c>
      <c r="H97" s="34">
        <v>4373</v>
      </c>
      <c r="I97" s="53">
        <v>0</v>
      </c>
      <c r="J97" s="34">
        <v>15563</v>
      </c>
      <c r="K97" s="53">
        <v>573</v>
      </c>
      <c r="L97" s="34">
        <v>528</v>
      </c>
      <c r="M97" s="34">
        <v>707</v>
      </c>
      <c r="N97" s="30">
        <v>3510</v>
      </c>
      <c r="P97" s="96"/>
      <c r="Q97" s="96">
        <f t="shared" si="21"/>
        <v>30127</v>
      </c>
    </row>
    <row r="98" spans="1:17" ht="13.5" customHeight="1">
      <c r="A98" s="51"/>
      <c r="B98" s="52" t="s">
        <v>121</v>
      </c>
      <c r="C98" s="33">
        <v>0</v>
      </c>
      <c r="D98" s="53">
        <v>9207</v>
      </c>
      <c r="E98" s="53">
        <v>0</v>
      </c>
      <c r="F98" s="53">
        <v>0</v>
      </c>
      <c r="G98" s="53">
        <v>0</v>
      </c>
      <c r="H98" s="34">
        <v>0</v>
      </c>
      <c r="I98" s="53">
        <v>6465</v>
      </c>
      <c r="J98" s="34">
        <v>0</v>
      </c>
      <c r="K98" s="53">
        <v>5274</v>
      </c>
      <c r="L98" s="34">
        <v>40000</v>
      </c>
      <c r="M98" s="34">
        <v>0</v>
      </c>
      <c r="N98" s="30">
        <v>13372</v>
      </c>
      <c r="P98" s="96"/>
      <c r="Q98" s="96">
        <f t="shared" si="21"/>
        <v>15672</v>
      </c>
    </row>
    <row r="99" spans="1:17" ht="13.5" customHeight="1">
      <c r="A99" s="51"/>
      <c r="B99" s="52" t="s">
        <v>122</v>
      </c>
      <c r="C99" s="33">
        <v>807</v>
      </c>
      <c r="D99" s="53">
        <v>0</v>
      </c>
      <c r="E99" s="53">
        <v>0</v>
      </c>
      <c r="F99" s="53">
        <v>0</v>
      </c>
      <c r="G99" s="53">
        <v>721</v>
      </c>
      <c r="H99" s="34">
        <v>393311</v>
      </c>
      <c r="I99" s="53">
        <v>2582</v>
      </c>
      <c r="J99" s="34">
        <v>0</v>
      </c>
      <c r="K99" s="53">
        <v>0</v>
      </c>
      <c r="L99" s="34">
        <v>0</v>
      </c>
      <c r="M99" s="34">
        <v>3603</v>
      </c>
      <c r="N99" s="30">
        <v>529</v>
      </c>
      <c r="P99" s="96"/>
      <c r="Q99" s="96">
        <f t="shared" si="21"/>
        <v>397421</v>
      </c>
    </row>
    <row r="100" spans="1:17" ht="13.5" customHeight="1">
      <c r="A100" s="51"/>
      <c r="B100" s="52" t="s">
        <v>123</v>
      </c>
      <c r="C100" s="33">
        <v>125</v>
      </c>
      <c r="D100" s="53">
        <v>15350</v>
      </c>
      <c r="E100" s="53">
        <v>400</v>
      </c>
      <c r="F100" s="53">
        <v>0</v>
      </c>
      <c r="G100" s="53">
        <v>0</v>
      </c>
      <c r="H100" s="34">
        <v>0</v>
      </c>
      <c r="I100" s="53">
        <v>2320</v>
      </c>
      <c r="J100" s="34">
        <v>0</v>
      </c>
      <c r="K100" s="53">
        <v>2000</v>
      </c>
      <c r="L100" s="34">
        <v>750</v>
      </c>
      <c r="M100" s="34">
        <v>400</v>
      </c>
      <c r="N100" s="30">
        <v>0</v>
      </c>
      <c r="P100" s="96"/>
      <c r="Q100" s="96">
        <f t="shared" si="21"/>
        <v>18195</v>
      </c>
    </row>
    <row r="101" spans="1:17" ht="13.5" customHeight="1">
      <c r="A101" s="51"/>
      <c r="B101" s="52" t="s">
        <v>124</v>
      </c>
      <c r="C101" s="33">
        <v>22030</v>
      </c>
      <c r="D101" s="53">
        <v>11909</v>
      </c>
      <c r="E101" s="53">
        <v>41083</v>
      </c>
      <c r="F101" s="53">
        <v>6903</v>
      </c>
      <c r="G101" s="53">
        <v>0</v>
      </c>
      <c r="H101" s="34">
        <v>0</v>
      </c>
      <c r="I101" s="53">
        <v>0</v>
      </c>
      <c r="J101" s="34">
        <v>0</v>
      </c>
      <c r="K101" s="53">
        <v>22775</v>
      </c>
      <c r="L101" s="34">
        <v>5585</v>
      </c>
      <c r="M101" s="34">
        <v>0</v>
      </c>
      <c r="N101" s="30">
        <v>0</v>
      </c>
      <c r="P101" s="96"/>
      <c r="Q101" s="96">
        <f t="shared" si="21"/>
        <v>81925</v>
      </c>
    </row>
    <row r="102" spans="1:17" ht="13.5" customHeight="1">
      <c r="A102" s="51"/>
      <c r="B102" s="52" t="s">
        <v>125</v>
      </c>
      <c r="C102" s="33">
        <v>0</v>
      </c>
      <c r="D102" s="53">
        <v>0</v>
      </c>
      <c r="E102" s="53"/>
      <c r="F102" s="53">
        <v>0</v>
      </c>
      <c r="G102" s="53">
        <v>0</v>
      </c>
      <c r="H102" s="34">
        <v>0</v>
      </c>
      <c r="I102" s="53">
        <v>89978</v>
      </c>
      <c r="J102" s="34">
        <v>0</v>
      </c>
      <c r="K102" s="53">
        <v>208067</v>
      </c>
      <c r="L102" s="34">
        <v>0</v>
      </c>
      <c r="M102" s="34">
        <v>0</v>
      </c>
      <c r="N102" s="30">
        <v>0</v>
      </c>
      <c r="P102" s="96"/>
      <c r="Q102" s="96">
        <f t="shared" si="21"/>
        <v>89978</v>
      </c>
    </row>
    <row r="103" spans="1:17" s="40" customFormat="1" ht="13.5" customHeight="1">
      <c r="A103" s="37" t="s">
        <v>126</v>
      </c>
      <c r="B103" s="42"/>
      <c r="C103" s="43">
        <f>SUM(C95:C102)</f>
        <v>39191</v>
      </c>
      <c r="D103" s="43">
        <f>SUM(D95:D102)</f>
        <v>50809</v>
      </c>
      <c r="E103" s="43">
        <f>SUM(E95:E102)</f>
        <v>44502</v>
      </c>
      <c r="F103" s="43">
        <f>SUM(F95:F102)</f>
        <v>22739</v>
      </c>
      <c r="G103" s="43">
        <f t="shared" ref="G103:N103" si="22">SUM(G95:G102)</f>
        <v>17900</v>
      </c>
      <c r="H103" s="43">
        <f t="shared" si="22"/>
        <v>581906</v>
      </c>
      <c r="I103" s="43">
        <f t="shared" si="22"/>
        <v>144691</v>
      </c>
      <c r="J103" s="43">
        <f t="shared" si="22"/>
        <v>14829</v>
      </c>
      <c r="K103" s="43">
        <f t="shared" si="22"/>
        <v>254559</v>
      </c>
      <c r="L103" s="43">
        <f t="shared" si="22"/>
        <v>47983</v>
      </c>
      <c r="M103" s="44">
        <f t="shared" si="22"/>
        <v>15365</v>
      </c>
      <c r="N103" s="44">
        <f t="shared" si="22"/>
        <v>25871</v>
      </c>
      <c r="P103" s="99"/>
      <c r="Q103" s="99">
        <f t="shared" si="21"/>
        <v>916567</v>
      </c>
    </row>
    <row r="104" spans="1:17" ht="13.5" customHeight="1">
      <c r="A104" s="22" t="s">
        <v>127</v>
      </c>
      <c r="B104" s="52"/>
      <c r="C104" s="92"/>
      <c r="D104" s="93"/>
      <c r="E104" s="93"/>
      <c r="F104" s="93"/>
      <c r="G104" s="53"/>
      <c r="H104" s="94"/>
      <c r="I104" s="93"/>
      <c r="J104" s="94"/>
      <c r="K104" s="93"/>
      <c r="L104" s="94"/>
      <c r="M104" s="94"/>
      <c r="N104" s="95"/>
    </row>
    <row r="105" spans="1:17" ht="13.5" customHeight="1">
      <c r="A105" s="51"/>
      <c r="B105" s="52" t="s">
        <v>128</v>
      </c>
      <c r="C105" s="33">
        <v>0</v>
      </c>
      <c r="D105" s="53">
        <v>103809</v>
      </c>
      <c r="E105" s="53">
        <v>0</v>
      </c>
      <c r="F105" s="53">
        <v>0</v>
      </c>
      <c r="G105" s="53">
        <v>-20800</v>
      </c>
      <c r="H105" s="34">
        <v>128028</v>
      </c>
      <c r="I105" s="53">
        <v>2318</v>
      </c>
      <c r="J105" s="34">
        <v>0</v>
      </c>
      <c r="K105" s="53">
        <v>123549</v>
      </c>
      <c r="L105" s="34">
        <v>0</v>
      </c>
      <c r="M105" s="34">
        <v>53455</v>
      </c>
      <c r="N105" s="30">
        <v>27515</v>
      </c>
      <c r="P105" s="96"/>
      <c r="Q105" s="96">
        <f>SUM(C105:J105)</f>
        <v>213355</v>
      </c>
    </row>
    <row r="106" spans="1:17" ht="13.5" customHeight="1">
      <c r="A106" s="51"/>
      <c r="B106" s="52" t="s">
        <v>46</v>
      </c>
      <c r="C106" s="33">
        <f t="shared" ref="C106:I108" si="23">C59</f>
        <v>98948</v>
      </c>
      <c r="D106" s="33">
        <f t="shared" si="23"/>
        <v>217615</v>
      </c>
      <c r="E106" s="33">
        <f t="shared" si="23"/>
        <v>-20930</v>
      </c>
      <c r="F106" s="33">
        <f t="shared" si="23"/>
        <v>-751898</v>
      </c>
      <c r="G106" s="33">
        <f t="shared" si="23"/>
        <v>-278794</v>
      </c>
      <c r="H106" s="33">
        <f t="shared" si="23"/>
        <v>112612</v>
      </c>
      <c r="I106" s="33">
        <f t="shared" si="23"/>
        <v>-20027</v>
      </c>
      <c r="J106" s="33">
        <f t="shared" ref="J106" si="24">J59</f>
        <v>39576</v>
      </c>
      <c r="K106" s="33">
        <f t="shared" ref="K106:N108" si="25">K59</f>
        <v>185929</v>
      </c>
      <c r="L106" s="34">
        <f t="shared" si="25"/>
        <v>650877</v>
      </c>
      <c r="M106" s="30">
        <f t="shared" si="25"/>
        <v>357556</v>
      </c>
      <c r="N106" s="30">
        <f t="shared" si="25"/>
        <v>441098</v>
      </c>
      <c r="P106" s="96"/>
      <c r="Q106" s="96">
        <f t="shared" ref="Q106:Q111" si="26">SUM(C106:J106)</f>
        <v>-602898</v>
      </c>
    </row>
    <row r="107" spans="1:17" ht="13.5" customHeight="1">
      <c r="A107" s="51"/>
      <c r="B107" s="52" t="s">
        <v>47</v>
      </c>
      <c r="C107" s="33">
        <f t="shared" si="23"/>
        <v>0</v>
      </c>
      <c r="D107" s="33">
        <f t="shared" si="23"/>
        <v>0</v>
      </c>
      <c r="E107" s="33">
        <f t="shared" si="23"/>
        <v>0</v>
      </c>
      <c r="F107" s="33">
        <f t="shared" si="23"/>
        <v>2971485</v>
      </c>
      <c r="G107" s="33">
        <f t="shared" si="23"/>
        <v>3000000</v>
      </c>
      <c r="H107" s="33">
        <f t="shared" si="23"/>
        <v>0</v>
      </c>
      <c r="I107" s="33">
        <f t="shared" si="23"/>
        <v>0</v>
      </c>
      <c r="J107" s="33">
        <f t="shared" ref="J107" si="27">J60</f>
        <v>0</v>
      </c>
      <c r="K107" s="33">
        <f t="shared" si="25"/>
        <v>0</v>
      </c>
      <c r="L107" s="34">
        <f t="shared" si="25"/>
        <v>0</v>
      </c>
      <c r="M107" s="30">
        <f t="shared" si="25"/>
        <v>0</v>
      </c>
      <c r="N107" s="30">
        <f t="shared" si="25"/>
        <v>0</v>
      </c>
      <c r="P107" s="96"/>
      <c r="Q107" s="96">
        <f t="shared" si="26"/>
        <v>5971485</v>
      </c>
    </row>
    <row r="108" spans="1:17" ht="13.5" customHeight="1">
      <c r="A108" s="51"/>
      <c r="B108" s="52" t="s">
        <v>129</v>
      </c>
      <c r="C108" s="33">
        <f t="shared" si="23"/>
        <v>839392</v>
      </c>
      <c r="D108" s="33">
        <f t="shared" si="23"/>
        <v>1516993</v>
      </c>
      <c r="E108" s="33">
        <f t="shared" si="23"/>
        <v>518040</v>
      </c>
      <c r="F108" s="33">
        <f t="shared" si="23"/>
        <v>274517</v>
      </c>
      <c r="G108" s="33">
        <f t="shared" si="23"/>
        <v>0</v>
      </c>
      <c r="H108" s="33">
        <f t="shared" si="23"/>
        <v>9078</v>
      </c>
      <c r="I108" s="33">
        <f t="shared" si="23"/>
        <v>1091613</v>
      </c>
      <c r="J108" s="33">
        <f t="shared" ref="J108" si="28">J61</f>
        <v>429482</v>
      </c>
      <c r="K108" s="33">
        <f t="shared" si="25"/>
        <v>2469734</v>
      </c>
      <c r="L108" s="34">
        <f t="shared" si="25"/>
        <v>717375</v>
      </c>
      <c r="M108" s="30">
        <f t="shared" si="25"/>
        <v>124976</v>
      </c>
      <c r="N108" s="30">
        <f t="shared" si="25"/>
        <v>911237</v>
      </c>
      <c r="P108" s="96"/>
      <c r="Q108" s="96">
        <f t="shared" si="26"/>
        <v>4679115</v>
      </c>
    </row>
    <row r="109" spans="1:17" ht="13.5" customHeight="1">
      <c r="A109" s="101"/>
      <c r="B109" s="102" t="s">
        <v>115</v>
      </c>
      <c r="C109" s="103">
        <v>-1</v>
      </c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1</v>
      </c>
      <c r="J109" s="104">
        <v>0</v>
      </c>
      <c r="K109" s="104">
        <v>0</v>
      </c>
      <c r="L109" s="105">
        <v>0</v>
      </c>
      <c r="M109" s="30">
        <v>0</v>
      </c>
      <c r="N109" s="30">
        <v>0</v>
      </c>
      <c r="P109" s="96"/>
      <c r="Q109" s="96">
        <f t="shared" si="26"/>
        <v>0</v>
      </c>
    </row>
    <row r="110" spans="1:17" s="40" customFormat="1" ht="13.5" customHeight="1">
      <c r="A110" s="37" t="s">
        <v>50</v>
      </c>
      <c r="B110" s="106"/>
      <c r="C110" s="107">
        <f t="shared" ref="C110:K110" si="29">SUM(C105:C109)</f>
        <v>938339</v>
      </c>
      <c r="D110" s="107">
        <f t="shared" si="29"/>
        <v>1838417</v>
      </c>
      <c r="E110" s="107">
        <f t="shared" si="29"/>
        <v>497110</v>
      </c>
      <c r="F110" s="107">
        <f t="shared" si="29"/>
        <v>2494104</v>
      </c>
      <c r="G110" s="107">
        <f t="shared" si="29"/>
        <v>2700406</v>
      </c>
      <c r="H110" s="107">
        <f>SUM(H105:H109)</f>
        <v>249718</v>
      </c>
      <c r="I110" s="107">
        <f t="shared" si="29"/>
        <v>1073905</v>
      </c>
      <c r="J110" s="107">
        <f t="shared" ref="J110" si="30">SUM(J105:J109)</f>
        <v>469058</v>
      </c>
      <c r="K110" s="107">
        <f t="shared" si="29"/>
        <v>2779212</v>
      </c>
      <c r="L110" s="107">
        <f>SUM(L105:L109)</f>
        <v>1368252</v>
      </c>
      <c r="M110" s="44">
        <f>SUM(M105:M109)</f>
        <v>535987</v>
      </c>
      <c r="N110" s="44">
        <f>SUM(N105:N109)</f>
        <v>1379850</v>
      </c>
      <c r="O110" s="108"/>
      <c r="P110" s="99"/>
      <c r="Q110" s="99">
        <f t="shared" si="26"/>
        <v>10261057</v>
      </c>
    </row>
    <row r="111" spans="1:17" s="73" customFormat="1" ht="17.25" customHeight="1" thickBot="1">
      <c r="A111" s="56" t="s">
        <v>130</v>
      </c>
      <c r="B111" s="57"/>
      <c r="C111" s="109">
        <f t="shared" ref="C111:L111" si="31">SUM(C103:C109)</f>
        <v>977530</v>
      </c>
      <c r="D111" s="109">
        <f t="shared" si="31"/>
        <v>1889226</v>
      </c>
      <c r="E111" s="109">
        <f t="shared" si="31"/>
        <v>541612</v>
      </c>
      <c r="F111" s="109">
        <f t="shared" si="31"/>
        <v>2516843</v>
      </c>
      <c r="G111" s="109">
        <f t="shared" si="31"/>
        <v>2718306</v>
      </c>
      <c r="H111" s="109">
        <f>SUM(H103:H109)</f>
        <v>831624</v>
      </c>
      <c r="I111" s="109">
        <f t="shared" si="31"/>
        <v>1218596</v>
      </c>
      <c r="J111" s="109">
        <f t="shared" ref="J111" si="32">SUM(J103:J109)</f>
        <v>483887</v>
      </c>
      <c r="K111" s="109">
        <f t="shared" si="31"/>
        <v>3033771</v>
      </c>
      <c r="L111" s="109">
        <f t="shared" si="31"/>
        <v>1416235</v>
      </c>
      <c r="M111" s="110">
        <f>SUM(M103:M109)</f>
        <v>551352</v>
      </c>
      <c r="N111" s="110">
        <f>SUM(N103:N109)</f>
        <v>1405721</v>
      </c>
      <c r="P111" s="99"/>
      <c r="Q111" s="99">
        <f t="shared" si="26"/>
        <v>11177624</v>
      </c>
    </row>
    <row r="112" spans="1:17" s="68" customFormat="1" hidden="1">
      <c r="A112" s="111"/>
      <c r="B112" s="100" t="s">
        <v>97</v>
      </c>
      <c r="C112" s="112">
        <f t="shared" ref="C112:N112" si="33">+C93-C111</f>
        <v>0</v>
      </c>
      <c r="D112" s="112">
        <f t="shared" si="33"/>
        <v>-2</v>
      </c>
      <c r="E112" s="83">
        <f t="shared" si="33"/>
        <v>0</v>
      </c>
      <c r="F112" s="112">
        <f t="shared" si="33"/>
        <v>-4</v>
      </c>
      <c r="G112" s="112">
        <f t="shared" si="33"/>
        <v>0</v>
      </c>
      <c r="H112" s="113"/>
      <c r="I112" s="112">
        <f t="shared" si="33"/>
        <v>0</v>
      </c>
      <c r="J112" s="113"/>
      <c r="K112" s="112">
        <f t="shared" si="33"/>
        <v>0</v>
      </c>
      <c r="L112" s="113">
        <f t="shared" si="33"/>
        <v>0</v>
      </c>
      <c r="M112" s="113"/>
      <c r="N112" s="112">
        <f t="shared" si="33"/>
        <v>0</v>
      </c>
    </row>
    <row r="113" spans="1:16" s="68" customFormat="1" ht="17.25" customHeight="1">
      <c r="A113" s="111"/>
      <c r="B113" s="100"/>
      <c r="C113" s="113"/>
      <c r="D113" s="113"/>
      <c r="E113" s="85"/>
      <c r="F113" s="113"/>
      <c r="G113" s="113"/>
      <c r="H113" s="113"/>
      <c r="I113" s="113"/>
      <c r="J113" s="113"/>
      <c r="K113" s="113"/>
      <c r="L113" s="113"/>
      <c r="M113" s="113"/>
      <c r="N113" s="113"/>
    </row>
    <row r="114" spans="1:16" s="68" customFormat="1" ht="30.75" customHeight="1">
      <c r="A114" s="395" t="s">
        <v>131</v>
      </c>
      <c r="B114" s="396"/>
      <c r="C114" s="400">
        <f t="shared" ref="C114:I114" si="34">C54/(C31)</f>
        <v>-0.24007791189779606</v>
      </c>
      <c r="D114" s="400">
        <f t="shared" si="34"/>
        <v>-4.7220422874416593E-2</v>
      </c>
      <c r="E114" s="400">
        <f t="shared" si="34"/>
        <v>-1.672753084333277</v>
      </c>
      <c r="F114" s="400">
        <f t="shared" si="34"/>
        <v>-14.728862827644965</v>
      </c>
      <c r="G114" s="400">
        <f t="shared" si="34"/>
        <v>-5.4008198889182752</v>
      </c>
      <c r="H114" s="400">
        <f t="shared" si="34"/>
        <v>1.2837199595799834E-3</v>
      </c>
      <c r="I114" s="400">
        <f t="shared" si="34"/>
        <v>-0.11780764959158775</v>
      </c>
      <c r="J114" s="400">
        <f t="shared" ref="J114" si="35">J54/(J31)</f>
        <v>-0.2794683478917358</v>
      </c>
      <c r="K114" s="400">
        <f>K54/(K31)</f>
        <v>-5.1002308951387548E-2</v>
      </c>
      <c r="L114" s="400">
        <f>L54/(L31)</f>
        <v>-0.14223020051095456</v>
      </c>
      <c r="M114" s="400">
        <f>M54/(M31)</f>
        <v>-9.5839152116793766E-2</v>
      </c>
      <c r="N114" s="400">
        <f>N54/(N31)</f>
        <v>0.17785077867625038</v>
      </c>
    </row>
    <row r="115" spans="1:16" s="68" customFormat="1" ht="24">
      <c r="A115" s="257"/>
      <c r="B115" s="258" t="s">
        <v>132</v>
      </c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</row>
    <row r="116" spans="1:16" s="234" customFormat="1" ht="14.25">
      <c r="A116" s="251" t="s">
        <v>220</v>
      </c>
      <c r="B116" s="252"/>
      <c r="C116" s="401">
        <f>(SUM(C81:C82))/SUM(C95:C100)</f>
        <v>8.0495891847794425</v>
      </c>
      <c r="D116" s="401">
        <f>(SUM(D81:D82))/SUM(D95:D100)</f>
        <v>6.6343701799485864</v>
      </c>
      <c r="E116" s="401">
        <f>(SUM(E81:E82))/SUM(E95:E100)</f>
        <v>6.8944135712196548</v>
      </c>
      <c r="F116" s="401">
        <f t="shared" ref="F116:N116" si="36">(SUM(F81:F82))/SUM(F95:F100)</f>
        <v>140.1667087648396</v>
      </c>
      <c r="G116" s="401">
        <f t="shared" si="36"/>
        <v>1.1714525139664804</v>
      </c>
      <c r="H116" s="401">
        <f t="shared" si="36"/>
        <v>0.73300155007853507</v>
      </c>
      <c r="I116" s="401">
        <f t="shared" si="36"/>
        <v>0.63966516184453426</v>
      </c>
      <c r="J116" s="401">
        <f t="shared" ref="J116" si="37">(SUM(J81:J82))/SUM(J95:J100)</f>
        <v>3.6687571650144988</v>
      </c>
      <c r="K116" s="401">
        <f t="shared" si="36"/>
        <v>15.008980899776532</v>
      </c>
      <c r="L116" s="401">
        <f t="shared" si="36"/>
        <v>16.483324685126657</v>
      </c>
      <c r="M116" s="401">
        <f t="shared" si="36"/>
        <v>27.749821021802799</v>
      </c>
      <c r="N116" s="401">
        <f t="shared" si="36"/>
        <v>18.182830195972326</v>
      </c>
    </row>
    <row r="117" spans="1:16" s="234" customFormat="1" ht="36">
      <c r="A117" s="253"/>
      <c r="B117" s="254" t="s">
        <v>221</v>
      </c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02"/>
    </row>
    <row r="118" spans="1:16" s="234" customFormat="1" ht="14.25">
      <c r="A118" s="251" t="s">
        <v>222</v>
      </c>
      <c r="B118" s="252"/>
      <c r="C118" s="401">
        <f>(SUM(C81:C82))/SUM(C95:C101)</f>
        <v>3.5247633385215993</v>
      </c>
      <c r="D118" s="401">
        <f>(SUM(D81:D82))/SUM(D95:D101)</f>
        <v>5.0793560196028267</v>
      </c>
      <c r="E118" s="401">
        <f>(SUM(E81:E82))/SUM(E95:E101)</f>
        <v>0.52968405914340932</v>
      </c>
      <c r="F118" s="401">
        <f t="shared" ref="F118:N118" si="38">(SUM(F81:F82))/SUM(F95:F101)</f>
        <v>97.615550376005984</v>
      </c>
      <c r="G118" s="401">
        <f t="shared" si="38"/>
        <v>1.1714525139664804</v>
      </c>
      <c r="H118" s="401">
        <f t="shared" si="38"/>
        <v>0.73300155007853507</v>
      </c>
      <c r="I118" s="401">
        <f t="shared" si="38"/>
        <v>0.63966516184453426</v>
      </c>
      <c r="J118" s="401">
        <f t="shared" ref="J118" si="39">(SUM(J81:J82))/SUM(J95:J101)</f>
        <v>3.6687571650144988</v>
      </c>
      <c r="K118" s="401">
        <f t="shared" si="38"/>
        <v>7.6565430611718144</v>
      </c>
      <c r="L118" s="401">
        <f t="shared" si="38"/>
        <v>14.564741679344769</v>
      </c>
      <c r="M118" s="401">
        <f t="shared" si="38"/>
        <v>27.749821021802799</v>
      </c>
      <c r="N118" s="401">
        <f t="shared" si="38"/>
        <v>18.182830195972326</v>
      </c>
    </row>
    <row r="119" spans="1:16" s="234" customFormat="1" ht="36">
      <c r="A119" s="253"/>
      <c r="B119" s="254" t="s">
        <v>223</v>
      </c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</row>
    <row r="120" spans="1:16" s="255" customFormat="1" ht="8.1" customHeight="1">
      <c r="A120" s="263"/>
      <c r="B120" s="264"/>
      <c r="C120" s="265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6"/>
    </row>
    <row r="121" spans="1:16" s="68" customFormat="1" ht="15" customHeight="1">
      <c r="A121" s="259" t="s">
        <v>133</v>
      </c>
      <c r="B121" s="260"/>
      <c r="C121" s="399">
        <f t="shared" ref="C121:N121" si="40">C103/C93</f>
        <v>4.0091864188311357E-2</v>
      </c>
      <c r="D121" s="399">
        <f t="shared" si="40"/>
        <v>2.6894111021244702E-2</v>
      </c>
      <c r="E121" s="399">
        <f t="shared" si="40"/>
        <v>8.2165830890009825E-2</v>
      </c>
      <c r="F121" s="399">
        <f t="shared" si="40"/>
        <v>9.0347455677538373E-3</v>
      </c>
      <c r="G121" s="399">
        <f t="shared" si="40"/>
        <v>6.5849834418935911E-3</v>
      </c>
      <c r="H121" s="399">
        <f t="shared" si="40"/>
        <v>0.69972247073196536</v>
      </c>
      <c r="I121" s="399">
        <f t="shared" si="40"/>
        <v>0.11873582384974184</v>
      </c>
      <c r="J121" s="399">
        <f t="shared" ref="J121" si="41">J103/J93</f>
        <v>3.0645647941870607E-2</v>
      </c>
      <c r="K121" s="399">
        <f t="shared" si="40"/>
        <v>8.3908442660965518E-2</v>
      </c>
      <c r="L121" s="399">
        <f t="shared" si="40"/>
        <v>3.3880676582629297E-2</v>
      </c>
      <c r="M121" s="399">
        <f t="shared" si="40"/>
        <v>2.7867859371145838E-2</v>
      </c>
      <c r="N121" s="399">
        <f t="shared" si="40"/>
        <v>1.8404078761005919E-2</v>
      </c>
    </row>
    <row r="122" spans="1:16" s="68" customFormat="1" ht="25.5">
      <c r="A122" s="257"/>
      <c r="B122" s="261" t="s">
        <v>134</v>
      </c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</row>
    <row r="123" spans="1:16" s="68" customFormat="1" ht="15" customHeight="1">
      <c r="A123" s="259" t="s">
        <v>135</v>
      </c>
      <c r="B123" s="262"/>
      <c r="C123" s="399">
        <f t="shared" ref="C123:N123" si="42">C110/C93</f>
        <v>0.95990813581168866</v>
      </c>
      <c r="D123" s="399">
        <f t="shared" si="42"/>
        <v>0.97310694761447025</v>
      </c>
      <c r="E123" s="399">
        <f t="shared" si="42"/>
        <v>0.91783416910999016</v>
      </c>
      <c r="F123" s="399">
        <f t="shared" si="42"/>
        <v>0.99096684372738975</v>
      </c>
      <c r="G123" s="399">
        <f t="shared" si="42"/>
        <v>0.99341501655810638</v>
      </c>
      <c r="H123" s="399">
        <f t="shared" si="42"/>
        <v>0.30027752926803458</v>
      </c>
      <c r="I123" s="399">
        <f t="shared" si="42"/>
        <v>0.8812641761502582</v>
      </c>
      <c r="J123" s="399">
        <f t="shared" ref="J123" si="43">J110/J93</f>
        <v>0.96935641866059363</v>
      </c>
      <c r="K123" s="399">
        <f t="shared" si="42"/>
        <v>0.91609155733903447</v>
      </c>
      <c r="L123" s="399">
        <f t="shared" si="42"/>
        <v>0.96611932341737072</v>
      </c>
      <c r="M123" s="399">
        <f t="shared" si="42"/>
        <v>0.97213214062885411</v>
      </c>
      <c r="N123" s="399">
        <f t="shared" si="42"/>
        <v>0.98159592123899408</v>
      </c>
    </row>
    <row r="124" spans="1:16" s="68" customFormat="1" ht="25.5" customHeight="1">
      <c r="A124" s="257"/>
      <c r="B124" s="258" t="s">
        <v>136</v>
      </c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</row>
    <row r="125" spans="1:16" s="68" customFormat="1" ht="15" customHeight="1">
      <c r="A125" s="397" t="s">
        <v>137</v>
      </c>
      <c r="B125" s="398"/>
      <c r="C125" s="399">
        <f t="shared" ref="C125:N125" si="44">C103/C110</f>
        <v>4.1766355229826323E-2</v>
      </c>
      <c r="D125" s="399">
        <f t="shared" si="44"/>
        <v>2.7637364101833262E-2</v>
      </c>
      <c r="E125" s="399">
        <f t="shared" si="44"/>
        <v>8.9521433887871898E-2</v>
      </c>
      <c r="F125" s="399">
        <f t="shared" si="44"/>
        <v>9.1171017728210214E-3</v>
      </c>
      <c r="G125" s="399">
        <f t="shared" si="44"/>
        <v>6.6286328796484675E-3</v>
      </c>
      <c r="H125" s="399">
        <f t="shared" si="44"/>
        <v>2.3302525248480284</v>
      </c>
      <c r="I125" s="399">
        <f t="shared" si="44"/>
        <v>0.13473351925915233</v>
      </c>
      <c r="J125" s="399">
        <f t="shared" ref="J125" si="45">J103/J110</f>
        <v>3.161442721369212E-2</v>
      </c>
      <c r="K125" s="399">
        <f t="shared" si="44"/>
        <v>9.1593948212658843E-2</v>
      </c>
      <c r="L125" s="399">
        <f t="shared" si="44"/>
        <v>3.5068832349596422E-2</v>
      </c>
      <c r="M125" s="399">
        <f t="shared" si="44"/>
        <v>2.8666740051531102E-2</v>
      </c>
      <c r="N125" s="399">
        <f t="shared" si="44"/>
        <v>1.8749139399210059E-2</v>
      </c>
    </row>
    <row r="126" spans="1:16" s="68" customFormat="1">
      <c r="A126" s="257"/>
      <c r="B126" s="258" t="s">
        <v>138</v>
      </c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</row>
    <row r="127" spans="1:16" s="255" customFormat="1" ht="8.1" customHeight="1">
      <c r="A127" s="267"/>
      <c r="B127" s="268"/>
      <c r="C127" s="269"/>
      <c r="D127" s="269"/>
      <c r="E127" s="270"/>
      <c r="F127" s="269"/>
      <c r="G127" s="269"/>
      <c r="H127" s="269"/>
      <c r="I127" s="269"/>
      <c r="J127" s="269"/>
      <c r="K127" s="269"/>
      <c r="L127" s="269"/>
      <c r="M127" s="269"/>
      <c r="N127" s="271"/>
    </row>
    <row r="128" spans="1:16" s="68" customFormat="1" ht="13.5" customHeight="1">
      <c r="A128" s="277" t="s">
        <v>139</v>
      </c>
      <c r="B128" s="278"/>
      <c r="C128" s="272">
        <v>3</v>
      </c>
      <c r="D128" s="272">
        <v>3</v>
      </c>
      <c r="E128" s="272">
        <v>2</v>
      </c>
      <c r="F128" s="272">
        <v>2</v>
      </c>
      <c r="G128" s="272">
        <v>0</v>
      </c>
      <c r="H128" s="272">
        <v>0</v>
      </c>
      <c r="I128" s="272">
        <v>0</v>
      </c>
      <c r="J128" s="272">
        <v>1</v>
      </c>
      <c r="K128" s="272">
        <v>2</v>
      </c>
      <c r="L128" s="272">
        <v>1</v>
      </c>
      <c r="M128" s="272">
        <v>6</v>
      </c>
      <c r="N128" s="272">
        <v>3</v>
      </c>
      <c r="O128" s="115">
        <f>AVERAGE(C128:N128)</f>
        <v>1.9166666666666667</v>
      </c>
      <c r="P128" s="115"/>
    </row>
    <row r="129" spans="1:15" s="256" customFormat="1" ht="8.1" customHeight="1">
      <c r="A129" s="273"/>
      <c r="B129" s="268"/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  <c r="M129" s="268"/>
      <c r="N129" s="274"/>
    </row>
    <row r="130" spans="1:15">
      <c r="A130" s="275" t="s">
        <v>140</v>
      </c>
      <c r="B130" s="275"/>
      <c r="C130" s="94" t="s">
        <v>141</v>
      </c>
      <c r="D130" s="276">
        <v>11261</v>
      </c>
      <c r="E130" s="276">
        <v>3231</v>
      </c>
      <c r="F130" s="94" t="s">
        <v>141</v>
      </c>
      <c r="G130" s="88" t="s">
        <v>14</v>
      </c>
      <c r="H130" s="276">
        <v>38044</v>
      </c>
      <c r="I130" s="276">
        <v>6663</v>
      </c>
      <c r="J130" s="276">
        <v>7850</v>
      </c>
      <c r="K130" s="276">
        <v>15475</v>
      </c>
      <c r="L130" s="114">
        <v>10531</v>
      </c>
      <c r="M130" s="276">
        <v>9824</v>
      </c>
      <c r="N130" s="276" t="s">
        <v>142</v>
      </c>
      <c r="O130" s="59">
        <f>AVERAGE(C130:N130)</f>
        <v>12859.875</v>
      </c>
    </row>
    <row r="131" spans="1:15">
      <c r="A131" s="275" t="s">
        <v>143</v>
      </c>
      <c r="B131" s="275"/>
      <c r="C131" s="94" t="s">
        <v>141</v>
      </c>
      <c r="D131" s="276">
        <v>3855</v>
      </c>
      <c r="E131" s="94">
        <v>120</v>
      </c>
      <c r="F131" s="94" t="s">
        <v>141</v>
      </c>
      <c r="G131" s="88" t="s">
        <v>14</v>
      </c>
      <c r="H131" s="94">
        <v>54974</v>
      </c>
      <c r="I131" s="276">
        <v>2614</v>
      </c>
      <c r="J131" s="276">
        <v>8661</v>
      </c>
      <c r="K131" s="276">
        <v>4123</v>
      </c>
      <c r="L131" s="114">
        <v>631</v>
      </c>
      <c r="M131" s="276">
        <v>0</v>
      </c>
      <c r="N131" s="276" t="s">
        <v>142</v>
      </c>
      <c r="O131" s="59">
        <f>AVERAGE(C131:N131)</f>
        <v>9372.25</v>
      </c>
    </row>
    <row r="132" spans="1:15">
      <c r="A132" s="275" t="s">
        <v>144</v>
      </c>
      <c r="B132" s="275"/>
      <c r="C132" s="94" t="s">
        <v>141</v>
      </c>
      <c r="D132" s="276">
        <v>15116</v>
      </c>
      <c r="E132" s="276">
        <v>3351</v>
      </c>
      <c r="F132" s="94" t="s">
        <v>141</v>
      </c>
      <c r="G132" s="88" t="s">
        <v>14</v>
      </c>
      <c r="H132" s="276">
        <v>93018</v>
      </c>
      <c r="I132" s="276">
        <v>9277</v>
      </c>
      <c r="J132" s="276">
        <v>16511</v>
      </c>
      <c r="K132" s="276">
        <v>19598</v>
      </c>
      <c r="L132" s="114">
        <v>11162</v>
      </c>
      <c r="M132" s="276">
        <v>9824</v>
      </c>
      <c r="N132" s="276" t="s">
        <v>142</v>
      </c>
      <c r="O132" s="59">
        <f>AVERAGE(C132:N132)</f>
        <v>22232.125</v>
      </c>
    </row>
    <row r="133" spans="1:15">
      <c r="B133" s="87"/>
      <c r="C133" s="87"/>
      <c r="D133" s="87"/>
      <c r="E133" s="87"/>
      <c r="F133" s="87"/>
      <c r="G133" s="87"/>
      <c r="I133" s="87"/>
      <c r="K133" s="87"/>
      <c r="N133" s="87"/>
    </row>
    <row r="134" spans="1:15">
      <c r="B134" s="87"/>
      <c r="C134" s="87"/>
      <c r="D134" s="87"/>
      <c r="E134" s="87"/>
      <c r="F134" s="87"/>
      <c r="G134" s="87"/>
      <c r="I134" s="87"/>
      <c r="K134" s="87"/>
      <c r="N134" s="87"/>
    </row>
    <row r="135" spans="1:15">
      <c r="A135" s="357"/>
      <c r="B135" s="91"/>
      <c r="C135" s="87"/>
      <c r="D135" s="87"/>
      <c r="E135" s="87"/>
      <c r="F135" s="87"/>
      <c r="G135" s="87"/>
      <c r="I135" s="87"/>
    </row>
    <row r="136" spans="1:15">
      <c r="A136" s="357"/>
      <c r="B136" s="91"/>
      <c r="C136" s="87"/>
      <c r="D136" s="87"/>
      <c r="E136" s="87"/>
      <c r="F136" s="87"/>
      <c r="G136" s="87"/>
      <c r="I136" s="87"/>
    </row>
    <row r="142" spans="1:15">
      <c r="C142" s="20"/>
    </row>
    <row r="143" spans="1:15">
      <c r="C143" s="20"/>
    </row>
    <row r="144" spans="1:15">
      <c r="C144" s="20"/>
    </row>
    <row r="145" spans="3:3">
      <c r="C145" s="20"/>
    </row>
    <row r="146" spans="3:3">
      <c r="C146" s="20"/>
    </row>
    <row r="147" spans="3:3">
      <c r="C147" s="20"/>
    </row>
    <row r="148" spans="3:3">
      <c r="C148" s="20"/>
    </row>
    <row r="149" spans="3:3">
      <c r="C149" s="20"/>
    </row>
    <row r="150" spans="3:3">
      <c r="C150" s="20"/>
    </row>
    <row r="151" spans="3:3">
      <c r="C151" s="20"/>
    </row>
    <row r="152" spans="3:3">
      <c r="C152" s="20"/>
    </row>
    <row r="153" spans="3:3">
      <c r="C153" s="20"/>
    </row>
    <row r="154" spans="3:3">
      <c r="C154" s="20"/>
    </row>
    <row r="155" spans="3:3">
      <c r="C155" s="20"/>
    </row>
    <row r="156" spans="3:3">
      <c r="C156" s="20"/>
    </row>
    <row r="157" spans="3:3">
      <c r="C157" s="20"/>
    </row>
    <row r="158" spans="3:3">
      <c r="C158" s="20"/>
    </row>
    <row r="159" spans="3:3">
      <c r="C159" s="20"/>
    </row>
    <row r="160" spans="3:3">
      <c r="C160" s="20"/>
    </row>
    <row r="161" spans="3:3">
      <c r="C161" s="20"/>
    </row>
    <row r="162" spans="3:3">
      <c r="C162" s="20"/>
    </row>
    <row r="163" spans="3:3">
      <c r="C163" s="20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79" spans="3:3">
      <c r="C179" s="20"/>
    </row>
    <row r="180" spans="3:3">
      <c r="C180" s="20"/>
    </row>
    <row r="181" spans="3:3">
      <c r="C181" s="20"/>
    </row>
    <row r="182" spans="3:3">
      <c r="C182" s="20"/>
    </row>
    <row r="183" spans="3:3">
      <c r="C183" s="20"/>
    </row>
    <row r="184" spans="3:3">
      <c r="C184" s="20"/>
    </row>
    <row r="185" spans="3:3">
      <c r="C185" s="20"/>
    </row>
    <row r="186" spans="3:3">
      <c r="C186" s="20"/>
    </row>
    <row r="187" spans="3:3">
      <c r="C187" s="20"/>
    </row>
    <row r="188" spans="3:3">
      <c r="C188" s="20"/>
    </row>
    <row r="189" spans="3:3">
      <c r="C189" s="20"/>
    </row>
    <row r="190" spans="3:3">
      <c r="C190" s="20"/>
    </row>
    <row r="191" spans="3:3">
      <c r="C191" s="20"/>
    </row>
    <row r="192" spans="3:3">
      <c r="C192" s="20"/>
    </row>
    <row r="193" spans="3:3">
      <c r="C193" s="20"/>
    </row>
    <row r="194" spans="3:3">
      <c r="C194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14" spans="3:3">
      <c r="C214" s="20"/>
    </row>
    <row r="215" spans="3:3">
      <c r="C215" s="20"/>
    </row>
    <row r="216" spans="3:3">
      <c r="C216" s="20"/>
    </row>
    <row r="217" spans="3:3">
      <c r="C217" s="20"/>
    </row>
    <row r="218" spans="3:3">
      <c r="C218" s="20"/>
    </row>
    <row r="219" spans="3:3">
      <c r="C219" s="20"/>
    </row>
    <row r="220" spans="3:3">
      <c r="C220" s="20"/>
    </row>
    <row r="221" spans="3:3">
      <c r="C221" s="20"/>
    </row>
    <row r="222" spans="3:3">
      <c r="C222" s="20"/>
    </row>
    <row r="223" spans="3:3">
      <c r="C223" s="20"/>
    </row>
    <row r="224" spans="3:3">
      <c r="C224" s="20"/>
    </row>
    <row r="225" spans="3:3">
      <c r="C225" s="20"/>
    </row>
    <row r="226" spans="3:3">
      <c r="C226" s="20"/>
    </row>
    <row r="227" spans="3:3">
      <c r="C227" s="20"/>
    </row>
    <row r="228" spans="3:3">
      <c r="C228" s="20"/>
    </row>
    <row r="229" spans="3:3">
      <c r="C229" s="20"/>
    </row>
    <row r="230" spans="3:3">
      <c r="C230" s="20"/>
    </row>
    <row r="231" spans="3:3">
      <c r="C231" s="20"/>
    </row>
    <row r="232" spans="3:3">
      <c r="C232" s="20"/>
    </row>
    <row r="233" spans="3:3">
      <c r="C233" s="20"/>
    </row>
    <row r="234" spans="3:3">
      <c r="C234" s="20"/>
    </row>
    <row r="235" spans="3:3">
      <c r="C235" s="20"/>
    </row>
    <row r="236" spans="3:3">
      <c r="C236" s="20"/>
    </row>
    <row r="237" spans="3:3">
      <c r="C237" s="20"/>
    </row>
    <row r="238" spans="3:3">
      <c r="C238" s="20"/>
    </row>
    <row r="239" spans="3:3">
      <c r="C239" s="20"/>
    </row>
    <row r="240" spans="3:3">
      <c r="C240" s="20"/>
    </row>
    <row r="241" spans="3:3">
      <c r="C241" s="20"/>
    </row>
    <row r="242" spans="3:3">
      <c r="C242" s="20"/>
    </row>
    <row r="243" spans="3:3">
      <c r="C243" s="20"/>
    </row>
    <row r="244" spans="3:3">
      <c r="C244" s="20"/>
    </row>
    <row r="245" spans="3:3">
      <c r="C245" s="20"/>
    </row>
    <row r="246" spans="3:3">
      <c r="C246" s="20"/>
    </row>
    <row r="247" spans="3:3">
      <c r="C247" s="20"/>
    </row>
    <row r="248" spans="3:3">
      <c r="C248" s="20"/>
    </row>
    <row r="249" spans="3:3">
      <c r="C249" s="20"/>
    </row>
    <row r="250" spans="3:3">
      <c r="C250" s="20"/>
    </row>
    <row r="251" spans="3:3">
      <c r="C251" s="20"/>
    </row>
    <row r="252" spans="3:3">
      <c r="C252" s="20"/>
    </row>
    <row r="253" spans="3:3">
      <c r="C253" s="20"/>
    </row>
    <row r="254" spans="3:3">
      <c r="C254" s="20"/>
    </row>
    <row r="255" spans="3:3">
      <c r="C255" s="20"/>
    </row>
    <row r="256" spans="3:3">
      <c r="C256" s="20"/>
    </row>
    <row r="257" spans="3:3">
      <c r="C257" s="20"/>
    </row>
    <row r="258" spans="3:3">
      <c r="C258" s="20"/>
    </row>
    <row r="259" spans="3:3">
      <c r="C259" s="20"/>
    </row>
    <row r="260" spans="3:3">
      <c r="C260" s="20"/>
    </row>
    <row r="261" spans="3:3">
      <c r="C261" s="20"/>
    </row>
    <row r="262" spans="3:3">
      <c r="C262" s="20"/>
    </row>
    <row r="263" spans="3:3">
      <c r="C263" s="20"/>
    </row>
    <row r="264" spans="3:3">
      <c r="C264" s="20"/>
    </row>
    <row r="265" spans="3:3">
      <c r="C265" s="20"/>
    </row>
    <row r="266" spans="3:3">
      <c r="C266" s="20"/>
    </row>
    <row r="267" spans="3:3">
      <c r="C267" s="20"/>
    </row>
    <row r="268" spans="3:3">
      <c r="C268" s="20"/>
    </row>
    <row r="269" spans="3:3">
      <c r="C269" s="20"/>
    </row>
    <row r="270" spans="3:3">
      <c r="C270" s="20"/>
    </row>
    <row r="271" spans="3:3">
      <c r="C271" s="20"/>
    </row>
    <row r="272" spans="3:3">
      <c r="C272" s="20"/>
    </row>
    <row r="273" spans="3:3">
      <c r="C273" s="20"/>
    </row>
    <row r="274" spans="3:3">
      <c r="C274" s="20"/>
    </row>
    <row r="275" spans="3:3">
      <c r="C275" s="20"/>
    </row>
    <row r="276" spans="3:3">
      <c r="C276" s="20"/>
    </row>
    <row r="277" spans="3:3">
      <c r="C277" s="20"/>
    </row>
    <row r="278" spans="3:3">
      <c r="C278" s="20"/>
    </row>
    <row r="279" spans="3:3">
      <c r="C279" s="20"/>
    </row>
    <row r="280" spans="3:3">
      <c r="C280" s="20"/>
    </row>
    <row r="281" spans="3:3">
      <c r="C281" s="20"/>
    </row>
    <row r="282" spans="3:3">
      <c r="C282" s="20"/>
    </row>
    <row r="283" spans="3:3">
      <c r="C283" s="20"/>
    </row>
    <row r="284" spans="3:3">
      <c r="C284" s="20"/>
    </row>
    <row r="285" spans="3:3">
      <c r="C285" s="20"/>
    </row>
    <row r="286" spans="3:3">
      <c r="C286" s="20"/>
    </row>
    <row r="287" spans="3:3">
      <c r="C287" s="20"/>
    </row>
    <row r="288" spans="3:3">
      <c r="C288" s="20"/>
    </row>
    <row r="289" spans="3:3">
      <c r="C289" s="20"/>
    </row>
    <row r="290" spans="3:3">
      <c r="C290" s="20"/>
    </row>
    <row r="291" spans="3:3">
      <c r="C291" s="20"/>
    </row>
    <row r="292" spans="3:3">
      <c r="C292" s="20"/>
    </row>
    <row r="293" spans="3:3">
      <c r="C293" s="20"/>
    </row>
    <row r="294" spans="3:3">
      <c r="C294" s="20"/>
    </row>
    <row r="295" spans="3:3">
      <c r="C295" s="20"/>
    </row>
    <row r="296" spans="3:3">
      <c r="C296" s="20"/>
    </row>
    <row r="297" spans="3:3">
      <c r="C297" s="20"/>
    </row>
    <row r="298" spans="3:3">
      <c r="C298" s="20"/>
    </row>
    <row r="299" spans="3:3">
      <c r="C299" s="20"/>
    </row>
    <row r="300" spans="3:3">
      <c r="C300" s="20"/>
    </row>
    <row r="301" spans="3:3">
      <c r="C301" s="20"/>
    </row>
    <row r="302" spans="3:3">
      <c r="C302" s="20"/>
    </row>
    <row r="303" spans="3:3">
      <c r="C303" s="20"/>
    </row>
    <row r="304" spans="3:3">
      <c r="C304" s="20"/>
    </row>
    <row r="305" spans="3:3">
      <c r="C305" s="20"/>
    </row>
    <row r="306" spans="3:3">
      <c r="C306" s="20"/>
    </row>
    <row r="307" spans="3:3">
      <c r="C307" s="20"/>
    </row>
    <row r="308" spans="3:3">
      <c r="C308" s="20"/>
    </row>
    <row r="309" spans="3:3">
      <c r="C309" s="20"/>
    </row>
    <row r="310" spans="3:3">
      <c r="C310" s="20"/>
    </row>
    <row r="311" spans="3:3">
      <c r="C311" s="20"/>
    </row>
    <row r="312" spans="3:3">
      <c r="C312" s="20"/>
    </row>
    <row r="313" spans="3:3">
      <c r="C313" s="20"/>
    </row>
    <row r="314" spans="3:3">
      <c r="C314" s="20"/>
    </row>
    <row r="315" spans="3:3">
      <c r="C315" s="20"/>
    </row>
    <row r="316" spans="3:3">
      <c r="C316" s="20"/>
    </row>
    <row r="317" spans="3:3">
      <c r="C317" s="20"/>
    </row>
    <row r="318" spans="3:3">
      <c r="C318" s="20"/>
    </row>
    <row r="319" spans="3:3">
      <c r="C319" s="20"/>
    </row>
    <row r="320" spans="3:3">
      <c r="C320" s="20"/>
    </row>
    <row r="321" spans="3:3">
      <c r="C321" s="20"/>
    </row>
    <row r="322" spans="3:3">
      <c r="C322" s="20"/>
    </row>
    <row r="323" spans="3:3">
      <c r="C323" s="20"/>
    </row>
    <row r="324" spans="3:3">
      <c r="C324" s="20"/>
    </row>
    <row r="325" spans="3:3">
      <c r="C325" s="20"/>
    </row>
    <row r="326" spans="3:3">
      <c r="C326" s="20"/>
    </row>
    <row r="327" spans="3:3">
      <c r="C327" s="20"/>
    </row>
    <row r="328" spans="3:3">
      <c r="C328" s="20"/>
    </row>
    <row r="329" spans="3:3">
      <c r="C329" s="20"/>
    </row>
    <row r="330" spans="3:3">
      <c r="C330" s="20"/>
    </row>
    <row r="331" spans="3:3">
      <c r="C331" s="20"/>
    </row>
    <row r="332" spans="3:3">
      <c r="C332" s="20"/>
    </row>
    <row r="333" spans="3:3">
      <c r="C333" s="20"/>
    </row>
    <row r="334" spans="3:3">
      <c r="C334" s="20"/>
    </row>
    <row r="335" spans="3:3">
      <c r="C335" s="20"/>
    </row>
    <row r="336" spans="3:3">
      <c r="C336" s="20"/>
    </row>
    <row r="337" spans="3:3">
      <c r="C337" s="20"/>
    </row>
    <row r="338" spans="3:3">
      <c r="C338" s="20"/>
    </row>
    <row r="339" spans="3:3">
      <c r="C339" s="20"/>
    </row>
    <row r="340" spans="3:3">
      <c r="C340" s="20"/>
    </row>
    <row r="341" spans="3:3">
      <c r="C341" s="20"/>
    </row>
    <row r="342" spans="3:3">
      <c r="C342" s="20"/>
    </row>
    <row r="343" spans="3:3">
      <c r="C343" s="20"/>
    </row>
    <row r="344" spans="3:3">
      <c r="C344" s="20"/>
    </row>
    <row r="345" spans="3:3">
      <c r="C345" s="20"/>
    </row>
    <row r="346" spans="3:3">
      <c r="C346" s="20"/>
    </row>
    <row r="347" spans="3:3">
      <c r="C347" s="20"/>
    </row>
    <row r="348" spans="3:3">
      <c r="C348" s="20"/>
    </row>
    <row r="349" spans="3:3">
      <c r="C349" s="20"/>
    </row>
    <row r="350" spans="3:3">
      <c r="C350" s="20"/>
    </row>
    <row r="351" spans="3:3">
      <c r="C351" s="20"/>
    </row>
    <row r="352" spans="3:3">
      <c r="C352" s="20"/>
    </row>
    <row r="353" spans="3:3">
      <c r="C353" s="20"/>
    </row>
    <row r="354" spans="3:3">
      <c r="C354" s="20"/>
    </row>
    <row r="355" spans="3:3">
      <c r="C355" s="20"/>
    </row>
    <row r="356" spans="3:3">
      <c r="C356" s="20"/>
    </row>
    <row r="357" spans="3:3">
      <c r="C357" s="20"/>
    </row>
    <row r="358" spans="3:3">
      <c r="C358" s="20"/>
    </row>
    <row r="359" spans="3:3">
      <c r="C359" s="20"/>
    </row>
    <row r="360" spans="3:3">
      <c r="C360" s="20"/>
    </row>
    <row r="361" spans="3:3">
      <c r="C361" s="20"/>
    </row>
    <row r="362" spans="3:3">
      <c r="C362" s="20"/>
    </row>
    <row r="363" spans="3:3">
      <c r="C363" s="20"/>
    </row>
    <row r="364" spans="3:3">
      <c r="C364" s="20"/>
    </row>
    <row r="365" spans="3:3">
      <c r="C365" s="20"/>
    </row>
    <row r="366" spans="3:3">
      <c r="C366" s="20"/>
    </row>
    <row r="367" spans="3:3">
      <c r="C367" s="20"/>
    </row>
    <row r="368" spans="3:3">
      <c r="C368" s="20"/>
    </row>
    <row r="369" spans="3:3">
      <c r="C369" s="20"/>
    </row>
    <row r="370" spans="3:3">
      <c r="C370" s="20"/>
    </row>
    <row r="371" spans="3:3">
      <c r="C371" s="20"/>
    </row>
    <row r="372" spans="3:3">
      <c r="C372" s="20"/>
    </row>
    <row r="373" spans="3:3">
      <c r="C373" s="20"/>
    </row>
    <row r="374" spans="3:3">
      <c r="C374" s="20"/>
    </row>
    <row r="375" spans="3:3">
      <c r="C375" s="20"/>
    </row>
    <row r="376" spans="3:3">
      <c r="C376" s="20"/>
    </row>
    <row r="377" spans="3:3">
      <c r="C377" s="20"/>
    </row>
    <row r="378" spans="3:3">
      <c r="C378" s="20"/>
    </row>
    <row r="379" spans="3:3">
      <c r="C379" s="20"/>
    </row>
    <row r="380" spans="3:3">
      <c r="C380" s="20"/>
    </row>
    <row r="381" spans="3:3">
      <c r="C381" s="20"/>
    </row>
    <row r="382" spans="3:3">
      <c r="C382" s="20"/>
    </row>
    <row r="383" spans="3:3">
      <c r="C383" s="20"/>
    </row>
    <row r="384" spans="3:3">
      <c r="C384" s="20"/>
    </row>
    <row r="385" spans="3:3">
      <c r="C385" s="20"/>
    </row>
    <row r="386" spans="3:3">
      <c r="C386" s="20"/>
    </row>
    <row r="387" spans="3:3">
      <c r="C387" s="20"/>
    </row>
    <row r="388" spans="3:3">
      <c r="C388" s="20"/>
    </row>
    <row r="389" spans="3:3">
      <c r="C389" s="20"/>
    </row>
    <row r="390" spans="3:3">
      <c r="C390" s="20"/>
    </row>
    <row r="391" spans="3:3">
      <c r="C391" s="20"/>
    </row>
    <row r="392" spans="3:3">
      <c r="C392" s="20"/>
    </row>
    <row r="393" spans="3:3">
      <c r="C393" s="20"/>
    </row>
    <row r="394" spans="3:3">
      <c r="C394" s="20"/>
    </row>
    <row r="395" spans="3:3">
      <c r="C395" s="20"/>
    </row>
    <row r="396" spans="3:3">
      <c r="C396" s="20"/>
    </row>
    <row r="397" spans="3:3">
      <c r="C397" s="20"/>
    </row>
    <row r="398" spans="3:3">
      <c r="C398" s="20"/>
    </row>
    <row r="399" spans="3:3">
      <c r="C399" s="20"/>
    </row>
    <row r="400" spans="3:3">
      <c r="C400" s="20"/>
    </row>
    <row r="401" spans="3:3">
      <c r="C401" s="20"/>
    </row>
    <row r="402" spans="3:3">
      <c r="C402" s="20"/>
    </row>
    <row r="403" spans="3:3">
      <c r="C403" s="20"/>
    </row>
    <row r="404" spans="3:3">
      <c r="C404" s="20"/>
    </row>
    <row r="405" spans="3:3">
      <c r="C405" s="20"/>
    </row>
    <row r="406" spans="3:3">
      <c r="C406" s="20"/>
    </row>
    <row r="407" spans="3:3">
      <c r="C407" s="20"/>
    </row>
    <row r="408" spans="3:3">
      <c r="C408" s="20"/>
    </row>
    <row r="409" spans="3:3">
      <c r="C409" s="20"/>
    </row>
    <row r="410" spans="3:3">
      <c r="C410" s="20"/>
    </row>
    <row r="411" spans="3:3">
      <c r="C411" s="20"/>
    </row>
    <row r="412" spans="3:3">
      <c r="C412" s="20"/>
    </row>
    <row r="413" spans="3:3">
      <c r="C413" s="20"/>
    </row>
    <row r="414" spans="3:3">
      <c r="C414" s="20"/>
    </row>
    <row r="415" spans="3:3">
      <c r="C415" s="20"/>
    </row>
    <row r="416" spans="3:3">
      <c r="C416" s="20"/>
    </row>
    <row r="417" spans="3:3">
      <c r="C417" s="20"/>
    </row>
    <row r="418" spans="3:3">
      <c r="C418" s="20"/>
    </row>
    <row r="419" spans="3:3">
      <c r="C419" s="20"/>
    </row>
    <row r="420" spans="3:3">
      <c r="C420" s="20"/>
    </row>
    <row r="421" spans="3:3">
      <c r="C421" s="20"/>
    </row>
    <row r="422" spans="3:3">
      <c r="C422" s="20"/>
    </row>
    <row r="423" spans="3:3">
      <c r="C423" s="20"/>
    </row>
    <row r="424" spans="3:3">
      <c r="C424" s="20"/>
    </row>
    <row r="425" spans="3:3">
      <c r="C425" s="20"/>
    </row>
    <row r="426" spans="3:3">
      <c r="C426" s="20"/>
    </row>
    <row r="427" spans="3:3">
      <c r="C427" s="20"/>
    </row>
    <row r="428" spans="3:3">
      <c r="C428" s="20"/>
    </row>
    <row r="429" spans="3:3">
      <c r="C429" s="20"/>
    </row>
    <row r="430" spans="3:3">
      <c r="C430" s="20"/>
    </row>
    <row r="431" spans="3:3">
      <c r="C431" s="20"/>
    </row>
    <row r="432" spans="3:3">
      <c r="C432" s="20"/>
    </row>
    <row r="433" spans="3:3">
      <c r="C433" s="20"/>
    </row>
    <row r="434" spans="3:3">
      <c r="C434" s="20"/>
    </row>
    <row r="435" spans="3:3">
      <c r="C435" s="20"/>
    </row>
    <row r="436" spans="3:3">
      <c r="C436" s="20"/>
    </row>
    <row r="437" spans="3:3">
      <c r="C437" s="20"/>
    </row>
    <row r="438" spans="3:3">
      <c r="C438" s="20"/>
    </row>
    <row r="439" spans="3:3">
      <c r="C439" s="20"/>
    </row>
    <row r="440" spans="3:3">
      <c r="C440" s="20"/>
    </row>
    <row r="441" spans="3:3">
      <c r="C441" s="20"/>
    </row>
    <row r="442" spans="3:3">
      <c r="C442" s="20"/>
    </row>
    <row r="443" spans="3:3">
      <c r="C443" s="20"/>
    </row>
    <row r="444" spans="3:3">
      <c r="C444" s="20"/>
    </row>
    <row r="445" spans="3:3">
      <c r="C445" s="20"/>
    </row>
    <row r="446" spans="3:3">
      <c r="C446" s="20"/>
    </row>
    <row r="447" spans="3:3">
      <c r="C447" s="20"/>
    </row>
    <row r="448" spans="3:3">
      <c r="C448" s="20"/>
    </row>
    <row r="449" spans="3:3">
      <c r="C449" s="20"/>
    </row>
    <row r="450" spans="3:3">
      <c r="C450" s="20"/>
    </row>
    <row r="451" spans="3:3">
      <c r="C451" s="20"/>
    </row>
    <row r="452" spans="3:3">
      <c r="C452" s="20"/>
    </row>
    <row r="453" spans="3:3">
      <c r="C453" s="20"/>
    </row>
    <row r="454" spans="3:3">
      <c r="C454" s="20"/>
    </row>
    <row r="455" spans="3:3">
      <c r="C455" s="20"/>
    </row>
    <row r="456" spans="3:3">
      <c r="C456" s="20"/>
    </row>
    <row r="457" spans="3:3">
      <c r="C457" s="20"/>
    </row>
    <row r="458" spans="3:3">
      <c r="C458" s="20"/>
    </row>
    <row r="459" spans="3:3">
      <c r="C459" s="20"/>
    </row>
    <row r="460" spans="3:3">
      <c r="C460" s="20"/>
    </row>
    <row r="461" spans="3:3">
      <c r="C461" s="20"/>
    </row>
    <row r="462" spans="3:3">
      <c r="C462" s="20"/>
    </row>
    <row r="463" spans="3:3">
      <c r="C463" s="20"/>
    </row>
    <row r="464" spans="3:3">
      <c r="C464" s="20"/>
    </row>
    <row r="465" spans="3:3">
      <c r="C465" s="20"/>
    </row>
    <row r="466" spans="3:3">
      <c r="C466" s="20"/>
    </row>
    <row r="467" spans="3:3">
      <c r="C467" s="20"/>
    </row>
    <row r="468" spans="3:3">
      <c r="C468" s="20"/>
    </row>
    <row r="469" spans="3:3">
      <c r="C469" s="20"/>
    </row>
    <row r="470" spans="3:3">
      <c r="C470" s="20"/>
    </row>
    <row r="471" spans="3:3">
      <c r="C471" s="20"/>
    </row>
    <row r="472" spans="3:3">
      <c r="C472" s="20"/>
    </row>
    <row r="473" spans="3:3">
      <c r="C473" s="20"/>
    </row>
    <row r="474" spans="3:3">
      <c r="C474" s="20"/>
    </row>
    <row r="475" spans="3:3">
      <c r="C475" s="20"/>
    </row>
    <row r="476" spans="3:3">
      <c r="C476" s="20"/>
    </row>
    <row r="477" spans="3:3">
      <c r="C477" s="20"/>
    </row>
    <row r="478" spans="3:3">
      <c r="C478" s="20"/>
    </row>
    <row r="479" spans="3:3">
      <c r="C479" s="20"/>
    </row>
    <row r="480" spans="3:3">
      <c r="C480" s="20"/>
    </row>
    <row r="481" spans="3:3">
      <c r="C481" s="20"/>
    </row>
    <row r="482" spans="3:3">
      <c r="C482" s="20"/>
    </row>
    <row r="483" spans="3:3">
      <c r="C483" s="20"/>
    </row>
    <row r="484" spans="3:3">
      <c r="C484" s="20"/>
    </row>
    <row r="485" spans="3:3">
      <c r="C485" s="20"/>
    </row>
    <row r="486" spans="3:3">
      <c r="C486" s="20"/>
    </row>
    <row r="487" spans="3:3">
      <c r="C487" s="20"/>
    </row>
    <row r="488" spans="3:3">
      <c r="C488" s="20"/>
    </row>
    <row r="489" spans="3:3">
      <c r="C489" s="20"/>
    </row>
    <row r="490" spans="3:3">
      <c r="C490" s="20"/>
    </row>
    <row r="491" spans="3:3">
      <c r="C491" s="20"/>
    </row>
    <row r="492" spans="3:3">
      <c r="C492" s="20"/>
    </row>
    <row r="493" spans="3:3">
      <c r="C493" s="20"/>
    </row>
    <row r="494" spans="3:3">
      <c r="C494" s="20"/>
    </row>
    <row r="495" spans="3:3">
      <c r="C495" s="20"/>
    </row>
    <row r="496" spans="3:3">
      <c r="C496" s="20"/>
    </row>
    <row r="497" spans="3:3">
      <c r="C497" s="20"/>
    </row>
    <row r="498" spans="3:3">
      <c r="C498" s="20"/>
    </row>
    <row r="499" spans="3:3">
      <c r="C499" s="20"/>
    </row>
    <row r="500" spans="3:3">
      <c r="C500" s="20"/>
    </row>
    <row r="501" spans="3:3">
      <c r="C501" s="20"/>
    </row>
    <row r="502" spans="3:3">
      <c r="C502" s="20"/>
    </row>
    <row r="503" spans="3:3">
      <c r="C503" s="20"/>
    </row>
    <row r="504" spans="3:3">
      <c r="C504" s="20"/>
    </row>
    <row r="505" spans="3:3">
      <c r="C505" s="20"/>
    </row>
    <row r="506" spans="3:3">
      <c r="C506" s="20"/>
    </row>
    <row r="507" spans="3:3">
      <c r="C507" s="20"/>
    </row>
    <row r="508" spans="3:3">
      <c r="C508" s="20"/>
    </row>
    <row r="509" spans="3:3">
      <c r="C509" s="20"/>
    </row>
    <row r="510" spans="3:3">
      <c r="C510" s="20"/>
    </row>
    <row r="511" spans="3:3">
      <c r="C511" s="20"/>
    </row>
    <row r="512" spans="3:3">
      <c r="C512" s="20"/>
    </row>
    <row r="513" spans="3:3">
      <c r="C513" s="20"/>
    </row>
    <row r="514" spans="3:3">
      <c r="C514" s="20"/>
    </row>
    <row r="515" spans="3:3">
      <c r="C515" s="20"/>
    </row>
    <row r="516" spans="3:3">
      <c r="C516" s="20"/>
    </row>
    <row r="517" spans="3:3">
      <c r="C517" s="20"/>
    </row>
    <row r="518" spans="3:3">
      <c r="C518" s="20"/>
    </row>
    <row r="519" spans="3:3">
      <c r="C519" s="20"/>
    </row>
    <row r="520" spans="3:3">
      <c r="C520" s="20"/>
    </row>
    <row r="521" spans="3:3">
      <c r="C521" s="20"/>
    </row>
    <row r="522" spans="3:3">
      <c r="C522" s="20"/>
    </row>
    <row r="523" spans="3:3">
      <c r="C523" s="20"/>
    </row>
    <row r="524" spans="3:3">
      <c r="C524" s="20"/>
    </row>
    <row r="525" spans="3:3">
      <c r="C525" s="20"/>
    </row>
    <row r="526" spans="3:3">
      <c r="C526" s="20"/>
    </row>
    <row r="527" spans="3:3">
      <c r="C527" s="20"/>
    </row>
    <row r="528" spans="3:3">
      <c r="C528" s="20"/>
    </row>
    <row r="529" spans="3:3">
      <c r="C529" s="20"/>
    </row>
    <row r="530" spans="3:3">
      <c r="C530" s="20"/>
    </row>
    <row r="531" spans="3:3">
      <c r="C531" s="20"/>
    </row>
    <row r="532" spans="3:3">
      <c r="C532" s="20"/>
    </row>
    <row r="533" spans="3:3">
      <c r="C533" s="20"/>
    </row>
    <row r="534" spans="3:3">
      <c r="C534" s="20"/>
    </row>
    <row r="535" spans="3:3">
      <c r="C535" s="20"/>
    </row>
    <row r="536" spans="3:3">
      <c r="C536" s="20"/>
    </row>
    <row r="537" spans="3:3">
      <c r="C537" s="20"/>
    </row>
    <row r="538" spans="3:3">
      <c r="C538" s="20"/>
    </row>
    <row r="539" spans="3:3">
      <c r="C539" s="20"/>
    </row>
    <row r="540" spans="3:3">
      <c r="C540" s="20"/>
    </row>
    <row r="541" spans="3:3">
      <c r="C541" s="20"/>
    </row>
    <row r="542" spans="3:3">
      <c r="C542" s="20"/>
    </row>
    <row r="543" spans="3:3">
      <c r="C543" s="20"/>
    </row>
    <row r="544" spans="3:3">
      <c r="C544" s="20"/>
    </row>
    <row r="545" spans="3:3">
      <c r="C545" s="20"/>
    </row>
    <row r="546" spans="3:3">
      <c r="C546" s="20"/>
    </row>
    <row r="547" spans="3:3">
      <c r="C547" s="20"/>
    </row>
    <row r="548" spans="3:3">
      <c r="C548" s="20"/>
    </row>
    <row r="549" spans="3:3">
      <c r="C549" s="20"/>
    </row>
    <row r="550" spans="3:3">
      <c r="C550" s="20"/>
    </row>
    <row r="551" spans="3:3">
      <c r="C551" s="20"/>
    </row>
    <row r="552" spans="3:3">
      <c r="C552" s="20"/>
    </row>
    <row r="553" spans="3:3">
      <c r="C553" s="20"/>
    </row>
    <row r="554" spans="3:3">
      <c r="C554" s="20"/>
    </row>
    <row r="555" spans="3:3">
      <c r="C555" s="20"/>
    </row>
    <row r="556" spans="3:3">
      <c r="C556" s="20"/>
    </row>
    <row r="557" spans="3:3">
      <c r="C557" s="20"/>
    </row>
    <row r="558" spans="3:3">
      <c r="C558" s="20"/>
    </row>
    <row r="559" spans="3:3">
      <c r="C559" s="20"/>
    </row>
    <row r="560" spans="3:3">
      <c r="C560" s="20"/>
    </row>
    <row r="561" spans="3:3">
      <c r="C561" s="20"/>
    </row>
    <row r="562" spans="3:3">
      <c r="C562" s="20"/>
    </row>
    <row r="563" spans="3:3">
      <c r="C563" s="20"/>
    </row>
    <row r="564" spans="3:3">
      <c r="C564" s="20"/>
    </row>
    <row r="565" spans="3:3">
      <c r="C565" s="20"/>
    </row>
    <row r="566" spans="3:3">
      <c r="C566" s="20"/>
    </row>
    <row r="567" spans="3:3">
      <c r="C567" s="20"/>
    </row>
    <row r="568" spans="3:3">
      <c r="C568" s="20"/>
    </row>
    <row r="569" spans="3:3">
      <c r="C569" s="20"/>
    </row>
    <row r="570" spans="3:3">
      <c r="C570" s="20"/>
    </row>
    <row r="571" spans="3:3">
      <c r="C571" s="20"/>
    </row>
    <row r="572" spans="3:3">
      <c r="C572" s="20"/>
    </row>
    <row r="573" spans="3:3">
      <c r="C573" s="20"/>
    </row>
    <row r="574" spans="3:3">
      <c r="C574" s="20"/>
    </row>
    <row r="575" spans="3:3">
      <c r="C575" s="20"/>
    </row>
    <row r="576" spans="3:3">
      <c r="C576" s="20"/>
    </row>
    <row r="577" spans="3:3">
      <c r="C577" s="20"/>
    </row>
    <row r="578" spans="3:3">
      <c r="C578" s="20"/>
    </row>
    <row r="579" spans="3:3">
      <c r="C579" s="20"/>
    </row>
    <row r="580" spans="3:3">
      <c r="C580" s="20"/>
    </row>
    <row r="581" spans="3:3">
      <c r="C581" s="20"/>
    </row>
    <row r="582" spans="3:3">
      <c r="C582" s="20"/>
    </row>
    <row r="583" spans="3:3">
      <c r="C583" s="20"/>
    </row>
    <row r="584" spans="3:3">
      <c r="C584" s="20"/>
    </row>
    <row r="585" spans="3:3">
      <c r="C585" s="20"/>
    </row>
    <row r="586" spans="3:3">
      <c r="C586" s="20"/>
    </row>
    <row r="587" spans="3:3">
      <c r="C587" s="20"/>
    </row>
    <row r="588" spans="3:3">
      <c r="C588" s="20"/>
    </row>
    <row r="589" spans="3:3">
      <c r="C589" s="20"/>
    </row>
    <row r="590" spans="3:3">
      <c r="C590" s="20"/>
    </row>
    <row r="591" spans="3:3">
      <c r="C591" s="20"/>
    </row>
    <row r="592" spans="3:3">
      <c r="C592" s="20"/>
    </row>
    <row r="593" spans="3:3">
      <c r="C593" s="20"/>
    </row>
    <row r="594" spans="3:3">
      <c r="C594" s="20"/>
    </row>
    <row r="595" spans="3:3">
      <c r="C595" s="20"/>
    </row>
    <row r="596" spans="3:3">
      <c r="C596" s="20"/>
    </row>
    <row r="597" spans="3:3">
      <c r="C597" s="20"/>
    </row>
    <row r="598" spans="3:3">
      <c r="C598" s="20"/>
    </row>
    <row r="599" spans="3:3">
      <c r="C599" s="20"/>
    </row>
    <row r="600" spans="3:3">
      <c r="C600" s="20"/>
    </row>
    <row r="601" spans="3:3">
      <c r="C601" s="20"/>
    </row>
    <row r="602" spans="3:3">
      <c r="C602" s="20"/>
    </row>
    <row r="603" spans="3:3">
      <c r="C603" s="20"/>
    </row>
    <row r="604" spans="3:3">
      <c r="C604" s="20"/>
    </row>
    <row r="605" spans="3:3">
      <c r="C605" s="20"/>
    </row>
    <row r="606" spans="3:3">
      <c r="C606" s="20"/>
    </row>
    <row r="607" spans="3:3">
      <c r="C607" s="20"/>
    </row>
    <row r="608" spans="3:3">
      <c r="C608" s="20"/>
    </row>
    <row r="609" spans="3:3">
      <c r="C609" s="20"/>
    </row>
    <row r="610" spans="3:3">
      <c r="C610" s="20"/>
    </row>
    <row r="611" spans="3:3">
      <c r="C611" s="20"/>
    </row>
    <row r="612" spans="3:3">
      <c r="C612" s="20"/>
    </row>
    <row r="613" spans="3:3">
      <c r="C613" s="20"/>
    </row>
    <row r="614" spans="3:3">
      <c r="C614" s="20"/>
    </row>
    <row r="615" spans="3:3">
      <c r="C615" s="20"/>
    </row>
    <row r="616" spans="3:3">
      <c r="C616" s="20"/>
    </row>
    <row r="617" spans="3:3">
      <c r="C617" s="20"/>
    </row>
    <row r="618" spans="3:3">
      <c r="C618" s="20"/>
    </row>
    <row r="619" spans="3:3">
      <c r="C619" s="20"/>
    </row>
    <row r="620" spans="3:3">
      <c r="C620" s="20"/>
    </row>
    <row r="621" spans="3:3">
      <c r="C621" s="20"/>
    </row>
    <row r="622" spans="3:3">
      <c r="C622" s="20"/>
    </row>
    <row r="623" spans="3:3">
      <c r="C623" s="20"/>
    </row>
    <row r="624" spans="3:3">
      <c r="C624" s="20"/>
    </row>
    <row r="625" spans="3:3">
      <c r="C625" s="20"/>
    </row>
    <row r="626" spans="3:3">
      <c r="C626" s="20"/>
    </row>
    <row r="627" spans="3:3">
      <c r="C627" s="20"/>
    </row>
    <row r="628" spans="3:3">
      <c r="C628" s="20"/>
    </row>
    <row r="629" spans="3:3">
      <c r="C629" s="20"/>
    </row>
    <row r="630" spans="3:3">
      <c r="C630" s="20"/>
    </row>
    <row r="631" spans="3:3">
      <c r="C631" s="20"/>
    </row>
    <row r="632" spans="3:3">
      <c r="C632" s="20"/>
    </row>
    <row r="633" spans="3:3">
      <c r="C633" s="20"/>
    </row>
    <row r="634" spans="3:3">
      <c r="C634" s="20"/>
    </row>
    <row r="635" spans="3:3">
      <c r="C635" s="20"/>
    </row>
    <row r="636" spans="3:3">
      <c r="C636" s="20"/>
    </row>
    <row r="637" spans="3:3">
      <c r="C637" s="20"/>
    </row>
    <row r="638" spans="3:3">
      <c r="C638" s="20"/>
    </row>
    <row r="639" spans="3:3">
      <c r="C639" s="20"/>
    </row>
    <row r="640" spans="3:3">
      <c r="C640" s="20"/>
    </row>
    <row r="641" spans="3:3">
      <c r="C641" s="20"/>
    </row>
    <row r="642" spans="3:3">
      <c r="C642" s="20"/>
    </row>
    <row r="643" spans="3:3">
      <c r="C643" s="20"/>
    </row>
    <row r="644" spans="3:3">
      <c r="C644" s="20"/>
    </row>
    <row r="645" spans="3:3">
      <c r="C645" s="20"/>
    </row>
    <row r="646" spans="3:3">
      <c r="C646" s="20"/>
    </row>
    <row r="647" spans="3:3">
      <c r="C647" s="20"/>
    </row>
    <row r="648" spans="3:3">
      <c r="C648" s="20"/>
    </row>
    <row r="649" spans="3:3">
      <c r="C649" s="20"/>
    </row>
    <row r="650" spans="3:3">
      <c r="C650" s="20"/>
    </row>
    <row r="651" spans="3:3">
      <c r="C651" s="20"/>
    </row>
    <row r="652" spans="3:3">
      <c r="C652" s="20"/>
    </row>
    <row r="653" spans="3:3">
      <c r="C653" s="20"/>
    </row>
    <row r="654" spans="3:3">
      <c r="C654" s="20"/>
    </row>
    <row r="655" spans="3:3">
      <c r="C655" s="20"/>
    </row>
    <row r="656" spans="3:3">
      <c r="C656" s="20"/>
    </row>
    <row r="657" spans="3:3">
      <c r="C657" s="20"/>
    </row>
    <row r="658" spans="3:3">
      <c r="C658" s="20"/>
    </row>
    <row r="659" spans="3:3">
      <c r="C659" s="20"/>
    </row>
    <row r="660" spans="3:3">
      <c r="C660" s="20"/>
    </row>
    <row r="661" spans="3:3">
      <c r="C661" s="20"/>
    </row>
    <row r="662" spans="3:3">
      <c r="C662" s="20"/>
    </row>
    <row r="663" spans="3:3">
      <c r="C663" s="20"/>
    </row>
    <row r="664" spans="3:3">
      <c r="C664" s="20"/>
    </row>
    <row r="665" spans="3:3">
      <c r="C665" s="20"/>
    </row>
    <row r="666" spans="3:3">
      <c r="C666" s="20"/>
    </row>
    <row r="667" spans="3:3">
      <c r="C667" s="20"/>
    </row>
    <row r="668" spans="3:3">
      <c r="C668" s="20"/>
    </row>
    <row r="669" spans="3:3">
      <c r="C669" s="20"/>
    </row>
    <row r="670" spans="3:3">
      <c r="C670" s="20"/>
    </row>
    <row r="671" spans="3:3">
      <c r="C671" s="20"/>
    </row>
    <row r="672" spans="3:3">
      <c r="C672" s="20"/>
    </row>
    <row r="673" spans="3:3">
      <c r="C673" s="20"/>
    </row>
    <row r="674" spans="3:3">
      <c r="C674" s="20"/>
    </row>
    <row r="675" spans="3:3">
      <c r="C675" s="20"/>
    </row>
    <row r="676" spans="3:3">
      <c r="C676" s="20"/>
    </row>
    <row r="677" spans="3:3">
      <c r="C677" s="20"/>
    </row>
    <row r="678" spans="3:3">
      <c r="C678" s="20"/>
    </row>
    <row r="679" spans="3:3">
      <c r="C679" s="20"/>
    </row>
    <row r="680" spans="3:3">
      <c r="C680" s="20"/>
    </row>
    <row r="681" spans="3:3">
      <c r="C681" s="20"/>
    </row>
    <row r="682" spans="3:3">
      <c r="C682" s="20"/>
    </row>
    <row r="683" spans="3:3">
      <c r="C683" s="20"/>
    </row>
    <row r="684" spans="3:3">
      <c r="C684" s="20"/>
    </row>
    <row r="685" spans="3:3">
      <c r="C685" s="20"/>
    </row>
    <row r="686" spans="3:3">
      <c r="C686" s="20"/>
    </row>
    <row r="687" spans="3:3">
      <c r="C687" s="20"/>
    </row>
    <row r="688" spans="3:3">
      <c r="C688" s="20"/>
    </row>
    <row r="689" spans="3:3">
      <c r="C689" s="20"/>
    </row>
    <row r="690" spans="3:3">
      <c r="C690" s="20"/>
    </row>
    <row r="691" spans="3:3">
      <c r="C691" s="20"/>
    </row>
    <row r="692" spans="3:3">
      <c r="C692" s="20"/>
    </row>
    <row r="693" spans="3:3">
      <c r="C693" s="20"/>
    </row>
    <row r="694" spans="3:3">
      <c r="C694" s="20"/>
    </row>
    <row r="695" spans="3:3">
      <c r="C695" s="20"/>
    </row>
    <row r="696" spans="3:3">
      <c r="C696" s="20"/>
    </row>
    <row r="697" spans="3:3">
      <c r="C697" s="20"/>
    </row>
    <row r="698" spans="3:3">
      <c r="C698" s="20"/>
    </row>
    <row r="699" spans="3:3">
      <c r="C699" s="20"/>
    </row>
    <row r="700" spans="3:3">
      <c r="C700" s="20"/>
    </row>
    <row r="701" spans="3:3">
      <c r="C701" s="20"/>
    </row>
    <row r="702" spans="3:3">
      <c r="C702" s="20"/>
    </row>
    <row r="703" spans="3:3">
      <c r="C703" s="20"/>
    </row>
    <row r="704" spans="3:3">
      <c r="C704" s="20"/>
    </row>
    <row r="705" spans="3:3">
      <c r="C705" s="20"/>
    </row>
    <row r="706" spans="3:3">
      <c r="C706" s="20"/>
    </row>
    <row r="707" spans="3:3">
      <c r="C707" s="20"/>
    </row>
    <row r="708" spans="3:3">
      <c r="C708" s="20"/>
    </row>
    <row r="709" spans="3:3">
      <c r="C709" s="20"/>
    </row>
    <row r="710" spans="3:3">
      <c r="C710" s="20"/>
    </row>
    <row r="711" spans="3:3">
      <c r="C711" s="20"/>
    </row>
    <row r="712" spans="3:3">
      <c r="C712" s="20"/>
    </row>
    <row r="713" spans="3:3">
      <c r="C713" s="20"/>
    </row>
    <row r="714" spans="3:3">
      <c r="C714" s="20"/>
    </row>
    <row r="715" spans="3:3">
      <c r="C715" s="20"/>
    </row>
    <row r="716" spans="3:3">
      <c r="C716" s="20"/>
    </row>
    <row r="717" spans="3:3">
      <c r="C717" s="20"/>
    </row>
    <row r="718" spans="3:3">
      <c r="C718" s="20"/>
    </row>
    <row r="719" spans="3:3">
      <c r="C719" s="20"/>
    </row>
    <row r="720" spans="3:3">
      <c r="C720" s="20"/>
    </row>
    <row r="721" spans="3:3">
      <c r="C721" s="20"/>
    </row>
    <row r="722" spans="3:3">
      <c r="C722" s="20"/>
    </row>
    <row r="723" spans="3:3">
      <c r="C723" s="20"/>
    </row>
    <row r="724" spans="3:3">
      <c r="C724" s="20"/>
    </row>
    <row r="725" spans="3:3">
      <c r="C725" s="20"/>
    </row>
    <row r="726" spans="3:3">
      <c r="C726" s="20"/>
    </row>
    <row r="727" spans="3:3">
      <c r="C727" s="20"/>
    </row>
    <row r="728" spans="3:3">
      <c r="C728" s="20"/>
    </row>
    <row r="729" spans="3:3">
      <c r="C729" s="20"/>
    </row>
    <row r="730" spans="3:3">
      <c r="C730" s="20"/>
    </row>
    <row r="731" spans="3:3">
      <c r="C731" s="20"/>
    </row>
    <row r="732" spans="3:3">
      <c r="C732" s="20"/>
    </row>
    <row r="733" spans="3:3">
      <c r="C733" s="20"/>
    </row>
    <row r="734" spans="3:3">
      <c r="C734" s="20"/>
    </row>
    <row r="735" spans="3:3">
      <c r="C735" s="20"/>
    </row>
    <row r="736" spans="3:3">
      <c r="C736" s="20"/>
    </row>
    <row r="737" spans="3:3">
      <c r="C737" s="20"/>
    </row>
    <row r="738" spans="3:3">
      <c r="C738" s="20"/>
    </row>
    <row r="739" spans="3:3">
      <c r="C739" s="20"/>
    </row>
    <row r="740" spans="3:3">
      <c r="C740" s="20"/>
    </row>
    <row r="741" spans="3:3">
      <c r="C741" s="20"/>
    </row>
    <row r="742" spans="3:3">
      <c r="C742" s="20"/>
    </row>
    <row r="743" spans="3:3">
      <c r="C743" s="20"/>
    </row>
    <row r="744" spans="3:3">
      <c r="C744" s="20"/>
    </row>
    <row r="745" spans="3:3">
      <c r="C745" s="20"/>
    </row>
    <row r="746" spans="3:3">
      <c r="C746" s="20"/>
    </row>
    <row r="747" spans="3:3">
      <c r="C747" s="20"/>
    </row>
    <row r="748" spans="3:3">
      <c r="C748" s="20"/>
    </row>
    <row r="749" spans="3:3">
      <c r="C749" s="20"/>
    </row>
    <row r="750" spans="3:3">
      <c r="C750" s="20"/>
    </row>
    <row r="751" spans="3:3">
      <c r="C751" s="20"/>
    </row>
    <row r="752" spans="3:3">
      <c r="C752" s="20"/>
    </row>
    <row r="753" spans="3:3">
      <c r="C753" s="20"/>
    </row>
    <row r="754" spans="3:3">
      <c r="C754" s="20"/>
    </row>
    <row r="755" spans="3:3">
      <c r="C755" s="20"/>
    </row>
    <row r="756" spans="3:3">
      <c r="C756" s="20"/>
    </row>
    <row r="757" spans="3:3">
      <c r="C757" s="20"/>
    </row>
    <row r="758" spans="3:3">
      <c r="C758" s="20"/>
    </row>
    <row r="759" spans="3:3">
      <c r="C759" s="20"/>
    </row>
    <row r="760" spans="3:3">
      <c r="C760" s="20"/>
    </row>
    <row r="761" spans="3:3">
      <c r="C761" s="20"/>
    </row>
    <row r="762" spans="3:3">
      <c r="C762" s="20"/>
    </row>
    <row r="763" spans="3:3">
      <c r="C763" s="20"/>
    </row>
    <row r="764" spans="3:3">
      <c r="C764" s="20"/>
    </row>
    <row r="765" spans="3:3">
      <c r="C765" s="20"/>
    </row>
    <row r="766" spans="3:3">
      <c r="C766" s="20"/>
    </row>
    <row r="767" spans="3:3">
      <c r="C767" s="20"/>
    </row>
    <row r="768" spans="3:3">
      <c r="C768" s="20"/>
    </row>
    <row r="769" spans="3:3">
      <c r="C769" s="20"/>
    </row>
    <row r="770" spans="3:3">
      <c r="C770" s="20"/>
    </row>
    <row r="771" spans="3:3">
      <c r="C771" s="20"/>
    </row>
    <row r="772" spans="3:3">
      <c r="C772" s="20"/>
    </row>
    <row r="773" spans="3:3">
      <c r="C773" s="20"/>
    </row>
    <row r="774" spans="3:3">
      <c r="C774" s="20"/>
    </row>
    <row r="775" spans="3:3">
      <c r="C775" s="20"/>
    </row>
    <row r="776" spans="3:3">
      <c r="C776" s="20"/>
    </row>
    <row r="777" spans="3:3">
      <c r="C777" s="20"/>
    </row>
    <row r="778" spans="3:3">
      <c r="C778" s="20"/>
    </row>
    <row r="779" spans="3:3">
      <c r="C779" s="20"/>
    </row>
    <row r="780" spans="3:3">
      <c r="C780" s="20"/>
    </row>
    <row r="781" spans="3:3">
      <c r="C781" s="20"/>
    </row>
    <row r="782" spans="3:3">
      <c r="C782" s="20"/>
    </row>
    <row r="783" spans="3:3">
      <c r="C783" s="20"/>
    </row>
    <row r="784" spans="3:3">
      <c r="C784" s="20"/>
    </row>
    <row r="785" spans="3:3">
      <c r="C785" s="20"/>
    </row>
    <row r="786" spans="3:3">
      <c r="C786" s="20"/>
    </row>
    <row r="787" spans="3:3">
      <c r="C787" s="20"/>
    </row>
    <row r="788" spans="3:3">
      <c r="C788" s="20"/>
    </row>
    <row r="789" spans="3:3">
      <c r="C789" s="20"/>
    </row>
    <row r="790" spans="3:3">
      <c r="C790" s="20"/>
    </row>
    <row r="791" spans="3:3">
      <c r="C791" s="20"/>
    </row>
    <row r="792" spans="3:3">
      <c r="C792" s="20"/>
    </row>
    <row r="793" spans="3:3">
      <c r="C793" s="20"/>
    </row>
    <row r="794" spans="3:3">
      <c r="C794" s="20"/>
    </row>
    <row r="795" spans="3:3">
      <c r="C795" s="20"/>
    </row>
    <row r="796" spans="3:3">
      <c r="C796" s="20"/>
    </row>
    <row r="797" spans="3:3">
      <c r="C797" s="20"/>
    </row>
    <row r="798" spans="3:3">
      <c r="C798" s="20"/>
    </row>
    <row r="799" spans="3:3">
      <c r="C799" s="20"/>
    </row>
    <row r="800" spans="3:3">
      <c r="C800" s="20"/>
    </row>
    <row r="801" spans="3:3">
      <c r="C801" s="20"/>
    </row>
    <row r="802" spans="3:3">
      <c r="C802" s="20"/>
    </row>
    <row r="803" spans="3:3">
      <c r="C803" s="20"/>
    </row>
    <row r="804" spans="3:3">
      <c r="C804" s="20"/>
    </row>
    <row r="805" spans="3:3">
      <c r="C805" s="20"/>
    </row>
    <row r="806" spans="3:3">
      <c r="C806" s="20"/>
    </row>
    <row r="807" spans="3:3">
      <c r="C807" s="20"/>
    </row>
    <row r="808" spans="3:3">
      <c r="C808" s="20"/>
    </row>
    <row r="809" spans="3:3">
      <c r="C809" s="20"/>
    </row>
    <row r="810" spans="3:3">
      <c r="C810" s="20"/>
    </row>
    <row r="811" spans="3:3">
      <c r="C811" s="20"/>
    </row>
    <row r="812" spans="3:3">
      <c r="C812" s="20"/>
    </row>
    <row r="813" spans="3:3">
      <c r="C813" s="20"/>
    </row>
    <row r="814" spans="3:3">
      <c r="C814" s="20"/>
    </row>
    <row r="815" spans="3:3">
      <c r="C815" s="20"/>
    </row>
    <row r="816" spans="3:3">
      <c r="C816" s="20"/>
    </row>
    <row r="817" spans="3:3">
      <c r="C817" s="20"/>
    </row>
    <row r="818" spans="3:3">
      <c r="C818" s="20"/>
    </row>
    <row r="819" spans="3:3">
      <c r="C819" s="20"/>
    </row>
    <row r="820" spans="3:3">
      <c r="C820" s="20"/>
    </row>
    <row r="821" spans="3:3">
      <c r="C821" s="20"/>
    </row>
    <row r="822" spans="3:3">
      <c r="C822" s="20"/>
    </row>
    <row r="823" spans="3:3">
      <c r="C823" s="20"/>
    </row>
    <row r="824" spans="3:3">
      <c r="C824" s="20"/>
    </row>
    <row r="825" spans="3:3">
      <c r="C825" s="20"/>
    </row>
    <row r="826" spans="3:3">
      <c r="C826" s="20"/>
    </row>
    <row r="827" spans="3:3">
      <c r="C827" s="20"/>
    </row>
    <row r="828" spans="3:3">
      <c r="C828" s="20"/>
    </row>
    <row r="829" spans="3:3">
      <c r="C829" s="20"/>
    </row>
    <row r="830" spans="3:3">
      <c r="C830" s="20"/>
    </row>
    <row r="831" spans="3:3">
      <c r="C831" s="20"/>
    </row>
    <row r="832" spans="3:3">
      <c r="C832" s="20"/>
    </row>
    <row r="833" spans="3:3">
      <c r="C833" s="20"/>
    </row>
    <row r="834" spans="3:3">
      <c r="C834" s="20"/>
    </row>
    <row r="835" spans="3:3">
      <c r="C835" s="20"/>
    </row>
    <row r="836" spans="3:3">
      <c r="C836" s="20"/>
    </row>
    <row r="837" spans="3:3">
      <c r="C837" s="20"/>
    </row>
    <row r="838" spans="3:3">
      <c r="C838" s="20"/>
    </row>
    <row r="839" spans="3:3">
      <c r="C839" s="20"/>
    </row>
    <row r="840" spans="3:3">
      <c r="C840" s="20"/>
    </row>
    <row r="841" spans="3:3">
      <c r="C841" s="20"/>
    </row>
    <row r="842" spans="3:3">
      <c r="C842" s="20"/>
    </row>
    <row r="843" spans="3:3">
      <c r="C843" s="20"/>
    </row>
    <row r="844" spans="3:3">
      <c r="C844" s="20"/>
    </row>
    <row r="845" spans="3:3">
      <c r="C845" s="20"/>
    </row>
    <row r="846" spans="3:3">
      <c r="C846" s="20"/>
    </row>
    <row r="847" spans="3:3">
      <c r="C847" s="20"/>
    </row>
    <row r="848" spans="3:3">
      <c r="C848" s="20"/>
    </row>
    <row r="849" spans="3:3">
      <c r="C849" s="20"/>
    </row>
    <row r="850" spans="3:3">
      <c r="C850" s="20"/>
    </row>
    <row r="851" spans="3:3">
      <c r="C851" s="20"/>
    </row>
    <row r="852" spans="3:3">
      <c r="C852" s="20"/>
    </row>
    <row r="853" spans="3:3">
      <c r="C853" s="20"/>
    </row>
    <row r="854" spans="3:3">
      <c r="C854" s="20"/>
    </row>
    <row r="855" spans="3:3">
      <c r="C855" s="20"/>
    </row>
    <row r="856" spans="3:3">
      <c r="C856" s="20"/>
    </row>
    <row r="857" spans="3:3">
      <c r="C857" s="20"/>
    </row>
    <row r="858" spans="3:3">
      <c r="C858" s="20"/>
    </row>
    <row r="859" spans="3:3">
      <c r="C859" s="20"/>
    </row>
    <row r="860" spans="3:3">
      <c r="C860" s="20"/>
    </row>
    <row r="861" spans="3:3">
      <c r="C861" s="20"/>
    </row>
    <row r="862" spans="3:3">
      <c r="C862" s="20"/>
    </row>
    <row r="863" spans="3:3">
      <c r="C863" s="20"/>
    </row>
    <row r="864" spans="3:3">
      <c r="C864" s="20"/>
    </row>
    <row r="865" spans="3:3">
      <c r="C865" s="20"/>
    </row>
    <row r="866" spans="3:3">
      <c r="C866" s="20"/>
    </row>
    <row r="867" spans="3:3">
      <c r="C867" s="20"/>
    </row>
    <row r="868" spans="3:3">
      <c r="C868" s="20"/>
    </row>
    <row r="869" spans="3:3">
      <c r="C869" s="20"/>
    </row>
    <row r="870" spans="3:3">
      <c r="C870" s="20"/>
    </row>
    <row r="871" spans="3:3">
      <c r="C871" s="20"/>
    </row>
    <row r="872" spans="3:3">
      <c r="C872" s="20"/>
    </row>
    <row r="873" spans="3:3">
      <c r="C873" s="20"/>
    </row>
    <row r="874" spans="3:3">
      <c r="C874" s="20"/>
    </row>
    <row r="875" spans="3:3">
      <c r="C875" s="20"/>
    </row>
    <row r="876" spans="3:3">
      <c r="C876" s="20"/>
    </row>
    <row r="877" spans="3:3">
      <c r="C877" s="20"/>
    </row>
    <row r="878" spans="3:3">
      <c r="C878" s="20"/>
    </row>
    <row r="879" spans="3:3">
      <c r="C879" s="20"/>
    </row>
    <row r="880" spans="3:3">
      <c r="C880" s="20"/>
    </row>
    <row r="881" spans="3:3">
      <c r="C881" s="20"/>
    </row>
    <row r="882" spans="3:3">
      <c r="C882" s="20"/>
    </row>
    <row r="883" spans="3:3">
      <c r="C883" s="20"/>
    </row>
    <row r="884" spans="3:3">
      <c r="C884" s="20"/>
    </row>
    <row r="885" spans="3:3">
      <c r="C885" s="20"/>
    </row>
    <row r="886" spans="3:3">
      <c r="C886" s="20"/>
    </row>
    <row r="887" spans="3:3">
      <c r="C887" s="20"/>
    </row>
    <row r="888" spans="3:3">
      <c r="C888" s="20"/>
    </row>
    <row r="889" spans="3:3">
      <c r="C889" s="20"/>
    </row>
    <row r="890" spans="3:3">
      <c r="C890" s="20"/>
    </row>
    <row r="891" spans="3:3">
      <c r="C891" s="20"/>
    </row>
    <row r="892" spans="3:3">
      <c r="C892" s="20"/>
    </row>
    <row r="893" spans="3:3">
      <c r="C893" s="20"/>
    </row>
    <row r="894" spans="3:3">
      <c r="C894" s="20"/>
    </row>
    <row r="895" spans="3:3">
      <c r="C895" s="20"/>
    </row>
    <row r="896" spans="3:3">
      <c r="C896" s="20"/>
    </row>
    <row r="897" spans="3:3">
      <c r="C897" s="20"/>
    </row>
    <row r="898" spans="3:3">
      <c r="C898" s="20"/>
    </row>
    <row r="899" spans="3:3">
      <c r="C899" s="20"/>
    </row>
    <row r="900" spans="3:3">
      <c r="C900" s="20"/>
    </row>
    <row r="901" spans="3:3">
      <c r="C901" s="20"/>
    </row>
    <row r="902" spans="3:3">
      <c r="C902" s="20"/>
    </row>
    <row r="903" spans="3:3">
      <c r="C903" s="20"/>
    </row>
    <row r="904" spans="3:3">
      <c r="C904" s="20"/>
    </row>
    <row r="905" spans="3:3">
      <c r="C905" s="20"/>
    </row>
    <row r="906" spans="3:3">
      <c r="C906" s="20"/>
    </row>
    <row r="907" spans="3:3">
      <c r="C907" s="20"/>
    </row>
    <row r="908" spans="3:3">
      <c r="C908" s="20"/>
    </row>
    <row r="909" spans="3:3">
      <c r="C909" s="20"/>
    </row>
    <row r="910" spans="3:3">
      <c r="C910" s="20"/>
    </row>
    <row r="911" spans="3:3">
      <c r="C911" s="20"/>
    </row>
    <row r="912" spans="3:3">
      <c r="C912" s="20"/>
    </row>
    <row r="913" spans="3:3">
      <c r="C913" s="20"/>
    </row>
    <row r="914" spans="3:3">
      <c r="C914" s="20"/>
    </row>
    <row r="915" spans="3:3">
      <c r="C915" s="20"/>
    </row>
    <row r="916" spans="3:3">
      <c r="C916" s="20"/>
    </row>
    <row r="917" spans="3:3">
      <c r="C917" s="20"/>
    </row>
    <row r="918" spans="3:3">
      <c r="C918" s="20"/>
    </row>
    <row r="919" spans="3:3">
      <c r="C919" s="20"/>
    </row>
    <row r="920" spans="3:3">
      <c r="C920" s="20"/>
    </row>
    <row r="921" spans="3:3">
      <c r="C921" s="20"/>
    </row>
    <row r="922" spans="3:3">
      <c r="C922" s="20"/>
    </row>
    <row r="923" spans="3:3">
      <c r="C923" s="20"/>
    </row>
    <row r="924" spans="3:3">
      <c r="C924" s="20"/>
    </row>
    <row r="925" spans="3:3">
      <c r="C925" s="20"/>
    </row>
    <row r="926" spans="3:3">
      <c r="C926" s="20"/>
    </row>
    <row r="927" spans="3:3">
      <c r="C927" s="20"/>
    </row>
    <row r="928" spans="3:3">
      <c r="C928" s="20"/>
    </row>
    <row r="929" spans="3:3">
      <c r="C929" s="20"/>
    </row>
    <row r="930" spans="3:3">
      <c r="C930" s="20"/>
    </row>
    <row r="931" spans="3:3">
      <c r="C931" s="20"/>
    </row>
    <row r="932" spans="3:3">
      <c r="C932" s="20"/>
    </row>
    <row r="933" spans="3:3">
      <c r="C933" s="20"/>
    </row>
    <row r="934" spans="3:3">
      <c r="C934" s="20"/>
    </row>
    <row r="935" spans="3:3">
      <c r="C935" s="20"/>
    </row>
    <row r="936" spans="3:3">
      <c r="C936" s="20"/>
    </row>
    <row r="937" spans="3:3">
      <c r="C937" s="20"/>
    </row>
    <row r="938" spans="3:3">
      <c r="C938" s="20"/>
    </row>
    <row r="939" spans="3:3">
      <c r="C939" s="20"/>
    </row>
    <row r="940" spans="3:3">
      <c r="C940" s="20"/>
    </row>
    <row r="941" spans="3:3">
      <c r="C941" s="20"/>
    </row>
    <row r="942" spans="3:3">
      <c r="C942" s="20"/>
    </row>
    <row r="943" spans="3:3">
      <c r="C943" s="20"/>
    </row>
    <row r="944" spans="3:3">
      <c r="C944" s="20"/>
    </row>
    <row r="945" spans="3:3">
      <c r="C945" s="20"/>
    </row>
    <row r="946" spans="3:3">
      <c r="C946" s="20"/>
    </row>
    <row r="947" spans="3:3">
      <c r="C947" s="20"/>
    </row>
    <row r="948" spans="3:3">
      <c r="C948" s="20"/>
    </row>
    <row r="949" spans="3:3">
      <c r="C949" s="20"/>
    </row>
    <row r="950" spans="3:3">
      <c r="C950" s="20"/>
    </row>
    <row r="951" spans="3:3">
      <c r="C951" s="20"/>
    </row>
    <row r="952" spans="3:3">
      <c r="C952" s="20"/>
    </row>
    <row r="953" spans="3:3">
      <c r="C953" s="20"/>
    </row>
    <row r="954" spans="3:3">
      <c r="C954" s="20"/>
    </row>
    <row r="955" spans="3:3">
      <c r="C955" s="20"/>
    </row>
    <row r="956" spans="3:3">
      <c r="C956" s="20"/>
    </row>
    <row r="957" spans="3:3">
      <c r="C957" s="20"/>
    </row>
    <row r="958" spans="3:3">
      <c r="C958" s="20"/>
    </row>
    <row r="959" spans="3:3">
      <c r="C959" s="20"/>
    </row>
    <row r="960" spans="3:3">
      <c r="C960" s="20"/>
    </row>
    <row r="961" spans="3:3">
      <c r="C961" s="20"/>
    </row>
    <row r="962" spans="3:3">
      <c r="C962" s="20"/>
    </row>
    <row r="963" spans="3:3">
      <c r="C963" s="20"/>
    </row>
    <row r="964" spans="3:3">
      <c r="C964" s="20"/>
    </row>
    <row r="965" spans="3:3">
      <c r="C965" s="20"/>
    </row>
    <row r="966" spans="3:3">
      <c r="C966" s="20"/>
    </row>
    <row r="967" spans="3:3">
      <c r="C967" s="20"/>
    </row>
    <row r="968" spans="3:3">
      <c r="C968" s="20"/>
    </row>
    <row r="969" spans="3:3">
      <c r="C969" s="20"/>
    </row>
    <row r="970" spans="3:3">
      <c r="C970" s="20"/>
    </row>
    <row r="971" spans="3:3">
      <c r="C971" s="20"/>
    </row>
    <row r="972" spans="3:3">
      <c r="C972" s="20"/>
    </row>
    <row r="973" spans="3:3">
      <c r="C973" s="20"/>
    </row>
    <row r="974" spans="3:3">
      <c r="C974" s="20"/>
    </row>
    <row r="975" spans="3:3">
      <c r="C975" s="20"/>
    </row>
    <row r="976" spans="3:3">
      <c r="C976" s="20"/>
    </row>
    <row r="977" spans="3:3">
      <c r="C977" s="20"/>
    </row>
    <row r="978" spans="3:3">
      <c r="C978" s="20"/>
    </row>
    <row r="979" spans="3:3">
      <c r="C979" s="20"/>
    </row>
    <row r="980" spans="3:3">
      <c r="C980" s="20"/>
    </row>
    <row r="981" spans="3:3">
      <c r="C981" s="20"/>
    </row>
    <row r="982" spans="3:3">
      <c r="C982" s="20"/>
    </row>
    <row r="983" spans="3:3">
      <c r="C983" s="20"/>
    </row>
    <row r="984" spans="3:3">
      <c r="C984" s="20"/>
    </row>
    <row r="985" spans="3:3">
      <c r="C985" s="20"/>
    </row>
    <row r="986" spans="3:3">
      <c r="C986" s="20"/>
    </row>
    <row r="987" spans="3:3">
      <c r="C987" s="20"/>
    </row>
    <row r="988" spans="3:3">
      <c r="C988" s="20"/>
    </row>
    <row r="989" spans="3:3">
      <c r="C989" s="20"/>
    </row>
    <row r="990" spans="3:3">
      <c r="C990" s="20"/>
    </row>
    <row r="991" spans="3:3">
      <c r="C991" s="20"/>
    </row>
    <row r="992" spans="3:3">
      <c r="C992" s="20"/>
    </row>
    <row r="993" spans="3:3">
      <c r="C993" s="20"/>
    </row>
    <row r="994" spans="3:3">
      <c r="C994" s="20"/>
    </row>
    <row r="995" spans="3:3">
      <c r="C995" s="20"/>
    </row>
    <row r="996" spans="3:3">
      <c r="C996" s="20"/>
    </row>
    <row r="997" spans="3:3">
      <c r="C997" s="20"/>
    </row>
    <row r="998" spans="3:3">
      <c r="C998" s="20"/>
    </row>
    <row r="999" spans="3:3">
      <c r="C999" s="20"/>
    </row>
    <row r="1000" spans="3:3">
      <c r="C1000" s="20"/>
    </row>
    <row r="1001" spans="3:3">
      <c r="C1001" s="20"/>
    </row>
    <row r="1002" spans="3:3">
      <c r="C1002" s="20"/>
    </row>
    <row r="1003" spans="3:3">
      <c r="C1003" s="20"/>
    </row>
    <row r="1004" spans="3:3">
      <c r="C1004" s="20"/>
    </row>
    <row r="1005" spans="3:3">
      <c r="C1005" s="20"/>
    </row>
    <row r="1006" spans="3:3">
      <c r="C1006" s="20"/>
    </row>
    <row r="1007" spans="3:3">
      <c r="C1007" s="20"/>
    </row>
    <row r="1008" spans="3:3">
      <c r="C1008" s="20"/>
    </row>
    <row r="1009" spans="3:3">
      <c r="C1009" s="20"/>
    </row>
    <row r="1010" spans="3:3">
      <c r="C1010" s="20"/>
    </row>
    <row r="1011" spans="3:3">
      <c r="C1011" s="20"/>
    </row>
    <row r="1012" spans="3:3">
      <c r="C1012" s="20"/>
    </row>
    <row r="1013" spans="3:3">
      <c r="C1013" s="20"/>
    </row>
    <row r="1014" spans="3:3">
      <c r="C1014" s="20"/>
    </row>
    <row r="1015" spans="3:3">
      <c r="C1015" s="20"/>
    </row>
    <row r="1016" spans="3:3">
      <c r="C1016" s="20"/>
    </row>
    <row r="1017" spans="3:3">
      <c r="C1017" s="20"/>
    </row>
    <row r="1018" spans="3:3">
      <c r="C1018" s="20"/>
    </row>
    <row r="1019" spans="3:3">
      <c r="C1019" s="20"/>
    </row>
    <row r="1020" spans="3:3">
      <c r="C1020" s="20"/>
    </row>
    <row r="1021" spans="3:3">
      <c r="C1021" s="20"/>
    </row>
    <row r="1022" spans="3:3">
      <c r="C1022" s="20"/>
    </row>
    <row r="1023" spans="3:3">
      <c r="C1023" s="20"/>
    </row>
    <row r="1024" spans="3:3">
      <c r="C1024" s="20"/>
    </row>
    <row r="1025" spans="3:3">
      <c r="C1025" s="20"/>
    </row>
    <row r="1026" spans="3:3">
      <c r="C1026" s="20"/>
    </row>
    <row r="1027" spans="3:3">
      <c r="C1027" s="20"/>
    </row>
    <row r="1028" spans="3:3">
      <c r="C1028" s="20"/>
    </row>
    <row r="1029" spans="3:3">
      <c r="C1029" s="20"/>
    </row>
    <row r="1030" spans="3:3">
      <c r="C1030" s="20"/>
    </row>
    <row r="1031" spans="3:3">
      <c r="C1031" s="20"/>
    </row>
    <row r="1032" spans="3:3">
      <c r="C1032" s="20"/>
    </row>
    <row r="1033" spans="3:3">
      <c r="C1033" s="20"/>
    </row>
    <row r="1034" spans="3:3">
      <c r="C1034" s="20"/>
    </row>
    <row r="1035" spans="3:3">
      <c r="C1035" s="20"/>
    </row>
    <row r="1036" spans="3:3">
      <c r="C1036" s="20"/>
    </row>
    <row r="1037" spans="3:3">
      <c r="C1037" s="20"/>
    </row>
    <row r="1038" spans="3:3">
      <c r="C1038" s="20"/>
    </row>
    <row r="1039" spans="3:3">
      <c r="C1039" s="20"/>
    </row>
    <row r="1040" spans="3:3">
      <c r="C1040" s="20"/>
    </row>
    <row r="1041" spans="3:3">
      <c r="C1041" s="20"/>
    </row>
    <row r="1042" spans="3:3">
      <c r="C1042" s="20"/>
    </row>
    <row r="1043" spans="3:3">
      <c r="C1043" s="20"/>
    </row>
    <row r="1044" spans="3:3">
      <c r="C1044" s="20"/>
    </row>
    <row r="1045" spans="3:3">
      <c r="C1045" s="20"/>
    </row>
    <row r="1046" spans="3:3">
      <c r="C1046" s="20"/>
    </row>
    <row r="1047" spans="3:3">
      <c r="C1047" s="20"/>
    </row>
    <row r="1048" spans="3:3">
      <c r="C1048" s="20"/>
    </row>
    <row r="1049" spans="3:3">
      <c r="C1049" s="20"/>
    </row>
    <row r="1050" spans="3:3">
      <c r="C1050" s="20"/>
    </row>
    <row r="1051" spans="3:3">
      <c r="C1051" s="20"/>
    </row>
    <row r="1052" spans="3:3">
      <c r="C1052" s="20"/>
    </row>
    <row r="1053" spans="3:3">
      <c r="C1053" s="20"/>
    </row>
    <row r="1054" spans="3:3">
      <c r="C1054" s="20"/>
    </row>
    <row r="1055" spans="3:3">
      <c r="C1055" s="20"/>
    </row>
    <row r="1056" spans="3:3">
      <c r="C1056" s="20"/>
    </row>
    <row r="1057" spans="3:3">
      <c r="C1057" s="20"/>
    </row>
    <row r="1058" spans="3:3">
      <c r="C1058" s="20"/>
    </row>
    <row r="1059" spans="3:3">
      <c r="C1059" s="20"/>
    </row>
    <row r="1060" spans="3:3">
      <c r="C1060" s="20"/>
    </row>
    <row r="1061" spans="3:3">
      <c r="C1061" s="20"/>
    </row>
    <row r="1062" spans="3:3">
      <c r="C1062" s="20"/>
    </row>
    <row r="1063" spans="3:3">
      <c r="C1063" s="20"/>
    </row>
    <row r="1064" spans="3:3">
      <c r="C1064" s="20"/>
    </row>
    <row r="1065" spans="3:3">
      <c r="C1065" s="20"/>
    </row>
    <row r="1066" spans="3:3">
      <c r="C1066" s="20"/>
    </row>
    <row r="1067" spans="3:3">
      <c r="C1067" s="20"/>
    </row>
    <row r="1068" spans="3:3">
      <c r="C1068" s="20"/>
    </row>
    <row r="1069" spans="3:3">
      <c r="C1069" s="20"/>
    </row>
    <row r="1070" spans="3:3">
      <c r="C1070" s="20"/>
    </row>
    <row r="1071" spans="3:3">
      <c r="C1071" s="20"/>
    </row>
    <row r="1072" spans="3:3">
      <c r="C1072" s="20"/>
    </row>
    <row r="1073" spans="3:3">
      <c r="C1073" s="20"/>
    </row>
    <row r="1074" spans="3:3">
      <c r="C1074" s="20"/>
    </row>
    <row r="1075" spans="3:3">
      <c r="C1075" s="20"/>
    </row>
    <row r="1076" spans="3:3">
      <c r="C1076" s="20"/>
    </row>
    <row r="1077" spans="3:3">
      <c r="C1077" s="20"/>
    </row>
    <row r="1078" spans="3:3">
      <c r="C1078" s="20"/>
    </row>
    <row r="1079" spans="3:3">
      <c r="C1079" s="20"/>
    </row>
    <row r="1080" spans="3:3">
      <c r="C1080" s="20"/>
    </row>
    <row r="1081" spans="3:3">
      <c r="C1081" s="20"/>
    </row>
    <row r="1082" spans="3:3">
      <c r="C1082" s="20"/>
    </row>
    <row r="1083" spans="3:3">
      <c r="C1083" s="20"/>
    </row>
    <row r="1084" spans="3:3">
      <c r="C1084" s="20"/>
    </row>
    <row r="1085" spans="3:3">
      <c r="C1085" s="20"/>
    </row>
    <row r="1086" spans="3:3">
      <c r="C1086" s="20"/>
    </row>
    <row r="1087" spans="3:3">
      <c r="C1087" s="20"/>
    </row>
    <row r="1088" spans="3:3">
      <c r="C1088" s="20"/>
    </row>
    <row r="1089" spans="3:3">
      <c r="C1089" s="20"/>
    </row>
    <row r="1090" spans="3:3">
      <c r="C1090" s="20"/>
    </row>
    <row r="1091" spans="3:3">
      <c r="C1091" s="20"/>
    </row>
    <row r="1092" spans="3:3">
      <c r="C1092" s="20"/>
    </row>
    <row r="1093" spans="3:3">
      <c r="C1093" s="20"/>
    </row>
    <row r="1094" spans="3:3">
      <c r="C1094" s="20"/>
    </row>
    <row r="1095" spans="3:3">
      <c r="C1095" s="20"/>
    </row>
    <row r="1096" spans="3:3">
      <c r="C1096" s="20"/>
    </row>
    <row r="1097" spans="3:3">
      <c r="C1097" s="20"/>
    </row>
    <row r="1098" spans="3:3">
      <c r="C1098" s="20"/>
    </row>
    <row r="1099" spans="3:3">
      <c r="C1099" s="20"/>
    </row>
    <row r="1100" spans="3:3">
      <c r="C1100" s="20"/>
    </row>
    <row r="1101" spans="3:3">
      <c r="C1101" s="20"/>
    </row>
    <row r="1102" spans="3:3">
      <c r="C1102" s="20"/>
    </row>
    <row r="1103" spans="3:3">
      <c r="C1103" s="20"/>
    </row>
    <row r="1104" spans="3:3">
      <c r="C1104" s="20"/>
    </row>
    <row r="1105" spans="3:3">
      <c r="C1105" s="20"/>
    </row>
    <row r="1106" spans="3:3">
      <c r="C1106" s="20"/>
    </row>
    <row r="1107" spans="3:3">
      <c r="C1107" s="20"/>
    </row>
    <row r="1108" spans="3:3">
      <c r="C1108" s="20"/>
    </row>
    <row r="1109" spans="3:3">
      <c r="C1109" s="20"/>
    </row>
    <row r="1110" spans="3:3">
      <c r="C1110" s="20"/>
    </row>
    <row r="1111" spans="3:3">
      <c r="C1111" s="20"/>
    </row>
    <row r="1112" spans="3:3">
      <c r="C1112" s="20"/>
    </row>
    <row r="1113" spans="3:3">
      <c r="C1113" s="20"/>
    </row>
    <row r="1114" spans="3:3">
      <c r="C1114" s="20"/>
    </row>
    <row r="1115" spans="3:3">
      <c r="C1115" s="20"/>
    </row>
    <row r="1116" spans="3:3">
      <c r="C1116" s="20"/>
    </row>
    <row r="1117" spans="3:3">
      <c r="C1117" s="20"/>
    </row>
    <row r="1118" spans="3:3">
      <c r="C1118" s="20"/>
    </row>
    <row r="1119" spans="3:3">
      <c r="C1119" s="20"/>
    </row>
    <row r="1120" spans="3:3">
      <c r="C1120" s="20"/>
    </row>
    <row r="1121" spans="3:3">
      <c r="C1121" s="20"/>
    </row>
    <row r="1122" spans="3:3">
      <c r="C1122" s="20"/>
    </row>
    <row r="1123" spans="3:3">
      <c r="C1123" s="20"/>
    </row>
    <row r="1124" spans="3:3">
      <c r="C1124" s="20"/>
    </row>
    <row r="1125" spans="3:3">
      <c r="C1125" s="20"/>
    </row>
    <row r="1126" spans="3:3">
      <c r="C1126" s="20"/>
    </row>
    <row r="1127" spans="3:3">
      <c r="C1127" s="20"/>
    </row>
    <row r="1128" spans="3:3">
      <c r="C1128" s="20"/>
    </row>
    <row r="1129" spans="3:3">
      <c r="C1129" s="20"/>
    </row>
    <row r="1130" spans="3:3">
      <c r="C1130" s="20"/>
    </row>
    <row r="1131" spans="3:3">
      <c r="C1131" s="20"/>
    </row>
    <row r="1132" spans="3:3">
      <c r="C1132" s="20"/>
    </row>
    <row r="1133" spans="3:3">
      <c r="C1133" s="20"/>
    </row>
    <row r="1134" spans="3:3">
      <c r="C1134" s="20"/>
    </row>
    <row r="1135" spans="3:3">
      <c r="C1135" s="20"/>
    </row>
    <row r="1136" spans="3:3">
      <c r="C1136" s="20"/>
    </row>
    <row r="1137" spans="3:3">
      <c r="C1137" s="20"/>
    </row>
    <row r="1138" spans="3:3">
      <c r="C1138" s="20"/>
    </row>
    <row r="1139" spans="3:3">
      <c r="C1139" s="20"/>
    </row>
    <row r="1140" spans="3:3">
      <c r="C1140" s="20"/>
    </row>
    <row r="1141" spans="3:3">
      <c r="C1141" s="20"/>
    </row>
    <row r="1142" spans="3:3">
      <c r="C1142" s="20"/>
    </row>
    <row r="1143" spans="3:3">
      <c r="C1143" s="20"/>
    </row>
    <row r="1144" spans="3:3">
      <c r="C1144" s="20"/>
    </row>
    <row r="1145" spans="3:3">
      <c r="C1145" s="20"/>
    </row>
    <row r="1146" spans="3:3">
      <c r="C1146" s="20"/>
    </row>
    <row r="1147" spans="3:3">
      <c r="C1147" s="20"/>
    </row>
    <row r="1148" spans="3:3">
      <c r="C1148" s="20"/>
    </row>
    <row r="1149" spans="3:3">
      <c r="C1149" s="20"/>
    </row>
    <row r="1150" spans="3:3">
      <c r="C1150" s="20"/>
    </row>
    <row r="1151" spans="3:3">
      <c r="C1151" s="20"/>
    </row>
    <row r="1152" spans="3:3">
      <c r="C1152" s="20"/>
    </row>
    <row r="1153" spans="3:3">
      <c r="C1153" s="20"/>
    </row>
    <row r="1154" spans="3:3">
      <c r="C1154" s="20"/>
    </row>
    <row r="1155" spans="3:3">
      <c r="C1155" s="20"/>
    </row>
    <row r="1156" spans="3:3">
      <c r="C1156" s="20"/>
    </row>
    <row r="1157" spans="3:3">
      <c r="C1157" s="20"/>
    </row>
    <row r="1158" spans="3:3">
      <c r="C1158" s="20"/>
    </row>
    <row r="1159" spans="3:3">
      <c r="C1159" s="20"/>
    </row>
    <row r="1160" spans="3:3">
      <c r="C1160" s="20"/>
    </row>
    <row r="1161" spans="3:3">
      <c r="C1161" s="20"/>
    </row>
    <row r="1162" spans="3:3">
      <c r="C1162" s="20"/>
    </row>
    <row r="2143" spans="5:5">
      <c r="E2143" s="116"/>
    </row>
  </sheetData>
  <mergeCells count="208">
    <mergeCell ref="I118:I119"/>
    <mergeCell ref="J118:J119"/>
    <mergeCell ref="K118:K119"/>
    <mergeCell ref="L118:L119"/>
    <mergeCell ref="M118:M119"/>
    <mergeCell ref="N118:N119"/>
    <mergeCell ref="E116:E117"/>
    <mergeCell ref="D116:D117"/>
    <mergeCell ref="C116:C117"/>
    <mergeCell ref="C118:C119"/>
    <mergeCell ref="D118:D119"/>
    <mergeCell ref="E118:E119"/>
    <mergeCell ref="F118:F119"/>
    <mergeCell ref="G118:G119"/>
    <mergeCell ref="H118:H119"/>
    <mergeCell ref="L125:L126"/>
    <mergeCell ref="M125:M126"/>
    <mergeCell ref="N125:N126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N116:N117"/>
    <mergeCell ref="M116:M117"/>
    <mergeCell ref="L116:L117"/>
    <mergeCell ref="K116:K117"/>
    <mergeCell ref="J116:J117"/>
    <mergeCell ref="I116:I117"/>
    <mergeCell ref="H116:H117"/>
    <mergeCell ref="G116:G117"/>
    <mergeCell ref="F116:F117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1:L122"/>
    <mergeCell ref="M121:M122"/>
    <mergeCell ref="N121:N122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IO74:IR74"/>
    <mergeCell ref="IS74:IV74"/>
    <mergeCell ref="A75:B76"/>
    <mergeCell ref="A114:B114"/>
    <mergeCell ref="A125:B125"/>
    <mergeCell ref="HQ74:HT74"/>
    <mergeCell ref="HU74:HX74"/>
    <mergeCell ref="HY74:IB74"/>
    <mergeCell ref="IC74:IF74"/>
    <mergeCell ref="IG74:IJ74"/>
    <mergeCell ref="IK74:IN74"/>
    <mergeCell ref="GS74:GV74"/>
    <mergeCell ref="GW74:GZ74"/>
    <mergeCell ref="HA74:HD74"/>
    <mergeCell ref="HE74:HH74"/>
    <mergeCell ref="HI74:HL74"/>
    <mergeCell ref="HM74:HP74"/>
    <mergeCell ref="FU74:FX74"/>
    <mergeCell ref="FY74:GB74"/>
    <mergeCell ref="GC74:GF74"/>
    <mergeCell ref="GG74:GJ74"/>
    <mergeCell ref="GK74:GN74"/>
    <mergeCell ref="GO74:GR74"/>
    <mergeCell ref="EW74:EZ74"/>
    <mergeCell ref="FA74:FD74"/>
    <mergeCell ref="FE74:FH74"/>
    <mergeCell ref="FI74:FL74"/>
    <mergeCell ref="FM74:FP74"/>
    <mergeCell ref="FQ74:FT74"/>
    <mergeCell ref="DY74:EB74"/>
    <mergeCell ref="EC74:EF74"/>
    <mergeCell ref="EG74:EJ74"/>
    <mergeCell ref="EK74:EN74"/>
    <mergeCell ref="EO74:ER74"/>
    <mergeCell ref="ES74:EV74"/>
    <mergeCell ref="DA74:DD74"/>
    <mergeCell ref="DE74:DH74"/>
    <mergeCell ref="DI74:DL74"/>
    <mergeCell ref="DM74:DP74"/>
    <mergeCell ref="DQ74:DT74"/>
    <mergeCell ref="DU74:DX74"/>
    <mergeCell ref="CC74:CF74"/>
    <mergeCell ref="CG74:CJ74"/>
    <mergeCell ref="CK74:CN74"/>
    <mergeCell ref="CO74:CR74"/>
    <mergeCell ref="CS74:CV74"/>
    <mergeCell ref="CW74:CZ74"/>
    <mergeCell ref="BM74:BP74"/>
    <mergeCell ref="BQ74:BT74"/>
    <mergeCell ref="BU74:BX74"/>
    <mergeCell ref="BY74:CB74"/>
    <mergeCell ref="AG74:AJ74"/>
    <mergeCell ref="AK74:AN74"/>
    <mergeCell ref="AO74:AR74"/>
    <mergeCell ref="AS74:AV74"/>
    <mergeCell ref="AW74:AZ74"/>
    <mergeCell ref="BA74:BD74"/>
    <mergeCell ref="IG72:IJ72"/>
    <mergeCell ref="IK72:IN72"/>
    <mergeCell ref="IO72:IR72"/>
    <mergeCell ref="IS72:IV72"/>
    <mergeCell ref="Q74:T74"/>
    <mergeCell ref="U74:X74"/>
    <mergeCell ref="Y74:AB74"/>
    <mergeCell ref="AC74:AF74"/>
    <mergeCell ref="HI72:HL72"/>
    <mergeCell ref="HM72:HP72"/>
    <mergeCell ref="HQ72:HT72"/>
    <mergeCell ref="HU72:HX72"/>
    <mergeCell ref="HY72:IB72"/>
    <mergeCell ref="IC72:IF72"/>
    <mergeCell ref="GK72:GN72"/>
    <mergeCell ref="GO72:GR72"/>
    <mergeCell ref="GS72:GV72"/>
    <mergeCell ref="GW72:GZ72"/>
    <mergeCell ref="HA72:HD72"/>
    <mergeCell ref="HE72:HH72"/>
    <mergeCell ref="FM72:FP72"/>
    <mergeCell ref="FQ72:FT72"/>
    <mergeCell ref="BE74:BH74"/>
    <mergeCell ref="BI74:BL74"/>
    <mergeCell ref="FU72:FX72"/>
    <mergeCell ref="FY72:GB72"/>
    <mergeCell ref="GC72:GF72"/>
    <mergeCell ref="GG72:GJ72"/>
    <mergeCell ref="EO72:ER72"/>
    <mergeCell ref="ES72:EV72"/>
    <mergeCell ref="EW72:EZ72"/>
    <mergeCell ref="FA72:FD72"/>
    <mergeCell ref="FE72:FH72"/>
    <mergeCell ref="FI72:FL72"/>
    <mergeCell ref="DQ72:DT72"/>
    <mergeCell ref="DU72:DX72"/>
    <mergeCell ref="DY72:EB72"/>
    <mergeCell ref="EC72:EF72"/>
    <mergeCell ref="EG72:EJ72"/>
    <mergeCell ref="EK72:EN72"/>
    <mergeCell ref="CS72:CV72"/>
    <mergeCell ref="CW72:CZ72"/>
    <mergeCell ref="DA72:DD72"/>
    <mergeCell ref="DE72:DH72"/>
    <mergeCell ref="DI72:DL72"/>
    <mergeCell ref="DM72:DP72"/>
    <mergeCell ref="BU72:BX72"/>
    <mergeCell ref="BY72:CB72"/>
    <mergeCell ref="CC72:CF72"/>
    <mergeCell ref="CG72:CJ72"/>
    <mergeCell ref="CK72:CN72"/>
    <mergeCell ref="CO72:CR72"/>
    <mergeCell ref="AW72:AZ72"/>
    <mergeCell ref="BA72:BD72"/>
    <mergeCell ref="BE72:BH72"/>
    <mergeCell ref="BI72:BL72"/>
    <mergeCell ref="BM72:BP72"/>
    <mergeCell ref="BQ72:BT72"/>
    <mergeCell ref="A1:B3"/>
    <mergeCell ref="C2:C3"/>
    <mergeCell ref="Y72:AB72"/>
    <mergeCell ref="AC72:AF72"/>
    <mergeCell ref="AG72:AJ72"/>
    <mergeCell ref="AK72:AN72"/>
    <mergeCell ref="AO72:AR72"/>
    <mergeCell ref="AS72:AV72"/>
    <mergeCell ref="Q72:T72"/>
    <mergeCell ref="U72:X72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14:I115 K114:N115">
    <cfRule type="cellIs" dxfId="34" priority="3" operator="lessThan">
      <formula>0</formula>
    </cfRule>
  </conditionalFormatting>
  <conditionalFormatting sqref="J114:J115">
    <cfRule type="cellIs" dxfId="33" priority="2" operator="lessThan">
      <formula>0</formula>
    </cfRule>
  </conditionalFormatting>
  <conditionalFormatting sqref="C63:N63">
    <cfRule type="cellIs" dxfId="32" priority="1" operator="lessThan">
      <formula>0</formula>
    </cfRule>
  </conditionalFormatting>
  <printOptions horizontalCentered="1"/>
  <pageMargins left="0.25" right="0.25" top="0.75" bottom="0.75" header="0.3" footer="0.3"/>
  <pageSetup scale="66" fitToWidth="2" fitToHeight="2" orientation="portrait" r:id="rId1"/>
  <headerFooter alignWithMargins="0">
    <oddHeader>&amp;C&amp;"Arial,Bold"&amp;14CLASS I FAIRS</oddHeader>
    <oddFooter>&amp;CFairs and Expositions</oddFooter>
    <firstFooter>&amp;CDivision of Fairs and Expositions</firstFooter>
  </headerFooter>
  <rowBreaks count="1" manualBreakCount="1">
    <brk id="74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defaultRowHeight="12.75"/>
  <cols>
    <col min="1" max="1" width="4.7109375" style="20" customWidth="1"/>
    <col min="2" max="2" width="50.7109375" style="20" customWidth="1"/>
    <col min="3" max="10" width="12.7109375" style="20" customWidth="1"/>
    <col min="11" max="11" width="12.7109375" style="87" customWidth="1"/>
    <col min="12" max="12" width="13.7109375" style="20" customWidth="1"/>
    <col min="13" max="13" width="13.85546875" style="20" customWidth="1"/>
    <col min="14" max="16384" width="9.140625" style="20"/>
  </cols>
  <sheetData>
    <row r="1" spans="1:13" ht="12" customHeight="1">
      <c r="A1" s="383"/>
      <c r="B1" s="384"/>
      <c r="C1" s="310"/>
      <c r="D1" s="310"/>
      <c r="E1" s="310"/>
      <c r="F1" s="310"/>
      <c r="G1" s="310"/>
      <c r="H1" s="310"/>
      <c r="I1" s="310"/>
      <c r="J1" s="310"/>
      <c r="K1" s="311"/>
    </row>
    <row r="2" spans="1:13" ht="12" customHeight="1">
      <c r="A2" s="385"/>
      <c r="B2" s="386"/>
      <c r="C2" s="387" t="s">
        <v>145</v>
      </c>
      <c r="D2" s="387" t="s">
        <v>146</v>
      </c>
      <c r="E2" s="387" t="s">
        <v>147</v>
      </c>
      <c r="F2" s="387" t="s">
        <v>148</v>
      </c>
      <c r="G2" s="387" t="s">
        <v>149</v>
      </c>
      <c r="H2" s="387" t="s">
        <v>150</v>
      </c>
      <c r="I2" s="387" t="s">
        <v>151</v>
      </c>
      <c r="J2" s="387" t="s">
        <v>239</v>
      </c>
      <c r="K2" s="389" t="s">
        <v>152</v>
      </c>
    </row>
    <row r="3" spans="1:13" ht="69" customHeight="1">
      <c r="A3" s="385"/>
      <c r="B3" s="386"/>
      <c r="C3" s="387"/>
      <c r="D3" s="387"/>
      <c r="E3" s="387"/>
      <c r="F3" s="387"/>
      <c r="G3" s="387"/>
      <c r="H3" s="387"/>
      <c r="I3" s="387"/>
      <c r="J3" s="387"/>
      <c r="K3" s="389"/>
      <c r="L3" s="20" t="s">
        <v>153</v>
      </c>
      <c r="M3" s="20" t="s">
        <v>44</v>
      </c>
    </row>
    <row r="4" spans="1:13">
      <c r="A4" s="22" t="s">
        <v>45</v>
      </c>
      <c r="B4" s="23"/>
      <c r="C4" s="65"/>
      <c r="D4" s="65"/>
      <c r="E4" s="65"/>
      <c r="F4" s="65"/>
      <c r="G4" s="65"/>
      <c r="H4" s="65"/>
      <c r="I4" s="64"/>
      <c r="J4" s="64"/>
      <c r="K4" s="191"/>
    </row>
    <row r="5" spans="1:13">
      <c r="A5" s="22"/>
      <c r="B5" s="23" t="s">
        <v>46</v>
      </c>
      <c r="C5" s="25">
        <v>144649</v>
      </c>
      <c r="D5" s="25">
        <v>362494</v>
      </c>
      <c r="E5" s="25">
        <v>141319</v>
      </c>
      <c r="F5" s="25">
        <v>89330</v>
      </c>
      <c r="G5" s="25">
        <v>364933</v>
      </c>
      <c r="H5" s="25">
        <v>95902</v>
      </c>
      <c r="I5" s="25">
        <v>112511</v>
      </c>
      <c r="J5" s="25">
        <v>256805</v>
      </c>
      <c r="K5" s="27">
        <v>-110631</v>
      </c>
    </row>
    <row r="6" spans="1:13">
      <c r="A6" s="22"/>
      <c r="B6" s="31" t="s">
        <v>47</v>
      </c>
      <c r="C6" s="29">
        <v>0</v>
      </c>
      <c r="D6" s="29">
        <v>0</v>
      </c>
      <c r="E6" s="29">
        <v>48966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32">
        <v>0</v>
      </c>
    </row>
    <row r="7" spans="1:13">
      <c r="A7" s="22"/>
      <c r="B7" s="23" t="s">
        <v>48</v>
      </c>
      <c r="C7" s="29">
        <v>1101727</v>
      </c>
      <c r="D7" s="29">
        <v>1161826</v>
      </c>
      <c r="E7" s="29">
        <v>951951</v>
      </c>
      <c r="F7" s="29">
        <v>720003</v>
      </c>
      <c r="G7" s="29">
        <v>1359400</v>
      </c>
      <c r="H7" s="29">
        <v>1770552</v>
      </c>
      <c r="I7" s="29">
        <v>903256</v>
      </c>
      <c r="J7" s="29">
        <v>1157389</v>
      </c>
      <c r="K7" s="32">
        <v>398997</v>
      </c>
    </row>
    <row r="8" spans="1:13">
      <c r="A8" s="22"/>
      <c r="B8" s="23" t="s">
        <v>49</v>
      </c>
      <c r="C8" s="118">
        <v>11139</v>
      </c>
      <c r="D8" s="118">
        <v>0</v>
      </c>
      <c r="E8" s="118">
        <v>0</v>
      </c>
      <c r="F8" s="118">
        <v>57361</v>
      </c>
      <c r="G8" s="119">
        <v>0</v>
      </c>
      <c r="H8" s="118">
        <v>-95</v>
      </c>
      <c r="I8" s="118">
        <v>0</v>
      </c>
      <c r="J8" s="118"/>
      <c r="K8" s="151">
        <v>2737</v>
      </c>
      <c r="M8" s="36">
        <f>SUM(C8:H8)</f>
        <v>68405</v>
      </c>
    </row>
    <row r="9" spans="1:13" s="40" customFormat="1" ht="12.75" customHeight="1" thickBot="1">
      <c r="A9" s="56"/>
      <c r="B9" s="153" t="s">
        <v>50</v>
      </c>
      <c r="C9" s="109">
        <f>SUM(C5:C8)</f>
        <v>1257515</v>
      </c>
      <c r="D9" s="109">
        <f t="shared" ref="D9:K9" si="0">SUM(D5:D8)</f>
        <v>1524320</v>
      </c>
      <c r="E9" s="109">
        <f t="shared" si="0"/>
        <v>1142236</v>
      </c>
      <c r="F9" s="109">
        <f t="shared" si="0"/>
        <v>866694</v>
      </c>
      <c r="G9" s="109">
        <f t="shared" si="0"/>
        <v>1724333</v>
      </c>
      <c r="H9" s="109">
        <f t="shared" si="0"/>
        <v>1866359</v>
      </c>
      <c r="I9" s="109">
        <f t="shared" si="0"/>
        <v>1015767</v>
      </c>
      <c r="J9" s="109">
        <f t="shared" ref="J9" si="1">SUM(J5:J8)</f>
        <v>1414194</v>
      </c>
      <c r="K9" s="110">
        <f t="shared" si="0"/>
        <v>291103</v>
      </c>
      <c r="M9" s="36">
        <f>SUM(C9:H9)</f>
        <v>8381457</v>
      </c>
    </row>
    <row r="10" spans="1:13" s="40" customFormat="1">
      <c r="A10" s="62" t="s">
        <v>51</v>
      </c>
      <c r="B10" s="63"/>
      <c r="C10" s="70"/>
      <c r="D10" s="70"/>
      <c r="E10" s="70"/>
      <c r="F10" s="70"/>
      <c r="G10" s="70"/>
      <c r="H10" s="70"/>
      <c r="I10" s="70"/>
      <c r="J10" s="70"/>
      <c r="K10" s="71"/>
    </row>
    <row r="11" spans="1:13" s="40" customFormat="1">
      <c r="A11" s="41"/>
      <c r="B11" s="42" t="s">
        <v>52</v>
      </c>
      <c r="C11" s="43">
        <v>36000</v>
      </c>
      <c r="D11" s="43">
        <v>36000</v>
      </c>
      <c r="E11" s="43">
        <v>36000</v>
      </c>
      <c r="F11" s="43">
        <v>108000</v>
      </c>
      <c r="G11" s="43">
        <v>36000</v>
      </c>
      <c r="H11" s="43">
        <v>36000</v>
      </c>
      <c r="I11" s="43">
        <v>36000</v>
      </c>
      <c r="J11" s="43">
        <v>36000</v>
      </c>
      <c r="K11" s="44">
        <v>36000</v>
      </c>
      <c r="M11" s="36">
        <f>SUM(C11:H11)</f>
        <v>288000</v>
      </c>
    </row>
    <row r="12" spans="1:13" s="40" customFormat="1">
      <c r="A12" s="41"/>
      <c r="B12" s="42" t="s">
        <v>53</v>
      </c>
      <c r="C12" s="43">
        <v>1543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4">
        <v>0</v>
      </c>
      <c r="M12" s="36">
        <f>SUM(C12:H12)</f>
        <v>1543</v>
      </c>
    </row>
    <row r="13" spans="1:13" s="40" customFormat="1" ht="13.5" thickBot="1">
      <c r="A13" s="292"/>
      <c r="B13" s="57" t="s">
        <v>54</v>
      </c>
      <c r="C13" s="58">
        <v>7500</v>
      </c>
      <c r="D13" s="58">
        <v>0</v>
      </c>
      <c r="E13" s="58">
        <v>63551</v>
      </c>
      <c r="F13" s="58">
        <f>18117+12224</f>
        <v>30341</v>
      </c>
      <c r="G13" s="58">
        <v>0</v>
      </c>
      <c r="H13" s="58">
        <v>319002</v>
      </c>
      <c r="I13" s="58">
        <v>0</v>
      </c>
      <c r="J13" s="58">
        <v>69010</v>
      </c>
      <c r="K13" s="152">
        <v>118414</v>
      </c>
      <c r="M13" s="36">
        <f>SUM(C13:H13)</f>
        <v>420394</v>
      </c>
    </row>
    <row r="14" spans="1:13" ht="13.5" customHeight="1">
      <c r="A14" s="45" t="s">
        <v>55</v>
      </c>
      <c r="B14" s="46"/>
      <c r="C14" s="48"/>
      <c r="D14" s="48"/>
      <c r="E14" s="48"/>
      <c r="F14" s="48"/>
      <c r="G14" s="48"/>
      <c r="H14" s="48"/>
      <c r="I14" s="48"/>
      <c r="J14" s="48"/>
      <c r="K14" s="192"/>
    </row>
    <row r="15" spans="1:13" ht="13.5" customHeight="1">
      <c r="A15" s="51"/>
      <c r="B15" s="52" t="s">
        <v>56</v>
      </c>
      <c r="C15" s="53">
        <v>85746</v>
      </c>
      <c r="D15" s="53">
        <v>133228</v>
      </c>
      <c r="E15" s="53">
        <v>76564</v>
      </c>
      <c r="F15" s="53">
        <v>111434</v>
      </c>
      <c r="G15" s="53">
        <v>70572</v>
      </c>
      <c r="H15" s="53">
        <v>170687</v>
      </c>
      <c r="I15" s="53">
        <v>97444</v>
      </c>
      <c r="J15" s="53">
        <v>60176</v>
      </c>
      <c r="K15" s="35">
        <v>26102</v>
      </c>
    </row>
    <row r="16" spans="1:13" ht="13.5" customHeight="1">
      <c r="A16" s="51"/>
      <c r="B16" s="52" t="s">
        <v>57</v>
      </c>
      <c r="C16" s="53">
        <v>9100</v>
      </c>
      <c r="D16" s="53">
        <v>5400</v>
      </c>
      <c r="E16" s="53">
        <v>16571.599999999999</v>
      </c>
      <c r="F16" s="53">
        <v>18293</v>
      </c>
      <c r="G16" s="53">
        <v>17300</v>
      </c>
      <c r="H16" s="53">
        <v>30850</v>
      </c>
      <c r="I16" s="53">
        <v>32405</v>
      </c>
      <c r="J16" s="53">
        <v>6300</v>
      </c>
      <c r="K16" s="35">
        <v>0</v>
      </c>
    </row>
    <row r="17" spans="1:15" ht="13.5" customHeight="1">
      <c r="A17" s="51"/>
      <c r="B17" s="52" t="s">
        <v>58</v>
      </c>
      <c r="C17" s="53">
        <v>21705</v>
      </c>
      <c r="D17" s="53">
        <v>0</v>
      </c>
      <c r="E17" s="53">
        <v>0</v>
      </c>
      <c r="F17" s="53">
        <v>45063</v>
      </c>
      <c r="G17" s="53">
        <v>60721</v>
      </c>
      <c r="H17" s="53">
        <v>84628</v>
      </c>
      <c r="I17" s="53">
        <v>66642</v>
      </c>
      <c r="J17" s="53">
        <v>0</v>
      </c>
      <c r="K17" s="35">
        <v>30515</v>
      </c>
    </row>
    <row r="18" spans="1:15" ht="13.5" customHeight="1">
      <c r="A18" s="51"/>
      <c r="B18" s="52" t="s">
        <v>59</v>
      </c>
      <c r="C18" s="53">
        <v>26880</v>
      </c>
      <c r="D18" s="53">
        <v>87083</v>
      </c>
      <c r="E18" s="53">
        <v>95445.48</v>
      </c>
      <c r="F18" s="53">
        <v>50290</v>
      </c>
      <c r="G18" s="53">
        <v>37392</v>
      </c>
      <c r="H18" s="53">
        <v>62971</v>
      </c>
      <c r="I18" s="53">
        <v>53104</v>
      </c>
      <c r="J18" s="53">
        <v>97842</v>
      </c>
      <c r="K18" s="35">
        <v>33829</v>
      </c>
    </row>
    <row r="19" spans="1:15" ht="13.5" customHeight="1">
      <c r="A19" s="51"/>
      <c r="B19" s="52" t="s">
        <v>60</v>
      </c>
      <c r="C19" s="53">
        <v>0</v>
      </c>
      <c r="D19" s="53">
        <v>6630</v>
      </c>
      <c r="E19" s="53">
        <v>1582.5</v>
      </c>
      <c r="F19" s="53">
        <v>28231</v>
      </c>
      <c r="G19" s="53">
        <v>25751</v>
      </c>
      <c r="H19" s="53">
        <v>10150</v>
      </c>
      <c r="I19" s="53">
        <v>11760</v>
      </c>
      <c r="J19" s="53">
        <v>5639</v>
      </c>
      <c r="K19" s="35">
        <v>7999</v>
      </c>
    </row>
    <row r="20" spans="1:15" ht="13.5" customHeight="1">
      <c r="A20" s="51"/>
      <c r="B20" s="52" t="s">
        <v>61</v>
      </c>
      <c r="C20" s="53">
        <v>0</v>
      </c>
      <c r="D20" s="53">
        <v>21171</v>
      </c>
      <c r="E20" s="53">
        <v>1185</v>
      </c>
      <c r="F20" s="53">
        <v>0</v>
      </c>
      <c r="G20" s="53">
        <v>0</v>
      </c>
      <c r="H20" s="53">
        <v>1997</v>
      </c>
      <c r="I20" s="53">
        <v>0</v>
      </c>
      <c r="J20" s="53">
        <v>7105</v>
      </c>
      <c r="K20" s="35">
        <v>5838</v>
      </c>
    </row>
    <row r="21" spans="1:15" ht="13.5" customHeight="1">
      <c r="A21" s="51"/>
      <c r="B21" s="52" t="s">
        <v>62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52410</v>
      </c>
      <c r="I21" s="53">
        <v>0</v>
      </c>
      <c r="J21" s="53">
        <v>0</v>
      </c>
      <c r="K21" s="35">
        <v>0</v>
      </c>
    </row>
    <row r="22" spans="1:15" ht="13.5" customHeight="1">
      <c r="A22" s="51"/>
      <c r="B22" s="52" t="s">
        <v>63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35">
        <v>0</v>
      </c>
    </row>
    <row r="23" spans="1:15" ht="13.5" customHeight="1">
      <c r="A23" s="51"/>
      <c r="B23" s="52" t="s">
        <v>64</v>
      </c>
      <c r="C23" s="53">
        <v>18572</v>
      </c>
      <c r="D23" s="53">
        <v>41302</v>
      </c>
      <c r="E23" s="53">
        <v>39151</v>
      </c>
      <c r="F23" s="53">
        <v>0</v>
      </c>
      <c r="G23" s="53">
        <v>51601</v>
      </c>
      <c r="H23" s="53">
        <v>0</v>
      </c>
      <c r="I23" s="53">
        <v>81770</v>
      </c>
      <c r="J23" s="53">
        <v>60976</v>
      </c>
      <c r="K23" s="35">
        <v>2272</v>
      </c>
    </row>
    <row r="24" spans="1:15" ht="13.5" customHeight="1">
      <c r="A24" s="51"/>
      <c r="B24" s="52" t="s">
        <v>65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20181</v>
      </c>
      <c r="I24" s="53">
        <v>0</v>
      </c>
      <c r="J24" s="53">
        <v>0</v>
      </c>
      <c r="K24" s="35">
        <v>0</v>
      </c>
    </row>
    <row r="25" spans="1:15" ht="13.5" customHeight="1">
      <c r="A25" s="51"/>
      <c r="B25" s="52" t="s">
        <v>66</v>
      </c>
      <c r="C25" s="53">
        <v>0</v>
      </c>
      <c r="D25" s="53">
        <v>0</v>
      </c>
      <c r="E25" s="53">
        <v>0</v>
      </c>
      <c r="F25" s="53">
        <v>2613</v>
      </c>
      <c r="G25" s="53">
        <v>0</v>
      </c>
      <c r="H25" s="53">
        <v>0</v>
      </c>
      <c r="I25" s="53">
        <v>0</v>
      </c>
      <c r="J25" s="53">
        <v>62845</v>
      </c>
      <c r="K25" s="35">
        <v>0</v>
      </c>
    </row>
    <row r="26" spans="1:15" ht="13.5" customHeight="1">
      <c r="A26" s="51"/>
      <c r="B26" s="52" t="s">
        <v>67</v>
      </c>
      <c r="C26" s="53">
        <v>47497</v>
      </c>
      <c r="D26" s="53">
        <v>25910</v>
      </c>
      <c r="E26" s="53">
        <v>20155</v>
      </c>
      <c r="F26" s="53">
        <v>44049</v>
      </c>
      <c r="G26" s="53">
        <v>76343</v>
      </c>
      <c r="H26" s="53">
        <v>58690</v>
      </c>
      <c r="I26" s="53">
        <v>96505</v>
      </c>
      <c r="J26" s="53">
        <v>43540</v>
      </c>
      <c r="K26" s="35">
        <v>16398</v>
      </c>
    </row>
    <row r="27" spans="1:15" ht="13.5" customHeight="1">
      <c r="A27" s="51"/>
      <c r="B27" s="52" t="s">
        <v>68</v>
      </c>
      <c r="C27" s="53">
        <v>17301</v>
      </c>
      <c r="D27" s="53">
        <v>0</v>
      </c>
      <c r="E27" s="53">
        <v>0</v>
      </c>
      <c r="F27" s="53">
        <v>0</v>
      </c>
      <c r="G27" s="53">
        <v>238393</v>
      </c>
      <c r="H27" s="53">
        <v>0</v>
      </c>
      <c r="I27" s="53">
        <v>52021</v>
      </c>
      <c r="J27" s="53">
        <v>29469</v>
      </c>
      <c r="K27" s="35">
        <v>0</v>
      </c>
    </row>
    <row r="28" spans="1:15" ht="13.5" customHeight="1">
      <c r="A28" s="51"/>
      <c r="B28" s="52" t="s">
        <v>69</v>
      </c>
      <c r="C28" s="53">
        <v>189087</v>
      </c>
      <c r="D28" s="53">
        <v>262750</v>
      </c>
      <c r="E28" s="53">
        <v>221940.43</v>
      </c>
      <c r="F28" s="53">
        <v>178453</v>
      </c>
      <c r="G28" s="53">
        <v>152301</v>
      </c>
      <c r="H28" s="53">
        <v>90738</v>
      </c>
      <c r="I28" s="53">
        <v>180273</v>
      </c>
      <c r="J28" s="53">
        <v>120845</v>
      </c>
      <c r="K28" s="35">
        <v>166352</v>
      </c>
      <c r="M28" s="36">
        <f>SUM(C28:H28)</f>
        <v>1095269.43</v>
      </c>
    </row>
    <row r="29" spans="1:15" ht="13.5" customHeight="1">
      <c r="A29" s="51"/>
      <c r="B29" s="52" t="s">
        <v>70</v>
      </c>
      <c r="C29" s="53">
        <v>-354</v>
      </c>
      <c r="D29" s="53">
        <v>-2553</v>
      </c>
      <c r="E29" s="53">
        <v>2340</v>
      </c>
      <c r="F29" s="53">
        <v>13463</v>
      </c>
      <c r="G29" s="53">
        <v>1003</v>
      </c>
      <c r="H29" s="53">
        <v>0</v>
      </c>
      <c r="I29" s="53">
        <v>4963</v>
      </c>
      <c r="J29" s="53">
        <v>50</v>
      </c>
      <c r="K29" s="35">
        <v>0</v>
      </c>
      <c r="M29" s="36">
        <f>SUM(C29:H29)</f>
        <v>13899</v>
      </c>
    </row>
    <row r="30" spans="1:15" ht="13.5" customHeight="1">
      <c r="A30" s="51"/>
      <c r="B30" s="52" t="s">
        <v>71</v>
      </c>
      <c r="C30" s="54">
        <v>3956</v>
      </c>
      <c r="D30" s="54">
        <v>270</v>
      </c>
      <c r="E30" s="54">
        <v>5816.92</v>
      </c>
      <c r="F30" s="54">
        <v>1557</v>
      </c>
      <c r="G30" s="54">
        <v>22952</v>
      </c>
      <c r="H30" s="54">
        <v>4391</v>
      </c>
      <c r="I30" s="54">
        <v>2038</v>
      </c>
      <c r="J30" s="54">
        <v>11924</v>
      </c>
      <c r="K30" s="32">
        <v>13737</v>
      </c>
      <c r="M30" s="36">
        <f>SUM(C30:H30)</f>
        <v>38942.92</v>
      </c>
      <c r="N30" s="36">
        <f>+M30+M29+M8</f>
        <v>121246.92</v>
      </c>
      <c r="O30" s="20" t="s">
        <v>72</v>
      </c>
    </row>
    <row r="31" spans="1:15" s="40" customFormat="1" ht="13.5" customHeight="1" thickBot="1">
      <c r="A31" s="56" t="s">
        <v>73</v>
      </c>
      <c r="B31" s="57"/>
      <c r="C31" s="58">
        <f t="shared" ref="C31:K31" si="2">SUM(C15:C30)</f>
        <v>419490</v>
      </c>
      <c r="D31" s="58">
        <f>SUM(D15:D30)</f>
        <v>581191</v>
      </c>
      <c r="E31" s="58">
        <f>SUM(E15:E30)</f>
        <v>480751.93</v>
      </c>
      <c r="F31" s="58">
        <f>SUM(F15:F30)</f>
        <v>493446</v>
      </c>
      <c r="G31" s="58">
        <f t="shared" si="2"/>
        <v>754329</v>
      </c>
      <c r="H31" s="58">
        <f t="shared" si="2"/>
        <v>587693</v>
      </c>
      <c r="I31" s="58">
        <f t="shared" si="2"/>
        <v>678925</v>
      </c>
      <c r="J31" s="58">
        <f t="shared" ref="J31" si="3">SUM(J15:J30)</f>
        <v>506711</v>
      </c>
      <c r="K31" s="152">
        <f t="shared" si="2"/>
        <v>303042</v>
      </c>
      <c r="L31" s="59">
        <f>AVERAGE(C31:K31)</f>
        <v>533953.2144444444</v>
      </c>
      <c r="M31" s="59">
        <f>SUM(C31:H31)+SUM(C11:H13)</f>
        <v>4026837.9299999997</v>
      </c>
    </row>
    <row r="32" spans="1:15" ht="13.5" customHeight="1">
      <c r="A32" s="120" t="s">
        <v>75</v>
      </c>
      <c r="B32" s="121"/>
      <c r="C32" s="342"/>
      <c r="D32" s="342"/>
      <c r="E32" s="342"/>
      <c r="F32" s="342"/>
      <c r="G32" s="342"/>
      <c r="H32" s="342"/>
      <c r="I32" s="343"/>
      <c r="J32" s="343"/>
      <c r="K32" s="344"/>
    </row>
    <row r="33" spans="1:13" ht="13.5" customHeight="1">
      <c r="A33" s="51"/>
      <c r="B33" s="52" t="s">
        <v>76</v>
      </c>
      <c r="C33" s="53">
        <v>166516</v>
      </c>
      <c r="D33" s="53">
        <v>368200</v>
      </c>
      <c r="E33" s="53">
        <v>313448.45</v>
      </c>
      <c r="F33" s="53">
        <v>177191</v>
      </c>
      <c r="G33" s="53">
        <v>293569</v>
      </c>
      <c r="H33" s="53">
        <v>207546</v>
      </c>
      <c r="I33" s="53">
        <v>233326</v>
      </c>
      <c r="J33" s="53">
        <v>297647</v>
      </c>
      <c r="K33" s="35">
        <v>260835</v>
      </c>
      <c r="M33" s="36">
        <f>SUM(C33:H33)</f>
        <v>1526470.45</v>
      </c>
    </row>
    <row r="34" spans="1:13" ht="13.5" customHeight="1">
      <c r="A34" s="51"/>
      <c r="B34" s="52" t="s">
        <v>77</v>
      </c>
      <c r="C34" s="53">
        <v>207534</v>
      </c>
      <c r="D34" s="53">
        <v>182265</v>
      </c>
      <c r="E34" s="53">
        <v>225478.11</v>
      </c>
      <c r="F34" s="53">
        <v>256169</v>
      </c>
      <c r="G34" s="53">
        <v>254603</v>
      </c>
      <c r="H34" s="53">
        <v>158840</v>
      </c>
      <c r="I34" s="53">
        <v>207830</v>
      </c>
      <c r="J34" s="53">
        <v>29571</v>
      </c>
      <c r="K34" s="35">
        <v>145289</v>
      </c>
      <c r="M34" s="36">
        <f>SUM(C34:H34)</f>
        <v>1284889.1099999999</v>
      </c>
    </row>
    <row r="35" spans="1:13" ht="13.5" customHeight="1">
      <c r="A35" s="51"/>
      <c r="B35" s="52" t="s">
        <v>78</v>
      </c>
      <c r="C35" s="53">
        <v>20532</v>
      </c>
      <c r="D35" s="53">
        <v>7026</v>
      </c>
      <c r="E35" s="53">
        <v>5887.4</v>
      </c>
      <c r="F35" s="53">
        <v>17209</v>
      </c>
      <c r="G35" s="53">
        <v>12893</v>
      </c>
      <c r="H35" s="53">
        <v>19386</v>
      </c>
      <c r="I35" s="53">
        <v>30915</v>
      </c>
      <c r="J35" s="53">
        <v>12579</v>
      </c>
      <c r="K35" s="35">
        <v>0</v>
      </c>
    </row>
    <row r="36" spans="1:13" ht="13.5" customHeight="1">
      <c r="A36" s="51"/>
      <c r="B36" s="52" t="s">
        <v>79</v>
      </c>
      <c r="C36" s="53">
        <v>8743</v>
      </c>
      <c r="D36" s="53">
        <v>43916</v>
      </c>
      <c r="E36" s="53">
        <v>23398.240000000002</v>
      </c>
      <c r="F36" s="53">
        <v>6481</v>
      </c>
      <c r="G36" s="53">
        <v>25334</v>
      </c>
      <c r="H36" s="53">
        <v>48851</v>
      </c>
      <c r="I36" s="53">
        <v>40259</v>
      </c>
      <c r="J36" s="53">
        <v>17828</v>
      </c>
      <c r="K36" s="35">
        <v>0</v>
      </c>
    </row>
    <row r="37" spans="1:13" ht="13.5" customHeight="1">
      <c r="A37" s="51"/>
      <c r="B37" s="52" t="s">
        <v>67</v>
      </c>
      <c r="C37" s="53">
        <v>3541</v>
      </c>
      <c r="D37" s="53">
        <v>14267</v>
      </c>
      <c r="E37" s="53">
        <v>4904.78</v>
      </c>
      <c r="F37" s="53">
        <v>64076</v>
      </c>
      <c r="G37" s="53">
        <v>15243</v>
      </c>
      <c r="H37" s="53">
        <v>8224</v>
      </c>
      <c r="I37" s="53">
        <v>18477</v>
      </c>
      <c r="J37" s="53">
        <v>6965</v>
      </c>
      <c r="K37" s="35">
        <v>0</v>
      </c>
    </row>
    <row r="38" spans="1:13" ht="13.5" customHeight="1">
      <c r="A38" s="51"/>
      <c r="B38" s="52" t="s">
        <v>80</v>
      </c>
      <c r="C38" s="53">
        <v>0</v>
      </c>
      <c r="D38" s="53">
        <v>0</v>
      </c>
      <c r="E38" s="53">
        <v>0</v>
      </c>
      <c r="F38" s="53">
        <v>0</v>
      </c>
      <c r="G38" s="53">
        <f>82344+32791</f>
        <v>115135</v>
      </c>
      <c r="H38" s="53">
        <v>0</v>
      </c>
      <c r="I38" s="53">
        <v>24037</v>
      </c>
      <c r="J38" s="53">
        <v>33394</v>
      </c>
      <c r="K38" s="35">
        <v>0</v>
      </c>
    </row>
    <row r="39" spans="1:13" ht="13.5" customHeight="1">
      <c r="A39" s="51"/>
      <c r="B39" s="52" t="s">
        <v>81</v>
      </c>
      <c r="C39" s="53">
        <v>2176</v>
      </c>
      <c r="D39" s="53">
        <v>19388</v>
      </c>
      <c r="E39" s="53">
        <v>3684.03</v>
      </c>
      <c r="F39" s="53">
        <v>14158</v>
      </c>
      <c r="G39" s="53">
        <v>20677</v>
      </c>
      <c r="H39" s="53">
        <v>17529</v>
      </c>
      <c r="I39" s="53">
        <v>18519</v>
      </c>
      <c r="J39" s="53">
        <v>6628</v>
      </c>
      <c r="K39" s="35">
        <v>2896</v>
      </c>
    </row>
    <row r="40" spans="1:13" ht="13.5" customHeight="1">
      <c r="A40" s="51"/>
      <c r="B40" s="52" t="s">
        <v>60</v>
      </c>
      <c r="C40" s="53">
        <v>23428</v>
      </c>
      <c r="D40" s="53">
        <v>20673</v>
      </c>
      <c r="E40" s="53">
        <v>20140.22</v>
      </c>
      <c r="F40" s="53">
        <v>19601</v>
      </c>
      <c r="G40" s="53">
        <v>26294</v>
      </c>
      <c r="H40" s="53">
        <v>36308</v>
      </c>
      <c r="I40" s="53">
        <v>14459</v>
      </c>
      <c r="J40" s="53">
        <v>21220</v>
      </c>
      <c r="K40" s="35">
        <v>20358</v>
      </c>
    </row>
    <row r="41" spans="1:13" ht="13.5" customHeight="1">
      <c r="A41" s="51"/>
      <c r="B41" s="52" t="s">
        <v>61</v>
      </c>
      <c r="C41" s="53">
        <v>0</v>
      </c>
      <c r="D41" s="53">
        <v>21381</v>
      </c>
      <c r="E41" s="53">
        <v>1660</v>
      </c>
      <c r="F41" s="53">
        <v>0</v>
      </c>
      <c r="G41" s="53">
        <v>0</v>
      </c>
      <c r="H41" s="53">
        <v>2371</v>
      </c>
      <c r="I41" s="53">
        <v>0</v>
      </c>
      <c r="J41" s="53">
        <v>4069</v>
      </c>
      <c r="K41" s="35">
        <v>0</v>
      </c>
    </row>
    <row r="42" spans="1:13" ht="13.5" customHeight="1">
      <c r="A42" s="51"/>
      <c r="B42" s="52" t="s">
        <v>62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47517</v>
      </c>
      <c r="I42" s="53">
        <v>0</v>
      </c>
      <c r="J42" s="53">
        <v>0</v>
      </c>
      <c r="K42" s="35">
        <v>0</v>
      </c>
    </row>
    <row r="43" spans="1:13" ht="13.5" customHeight="1">
      <c r="A43" s="51"/>
      <c r="B43" s="52" t="s">
        <v>63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35">
        <v>0</v>
      </c>
    </row>
    <row r="44" spans="1:13" ht="13.5" customHeight="1">
      <c r="A44" s="51"/>
      <c r="B44" s="52" t="s">
        <v>82</v>
      </c>
      <c r="C44" s="53">
        <v>52026</v>
      </c>
      <c r="D44" s="53">
        <v>43032</v>
      </c>
      <c r="E44" s="53">
        <v>109492.85</v>
      </c>
      <c r="F44" s="53">
        <v>32444</v>
      </c>
      <c r="G44" s="53">
        <v>79607</v>
      </c>
      <c r="H44" s="53">
        <v>60471</v>
      </c>
      <c r="I44" s="53">
        <v>97599</v>
      </c>
      <c r="J44" s="53">
        <v>70994</v>
      </c>
      <c r="K44" s="35">
        <v>31260</v>
      </c>
    </row>
    <row r="45" spans="1:13" ht="13.5" customHeight="1">
      <c r="A45" s="51"/>
      <c r="B45" s="52" t="s">
        <v>65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53908</v>
      </c>
      <c r="K45" s="35">
        <v>0</v>
      </c>
    </row>
    <row r="46" spans="1:13" ht="13.5" customHeight="1">
      <c r="A46" s="51"/>
      <c r="B46" s="52" t="s">
        <v>83</v>
      </c>
      <c r="C46" s="53">
        <v>11476</v>
      </c>
      <c r="D46" s="53">
        <v>2431</v>
      </c>
      <c r="E46" s="53">
        <v>22549.759999999998</v>
      </c>
      <c r="F46" s="53">
        <v>482</v>
      </c>
      <c r="G46" s="53">
        <v>0</v>
      </c>
      <c r="H46" s="53">
        <v>580</v>
      </c>
      <c r="I46" s="53">
        <v>10909</v>
      </c>
      <c r="J46" s="53">
        <v>29207</v>
      </c>
      <c r="K46" s="35">
        <v>0</v>
      </c>
    </row>
    <row r="47" spans="1:13" ht="13.5" customHeight="1">
      <c r="A47" s="51"/>
      <c r="B47" s="52" t="s">
        <v>84</v>
      </c>
      <c r="C47" s="53">
        <v>0</v>
      </c>
      <c r="D47" s="53">
        <v>0</v>
      </c>
      <c r="E47" s="53">
        <v>1995</v>
      </c>
      <c r="F47" s="53">
        <v>7284</v>
      </c>
      <c r="G47" s="53">
        <v>13786</v>
      </c>
      <c r="H47" s="53">
        <v>0</v>
      </c>
      <c r="I47" s="53">
        <v>0</v>
      </c>
      <c r="J47" s="53">
        <v>10400</v>
      </c>
      <c r="K47" s="35">
        <v>0</v>
      </c>
    </row>
    <row r="48" spans="1:13" ht="13.5" customHeight="1">
      <c r="A48" s="51"/>
      <c r="B48" s="52" t="s">
        <v>85</v>
      </c>
      <c r="C48" s="53">
        <v>575</v>
      </c>
      <c r="D48" s="53">
        <v>-1400</v>
      </c>
      <c r="E48" s="53">
        <v>0</v>
      </c>
      <c r="F48" s="53">
        <v>68486</v>
      </c>
      <c r="G48" s="53">
        <v>7615</v>
      </c>
      <c r="H48" s="53">
        <v>4362</v>
      </c>
      <c r="I48" s="53">
        <v>4753</v>
      </c>
      <c r="J48" s="53">
        <v>0</v>
      </c>
      <c r="K48" s="35">
        <v>0</v>
      </c>
    </row>
    <row r="49" spans="1:13" ht="13.5" customHeight="1">
      <c r="A49" s="51"/>
      <c r="B49" s="52" t="s">
        <v>86</v>
      </c>
      <c r="C49" s="53">
        <v>-895</v>
      </c>
      <c r="D49" s="53">
        <v>-18</v>
      </c>
      <c r="E49" s="53">
        <v>250.55</v>
      </c>
      <c r="F49" s="53">
        <v>0</v>
      </c>
      <c r="G49" s="53">
        <v>61</v>
      </c>
      <c r="H49" s="53">
        <v>250</v>
      </c>
      <c r="I49" s="53">
        <v>1749</v>
      </c>
      <c r="J49" s="53">
        <v>-7</v>
      </c>
      <c r="K49" s="35">
        <v>0</v>
      </c>
    </row>
    <row r="50" spans="1:13" ht="13.5" customHeight="1">
      <c r="A50" s="51"/>
      <c r="B50" s="52" t="s">
        <v>87</v>
      </c>
      <c r="C50" s="53">
        <v>0</v>
      </c>
      <c r="D50" s="53">
        <v>0</v>
      </c>
      <c r="E50" s="53">
        <v>0</v>
      </c>
      <c r="F50" s="53">
        <v>0</v>
      </c>
      <c r="G50" s="53">
        <v>188</v>
      </c>
      <c r="H50" s="53">
        <v>0</v>
      </c>
      <c r="I50" s="53">
        <v>0</v>
      </c>
      <c r="J50" s="53">
        <v>85781</v>
      </c>
      <c r="K50" s="35">
        <v>0</v>
      </c>
    </row>
    <row r="51" spans="1:13" s="40" customFormat="1" ht="13.5" customHeight="1" thickBot="1">
      <c r="A51" s="56" t="s">
        <v>88</v>
      </c>
      <c r="B51" s="57"/>
      <c r="C51" s="58">
        <f t="shared" ref="C51:K51" si="4">SUM(C33:C50)</f>
        <v>495652</v>
      </c>
      <c r="D51" s="58">
        <f>SUM(D33:D50)</f>
        <v>721161</v>
      </c>
      <c r="E51" s="58">
        <f>SUM(E33:E50)</f>
        <v>732889.39000000013</v>
      </c>
      <c r="F51" s="58">
        <f>SUM(F33:F50)</f>
        <v>663581</v>
      </c>
      <c r="G51" s="58">
        <f t="shared" si="4"/>
        <v>865005</v>
      </c>
      <c r="H51" s="58">
        <f t="shared" si="4"/>
        <v>612235</v>
      </c>
      <c r="I51" s="58">
        <f>SUM(I33:I50)</f>
        <v>702832</v>
      </c>
      <c r="J51" s="58">
        <f>SUM(J33:J50)</f>
        <v>680184</v>
      </c>
      <c r="K51" s="152">
        <f t="shared" si="4"/>
        <v>460638</v>
      </c>
      <c r="L51" s="59">
        <f>AVERAGE(C51:K51)</f>
        <v>659353.04333333345</v>
      </c>
      <c r="M51" s="59">
        <f>SUM(E51:H51)+SUM(E53:H53)</f>
        <v>3167750.2600000002</v>
      </c>
    </row>
    <row r="52" spans="1:13" ht="13.5" customHeight="1">
      <c r="A52" s="120" t="s">
        <v>89</v>
      </c>
      <c r="B52" s="121"/>
      <c r="C52" s="122"/>
      <c r="D52" s="122"/>
      <c r="E52" s="122"/>
      <c r="F52" s="122"/>
      <c r="G52" s="122"/>
      <c r="H52" s="122"/>
      <c r="I52" s="123"/>
      <c r="J52" s="123"/>
      <c r="K52" s="193"/>
    </row>
    <row r="53" spans="1:13" s="40" customFormat="1" ht="13.5" customHeight="1">
      <c r="A53" s="41"/>
      <c r="B53" s="42" t="s">
        <v>90</v>
      </c>
      <c r="C53" s="43">
        <v>51446</v>
      </c>
      <c r="D53" s="43">
        <v>91492</v>
      </c>
      <c r="E53" s="43">
        <v>51729.87</v>
      </c>
      <c r="F53" s="43">
        <v>52754</v>
      </c>
      <c r="G53" s="43">
        <v>77717</v>
      </c>
      <c r="H53" s="43">
        <v>111839</v>
      </c>
      <c r="I53" s="43">
        <v>46855</v>
      </c>
      <c r="J53" s="43">
        <v>68538</v>
      </c>
      <c r="K53" s="44">
        <v>53242</v>
      </c>
      <c r="M53" s="36">
        <f>SUM(C53:H53)</f>
        <v>436977.87</v>
      </c>
    </row>
    <row r="54" spans="1:13" s="40" customFormat="1" ht="13.5" customHeight="1">
      <c r="A54" s="62" t="s">
        <v>91</v>
      </c>
      <c r="B54" s="63"/>
      <c r="C54" s="70">
        <f>+C31-C51</f>
        <v>-76162</v>
      </c>
      <c r="D54" s="70">
        <f t="shared" ref="D54:K54" si="5">+D31-D51</f>
        <v>-139970</v>
      </c>
      <c r="E54" s="70">
        <f t="shared" si="5"/>
        <v>-252137.46000000014</v>
      </c>
      <c r="F54" s="70">
        <f t="shared" si="5"/>
        <v>-170135</v>
      </c>
      <c r="G54" s="70">
        <f t="shared" si="5"/>
        <v>-110676</v>
      </c>
      <c r="H54" s="70">
        <f t="shared" si="5"/>
        <v>-24542</v>
      </c>
      <c r="I54" s="70">
        <f t="shared" si="5"/>
        <v>-23907</v>
      </c>
      <c r="J54" s="70">
        <f t="shared" ref="J54" si="6">+J31-J51</f>
        <v>-173473</v>
      </c>
      <c r="K54" s="71">
        <f t="shared" si="5"/>
        <v>-157596</v>
      </c>
      <c r="L54" s="59">
        <f>AVERAGE(C54:K54)</f>
        <v>-125399.82888888891</v>
      </c>
    </row>
    <row r="55" spans="1:13" s="40" customFormat="1" ht="13.5" customHeight="1">
      <c r="A55" s="62" t="s">
        <v>92</v>
      </c>
      <c r="B55" s="63"/>
      <c r="C55" s="70">
        <f>+C54-C53</f>
        <v>-127608</v>
      </c>
      <c r="D55" s="70">
        <f t="shared" ref="D55:K55" si="7">+D54-D53</f>
        <v>-231462</v>
      </c>
      <c r="E55" s="70">
        <f t="shared" si="7"/>
        <v>-303867.33000000013</v>
      </c>
      <c r="F55" s="70">
        <f t="shared" si="7"/>
        <v>-222889</v>
      </c>
      <c r="G55" s="70">
        <f t="shared" si="7"/>
        <v>-188393</v>
      </c>
      <c r="H55" s="70">
        <f t="shared" si="7"/>
        <v>-136381</v>
      </c>
      <c r="I55" s="70">
        <f t="shared" si="7"/>
        <v>-70762</v>
      </c>
      <c r="J55" s="70">
        <f t="shared" ref="J55" si="8">+J54-J53</f>
        <v>-242011</v>
      </c>
      <c r="K55" s="71">
        <f t="shared" si="7"/>
        <v>-210838</v>
      </c>
      <c r="L55" s="59">
        <f>AVERAGE(C55:K55)</f>
        <v>-192690.14777777778</v>
      </c>
    </row>
    <row r="56" spans="1:13" s="40" customFormat="1" ht="13.5" customHeight="1">
      <c r="A56" s="62" t="s">
        <v>93</v>
      </c>
      <c r="B56" s="63"/>
      <c r="C56" s="70">
        <f>+C11+C12+C13+C31-C51</f>
        <v>-31119</v>
      </c>
      <c r="D56" s="70">
        <f t="shared" ref="D56:K56" si="9">+D11+D12+D13+D31-D51</f>
        <v>-103970</v>
      </c>
      <c r="E56" s="70">
        <f t="shared" si="9"/>
        <v>-152586.4600000002</v>
      </c>
      <c r="F56" s="70">
        <f>+F11+F12+F13+F31-F51</f>
        <v>-31794</v>
      </c>
      <c r="G56" s="70">
        <f t="shared" si="9"/>
        <v>-74676</v>
      </c>
      <c r="H56" s="70">
        <f t="shared" si="9"/>
        <v>330460</v>
      </c>
      <c r="I56" s="70">
        <f t="shared" si="9"/>
        <v>12093</v>
      </c>
      <c r="J56" s="70">
        <f t="shared" ref="J56" si="10">+J11+J12+J13+J31-J51</f>
        <v>-68463</v>
      </c>
      <c r="K56" s="71">
        <f t="shared" si="9"/>
        <v>-3182</v>
      </c>
      <c r="L56" s="59">
        <f>AVERAGE(C56:K56)</f>
        <v>-13693.051111111134</v>
      </c>
    </row>
    <row r="57" spans="1:13" s="40" customFormat="1" ht="13.5" customHeight="1">
      <c r="A57" s="62" t="s">
        <v>94</v>
      </c>
      <c r="B57" s="63"/>
      <c r="C57" s="70">
        <f t="shared" ref="C57:K57" si="11">+C11+C12+C13+C31-C51-C53</f>
        <v>-82565</v>
      </c>
      <c r="D57" s="70">
        <f t="shared" si="11"/>
        <v>-195462</v>
      </c>
      <c r="E57" s="70">
        <f t="shared" si="11"/>
        <v>-204316.33000000019</v>
      </c>
      <c r="F57" s="70">
        <f t="shared" si="11"/>
        <v>-84548</v>
      </c>
      <c r="G57" s="70">
        <f t="shared" si="11"/>
        <v>-152393</v>
      </c>
      <c r="H57" s="70">
        <f t="shared" si="11"/>
        <v>218621</v>
      </c>
      <c r="I57" s="70">
        <f t="shared" si="11"/>
        <v>-34762</v>
      </c>
      <c r="J57" s="70">
        <f t="shared" ref="J57" si="12">+J11+J12+J13+J31-J51-J53</f>
        <v>-137001</v>
      </c>
      <c r="K57" s="71">
        <f t="shared" si="11"/>
        <v>-56424</v>
      </c>
      <c r="L57" s="59">
        <f>AVERAGE(C57:K57)</f>
        <v>-80983.370000000024</v>
      </c>
      <c r="M57" s="59">
        <f>SUM(C57:H57)</f>
        <v>-500663.33000000019</v>
      </c>
    </row>
    <row r="58" spans="1:13" ht="13.5" customHeight="1">
      <c r="A58" s="22" t="s">
        <v>95</v>
      </c>
      <c r="B58" s="23"/>
      <c r="C58" s="65"/>
      <c r="D58" s="65"/>
      <c r="E58" s="65"/>
      <c r="F58" s="65"/>
      <c r="G58" s="65"/>
      <c r="H58" s="65"/>
      <c r="I58" s="64"/>
      <c r="J58" s="64"/>
      <c r="K58" s="67"/>
    </row>
    <row r="59" spans="1:13" s="40" customFormat="1" ht="13.5" customHeight="1">
      <c r="A59" s="62"/>
      <c r="B59" s="69" t="s">
        <v>46</v>
      </c>
      <c r="C59" s="70">
        <v>111985</v>
      </c>
      <c r="D59" s="70">
        <v>258522</v>
      </c>
      <c r="E59" s="70">
        <v>37698</v>
      </c>
      <c r="F59" s="70">
        <v>106258</v>
      </c>
      <c r="G59" s="70">
        <v>262497</v>
      </c>
      <c r="H59" s="70">
        <v>425969</v>
      </c>
      <c r="I59" s="70">
        <v>124605</v>
      </c>
      <c r="J59" s="70">
        <v>177935</v>
      </c>
      <c r="K59" s="71">
        <v>-111076</v>
      </c>
      <c r="L59" s="125">
        <f>SUM(C59:K59)/9</f>
        <v>154932.55555555556</v>
      </c>
    </row>
    <row r="60" spans="1:13" s="40" customFormat="1" ht="13.5" customHeight="1">
      <c r="A60" s="62"/>
      <c r="B60" s="69" t="s">
        <v>47</v>
      </c>
      <c r="C60" s="70"/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1">
        <v>0</v>
      </c>
      <c r="L60" s="59">
        <f>MAX(C59:K59)</f>
        <v>425969</v>
      </c>
    </row>
    <row r="61" spans="1:13" s="73" customFormat="1" ht="13.5" customHeight="1">
      <c r="A61" s="62"/>
      <c r="B61" s="69" t="s">
        <v>48</v>
      </c>
      <c r="C61" s="70">
        <v>1062964</v>
      </c>
      <c r="D61" s="70">
        <v>1070335</v>
      </c>
      <c r="E61" s="70">
        <v>900221</v>
      </c>
      <c r="F61" s="70">
        <v>675888</v>
      </c>
      <c r="G61" s="70">
        <v>1309445</v>
      </c>
      <c r="H61" s="70">
        <v>1659011</v>
      </c>
      <c r="I61" s="70">
        <v>856401</v>
      </c>
      <c r="J61" s="70">
        <v>1099258</v>
      </c>
      <c r="K61" s="71">
        <v>345755</v>
      </c>
      <c r="L61" s="126">
        <f>MIN(C59:K59)</f>
        <v>-111076</v>
      </c>
    </row>
    <row r="62" spans="1:13" s="40" customFormat="1" ht="13.5" customHeight="1">
      <c r="A62" s="62"/>
      <c r="B62" s="69" t="s">
        <v>50</v>
      </c>
      <c r="C62" s="97">
        <f t="shared" ref="C62:K62" si="13">SUM(C59:C61)</f>
        <v>1174949</v>
      </c>
      <c r="D62" s="97">
        <f t="shared" si="13"/>
        <v>1328857</v>
      </c>
      <c r="E62" s="97">
        <f t="shared" si="13"/>
        <v>937919</v>
      </c>
      <c r="F62" s="97">
        <f>SUM(F59:F61)</f>
        <v>782146</v>
      </c>
      <c r="G62" s="97">
        <f t="shared" si="13"/>
        <v>1571942</v>
      </c>
      <c r="H62" s="97">
        <f t="shared" si="13"/>
        <v>2084980</v>
      </c>
      <c r="I62" s="97">
        <f t="shared" si="13"/>
        <v>981006</v>
      </c>
      <c r="J62" s="97">
        <f t="shared" ref="J62" si="14">SUM(J59:J61)</f>
        <v>1277193</v>
      </c>
      <c r="K62" s="98">
        <f t="shared" si="13"/>
        <v>234679</v>
      </c>
      <c r="L62" s="127"/>
    </row>
    <row r="63" spans="1:13" s="133" customFormat="1" ht="13.5" customHeight="1" thickBot="1">
      <c r="A63" s="128" t="s">
        <v>96</v>
      </c>
      <c r="B63" s="129"/>
      <c r="C63" s="130">
        <f t="shared" ref="C63:H63" si="15">C59/(C51)</f>
        <v>0.22593472839815032</v>
      </c>
      <c r="D63" s="130">
        <f t="shared" si="15"/>
        <v>0.35848028387558395</v>
      </c>
      <c r="E63" s="130">
        <f t="shared" si="15"/>
        <v>5.1437502731483113E-2</v>
      </c>
      <c r="F63" s="130">
        <f>F59/(F51)</f>
        <v>0.16012815315688664</v>
      </c>
      <c r="G63" s="130">
        <f t="shared" si="15"/>
        <v>0.30346298576308806</v>
      </c>
      <c r="H63" s="131">
        <f t="shared" si="15"/>
        <v>0.69576061479660589</v>
      </c>
      <c r="I63" s="130">
        <f>I59/I51</f>
        <v>0.17728987866232612</v>
      </c>
      <c r="J63" s="130">
        <f>J59/J51</f>
        <v>0.2615983322159886</v>
      </c>
      <c r="K63" s="345">
        <f>K59/K51</f>
        <v>-0.24113512128830014</v>
      </c>
      <c r="L63" s="132">
        <f>AVERAGE(C63:K63)</f>
        <v>0.22143970647909031</v>
      </c>
    </row>
    <row r="64" spans="1:13" s="137" customFormat="1" ht="13.5" hidden="1" customHeight="1">
      <c r="A64" s="134"/>
      <c r="B64" s="134" t="s">
        <v>97</v>
      </c>
      <c r="C64" s="135">
        <f>+C9+C11+C12+C13+C31-C51-C53-C59-C60-C61</f>
        <v>1</v>
      </c>
      <c r="D64" s="135">
        <f t="shared" ref="D64:K64" si="16">+D9+D11+D12+D13+D31-D51-D53-D59-D60-D61</f>
        <v>1</v>
      </c>
      <c r="E64" s="135">
        <f t="shared" si="16"/>
        <v>0.66999999980907887</v>
      </c>
      <c r="F64" s="135">
        <f t="shared" si="16"/>
        <v>0</v>
      </c>
      <c r="G64" s="135">
        <f t="shared" si="16"/>
        <v>-2</v>
      </c>
      <c r="H64" s="112">
        <f t="shared" si="16"/>
        <v>0</v>
      </c>
      <c r="I64" s="112">
        <f t="shared" si="16"/>
        <v>-1</v>
      </c>
      <c r="J64" s="112">
        <f t="shared" ref="J64" si="17">+J9+J11+J12+J13+J31-J51-J53-J59-J60-J61</f>
        <v>0</v>
      </c>
      <c r="K64" s="135">
        <f t="shared" si="16"/>
        <v>0</v>
      </c>
      <c r="L64" s="136"/>
    </row>
    <row r="65" spans="1:13" s="137" customFormat="1" ht="13.5" hidden="1" customHeight="1">
      <c r="A65" s="135"/>
      <c r="B65" s="135"/>
      <c r="C65" s="85">
        <f>+C9+C57-C62</f>
        <v>1</v>
      </c>
      <c r="D65" s="85">
        <f t="shared" ref="D65:K65" si="18">+D9+D57-D62</f>
        <v>1</v>
      </c>
      <c r="E65" s="85">
        <f t="shared" si="18"/>
        <v>0.66999999980907887</v>
      </c>
      <c r="F65" s="85">
        <f t="shared" si="18"/>
        <v>0</v>
      </c>
      <c r="G65" s="85">
        <f t="shared" si="18"/>
        <v>-2</v>
      </c>
      <c r="H65" s="85">
        <f t="shared" si="18"/>
        <v>0</v>
      </c>
      <c r="I65" s="85">
        <f t="shared" si="18"/>
        <v>-1</v>
      </c>
      <c r="J65" s="85">
        <f t="shared" ref="J65" si="19">+J9+J57-J62</f>
        <v>0</v>
      </c>
      <c r="K65" s="85">
        <f t="shared" si="18"/>
        <v>0</v>
      </c>
      <c r="L65" s="136"/>
    </row>
    <row r="66" spans="1:13" s="137" customFormat="1" ht="13.5" customHeight="1">
      <c r="A66" s="135"/>
      <c r="B66" s="135"/>
      <c r="C66" s="85"/>
      <c r="D66" s="85"/>
      <c r="E66" s="85"/>
      <c r="F66" s="85"/>
      <c r="G66" s="85"/>
      <c r="H66" s="85"/>
      <c r="I66" s="85"/>
      <c r="J66" s="85"/>
      <c r="K66" s="85"/>
      <c r="L66" s="136"/>
    </row>
    <row r="67" spans="1:13" s="137" customFormat="1" ht="13.5" customHeight="1">
      <c r="A67" s="323" t="s">
        <v>225</v>
      </c>
      <c r="B67" s="91"/>
      <c r="C67" s="91"/>
      <c r="D67" s="91"/>
      <c r="E67" s="237"/>
      <c r="F67" s="135"/>
      <c r="G67" s="135"/>
      <c r="H67" s="113"/>
      <c r="I67" s="113"/>
      <c r="J67" s="113"/>
      <c r="K67" s="135"/>
      <c r="L67" s="136"/>
    </row>
    <row r="68" spans="1:13" s="137" customFormat="1" ht="13.5" customHeight="1">
      <c r="A68" s="320" t="s">
        <v>226</v>
      </c>
      <c r="B68" s="91"/>
      <c r="C68" s="91"/>
      <c r="D68" s="91"/>
      <c r="E68" s="237"/>
      <c r="F68" s="135"/>
      <c r="G68" s="135"/>
      <c r="H68" s="113"/>
      <c r="I68" s="113"/>
      <c r="J68" s="113"/>
      <c r="K68" s="135"/>
      <c r="L68" s="136"/>
    </row>
    <row r="69" spans="1:13" s="137" customFormat="1" ht="13.5" customHeight="1">
      <c r="A69" s="321" t="s">
        <v>98</v>
      </c>
      <c r="B69" s="91"/>
      <c r="C69" s="91"/>
      <c r="D69" s="91"/>
      <c r="E69" s="237"/>
      <c r="F69" s="135"/>
      <c r="G69" s="135"/>
      <c r="H69" s="113"/>
      <c r="I69" s="113"/>
      <c r="J69" s="113"/>
      <c r="K69" s="135"/>
      <c r="L69" s="136"/>
    </row>
    <row r="70" spans="1:13" s="137" customFormat="1" ht="13.5" customHeight="1">
      <c r="A70" s="322"/>
      <c r="B70" s="91"/>
      <c r="C70" s="91"/>
      <c r="D70" s="91"/>
      <c r="E70" s="237"/>
      <c r="F70" s="135"/>
      <c r="G70" s="135"/>
      <c r="H70" s="113"/>
      <c r="I70" s="113"/>
      <c r="J70" s="113"/>
      <c r="K70" s="135"/>
      <c r="L70" s="136"/>
    </row>
    <row r="71" spans="1:13" ht="12.75" customHeight="1">
      <c r="A71" s="320" t="s">
        <v>227</v>
      </c>
      <c r="B71" s="91"/>
      <c r="C71" s="91"/>
      <c r="D71" s="91"/>
      <c r="E71" s="233"/>
      <c r="H71" s="87"/>
      <c r="I71" s="87"/>
      <c r="J71" s="87"/>
      <c r="K71" s="20"/>
      <c r="L71" s="138"/>
    </row>
    <row r="72" spans="1:13" ht="12.75" customHeight="1">
      <c r="A72" s="320" t="s">
        <v>99</v>
      </c>
      <c r="B72" s="91"/>
      <c r="C72" s="91"/>
      <c r="D72" s="91"/>
      <c r="E72" s="233"/>
      <c r="H72" s="87"/>
      <c r="I72" s="87"/>
      <c r="J72" s="87"/>
      <c r="K72" s="20"/>
      <c r="L72" s="138"/>
    </row>
    <row r="73" spans="1:13" ht="12.75" customHeight="1">
      <c r="A73" s="320" t="s">
        <v>100</v>
      </c>
      <c r="B73" s="231"/>
      <c r="C73" s="232"/>
      <c r="D73" s="232"/>
      <c r="E73" s="233"/>
      <c r="K73" s="20"/>
      <c r="L73" s="138"/>
    </row>
    <row r="74" spans="1:13" ht="12.75" customHeight="1" thickBot="1">
      <c r="A74" s="89"/>
      <c r="B74" s="139"/>
      <c r="C74" s="140"/>
      <c r="D74" s="140"/>
      <c r="K74" s="20"/>
      <c r="L74" s="138"/>
    </row>
    <row r="75" spans="1:13" ht="10.5" customHeight="1">
      <c r="A75" s="403"/>
      <c r="B75" s="404"/>
      <c r="C75" s="310"/>
      <c r="D75" s="310"/>
      <c r="E75" s="310"/>
      <c r="F75" s="310"/>
      <c r="G75" s="310"/>
      <c r="H75" s="310"/>
      <c r="I75" s="310"/>
      <c r="J75" s="310"/>
      <c r="K75" s="311"/>
    </row>
    <row r="76" spans="1:13" ht="77.25" customHeight="1">
      <c r="A76" s="405"/>
      <c r="B76" s="406"/>
      <c r="C76" s="326" t="str">
        <f>C2</f>
        <v>29th DAA, Mother Lode Fair</v>
      </c>
      <c r="D76" s="326" t="str">
        <f>D2</f>
        <v>35-A DAA, Mariposa County Fair</v>
      </c>
      <c r="E76" s="326" t="str">
        <f>E2</f>
        <v>41st DAA, 
Del Norte County Fair</v>
      </c>
      <c r="F76" s="326" t="s">
        <v>148</v>
      </c>
      <c r="G76" s="326" t="str">
        <f>G2</f>
        <v>44th DAA, Colusa County Fair</v>
      </c>
      <c r="H76" s="326" t="str">
        <f>H2</f>
        <v>49th DAA, Lake County Fair</v>
      </c>
      <c r="I76" s="326" t="str">
        <f>I2</f>
        <v>Butte County Fair</v>
      </c>
      <c r="J76" s="375" t="str">
        <f>J2</f>
        <v>Lassen County Fair FY 14/15</v>
      </c>
      <c r="K76" s="327" t="str">
        <f>K2</f>
        <v>Plumas-Sierra County Fair 
FY 14/15</v>
      </c>
    </row>
    <row r="77" spans="1:13" ht="13.5" customHeight="1">
      <c r="A77" s="22" t="s">
        <v>101</v>
      </c>
      <c r="B77" s="52"/>
      <c r="C77" s="93"/>
      <c r="D77" s="93"/>
      <c r="E77" s="93"/>
      <c r="F77" s="93"/>
      <c r="G77" s="93"/>
      <c r="H77" s="93"/>
      <c r="I77" s="92"/>
      <c r="J77" s="92"/>
      <c r="K77" s="200"/>
    </row>
    <row r="78" spans="1:13" ht="13.5" customHeight="1">
      <c r="A78" s="22" t="s">
        <v>102</v>
      </c>
      <c r="B78" s="52"/>
      <c r="C78" s="93"/>
      <c r="D78" s="93"/>
      <c r="E78" s="93"/>
      <c r="F78" s="93"/>
      <c r="G78" s="93"/>
      <c r="H78" s="93"/>
      <c r="I78" s="92"/>
      <c r="J78" s="92"/>
      <c r="K78" s="200"/>
    </row>
    <row r="79" spans="1:13" ht="13.5" customHeight="1">
      <c r="A79" s="51"/>
      <c r="B79" s="52" t="s">
        <v>103</v>
      </c>
      <c r="C79" s="53"/>
      <c r="D79" s="53"/>
      <c r="E79" s="53"/>
      <c r="F79" s="53"/>
      <c r="G79" s="53"/>
      <c r="H79" s="53"/>
      <c r="I79" s="33"/>
      <c r="J79" s="33"/>
      <c r="K79" s="35"/>
    </row>
    <row r="80" spans="1:13" ht="13.5" customHeight="1">
      <c r="A80" s="51"/>
      <c r="B80" s="52" t="s">
        <v>104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01">
        <v>0</v>
      </c>
      <c r="M80" s="96">
        <f t="shared" ref="M80:M85" si="20">SUM(C80:H80)</f>
        <v>0</v>
      </c>
    </row>
    <row r="81" spans="1:13" ht="13.5" customHeight="1">
      <c r="A81" s="51"/>
      <c r="B81" s="52" t="s">
        <v>105</v>
      </c>
      <c r="C81" s="53">
        <v>195075</v>
      </c>
      <c r="D81" s="53">
        <v>331250</v>
      </c>
      <c r="E81" s="53">
        <f>49482.77+16177.38</f>
        <v>65660.149999999994</v>
      </c>
      <c r="F81" s="53">
        <v>180854</v>
      </c>
      <c r="G81" s="53">
        <v>695451</v>
      </c>
      <c r="H81" s="53">
        <v>519280</v>
      </c>
      <c r="I81" s="53">
        <v>193994</v>
      </c>
      <c r="J81" s="53">
        <v>154898</v>
      </c>
      <c r="K81" s="35">
        <v>36521</v>
      </c>
      <c r="M81" s="96">
        <f t="shared" si="20"/>
        <v>1987570.15</v>
      </c>
    </row>
    <row r="82" spans="1:13" ht="13.5" customHeight="1">
      <c r="A82" s="51"/>
      <c r="B82" s="52" t="s">
        <v>106</v>
      </c>
      <c r="C82" s="53">
        <v>2504</v>
      </c>
      <c r="D82" s="53">
        <v>1347</v>
      </c>
      <c r="E82" s="53">
        <f>16431.3+830.2</f>
        <v>17261.5</v>
      </c>
      <c r="F82" s="53">
        <v>2208</v>
      </c>
      <c r="G82" s="53">
        <v>2389</v>
      </c>
      <c r="H82" s="53">
        <v>125</v>
      </c>
      <c r="I82" s="53">
        <v>5910</v>
      </c>
      <c r="J82" s="53">
        <v>20636</v>
      </c>
      <c r="K82" s="35">
        <v>8767</v>
      </c>
      <c r="M82" s="96">
        <f t="shared" si="20"/>
        <v>25834.5</v>
      </c>
    </row>
    <row r="83" spans="1:13" ht="13.5" customHeight="1">
      <c r="A83" s="51"/>
      <c r="B83" s="52" t="s">
        <v>107</v>
      </c>
      <c r="C83" s="53">
        <v>200</v>
      </c>
      <c r="D83" s="53">
        <v>3069</v>
      </c>
      <c r="E83" s="53">
        <v>9112.24</v>
      </c>
      <c r="F83" s="53">
        <v>0</v>
      </c>
      <c r="G83" s="53">
        <v>13466</v>
      </c>
      <c r="H83" s="53">
        <v>108</v>
      </c>
      <c r="I83" s="53">
        <v>0</v>
      </c>
      <c r="J83" s="53">
        <v>10000</v>
      </c>
      <c r="K83" s="35">
        <v>1483</v>
      </c>
      <c r="M83" s="96">
        <f t="shared" si="20"/>
        <v>25955.239999999998</v>
      </c>
    </row>
    <row r="84" spans="1:13" ht="13.5" customHeight="1">
      <c r="A84" s="51"/>
      <c r="B84" s="52" t="s">
        <v>108</v>
      </c>
      <c r="C84" s="5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35">
        <v>0</v>
      </c>
      <c r="M84" s="96">
        <f t="shared" si="20"/>
        <v>0</v>
      </c>
    </row>
    <row r="85" spans="1:13" ht="13.5" customHeight="1">
      <c r="A85" s="51"/>
      <c r="B85" s="52" t="s">
        <v>109</v>
      </c>
      <c r="C85" s="53">
        <v>1543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35">
        <v>0</v>
      </c>
      <c r="M85" s="20">
        <f t="shared" si="20"/>
        <v>1543</v>
      </c>
    </row>
    <row r="86" spans="1:13" ht="13.5" customHeight="1">
      <c r="A86" s="51"/>
      <c r="B86" s="52" t="s">
        <v>110</v>
      </c>
      <c r="C86" s="53">
        <v>239127</v>
      </c>
      <c r="D86" s="53">
        <v>5243</v>
      </c>
      <c r="E86" s="53">
        <v>30352.53</v>
      </c>
      <c r="F86" s="53">
        <v>2900</v>
      </c>
      <c r="G86" s="53">
        <v>3298</v>
      </c>
      <c r="H86" s="53">
        <v>240662</v>
      </c>
      <c r="I86" s="53">
        <v>0</v>
      </c>
      <c r="J86" s="53">
        <v>86870</v>
      </c>
      <c r="K86" s="35">
        <v>28220</v>
      </c>
    </row>
    <row r="87" spans="1:13" ht="13.5" customHeight="1">
      <c r="A87" s="51"/>
      <c r="B87" s="52" t="s">
        <v>111</v>
      </c>
      <c r="C87" s="53">
        <v>2494168</v>
      </c>
      <c r="D87" s="53">
        <v>3814692</v>
      </c>
      <c r="E87" s="53">
        <v>2702646.12</v>
      </c>
      <c r="F87" s="53">
        <v>2683914</v>
      </c>
      <c r="G87" s="53">
        <v>3124425</v>
      </c>
      <c r="H87" s="53">
        <v>4018661</v>
      </c>
      <c r="I87" s="53">
        <v>2410725</v>
      </c>
      <c r="J87" s="53">
        <v>1840422</v>
      </c>
      <c r="K87" s="35">
        <v>161566</v>
      </c>
    </row>
    <row r="88" spans="1:13" ht="13.5" customHeight="1">
      <c r="A88" s="51"/>
      <c r="B88" s="52" t="s">
        <v>112</v>
      </c>
      <c r="C88" s="53">
        <v>250168</v>
      </c>
      <c r="D88" s="53">
        <v>153428</v>
      </c>
      <c r="E88" s="53">
        <v>148307.29</v>
      </c>
      <c r="F88" s="53">
        <v>67419</v>
      </c>
      <c r="G88" s="53">
        <v>143765</v>
      </c>
      <c r="H88" s="53">
        <v>97201</v>
      </c>
      <c r="I88" s="53">
        <v>114230</v>
      </c>
      <c r="J88" s="53">
        <v>248106</v>
      </c>
      <c r="K88" s="35">
        <v>220511</v>
      </c>
    </row>
    <row r="89" spans="1:13" ht="13.5" customHeight="1">
      <c r="A89" s="51"/>
      <c r="B89" s="52" t="s">
        <v>113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189261</v>
      </c>
      <c r="K89" s="35">
        <v>1053642</v>
      </c>
    </row>
    <row r="90" spans="1:13" ht="13.5" customHeight="1">
      <c r="A90" s="51"/>
      <c r="B90" s="52" t="s">
        <v>209</v>
      </c>
      <c r="C90" s="53">
        <v>0</v>
      </c>
      <c r="D90" s="53">
        <v>0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35">
        <v>0</v>
      </c>
      <c r="M90" s="96">
        <f>SUM(C90:H90)</f>
        <v>0</v>
      </c>
    </row>
    <row r="91" spans="1:13" ht="13.5" customHeight="1">
      <c r="A91" s="51"/>
      <c r="B91" s="52" t="s">
        <v>114</v>
      </c>
      <c r="C91" s="53">
        <f>-1671874-250168</f>
        <v>-1922042</v>
      </c>
      <c r="D91" s="53">
        <f>-2744275-143932</f>
        <v>-2888207</v>
      </c>
      <c r="E91" s="53">
        <f>-1832777.42-148307.29</f>
        <v>-1981084.71</v>
      </c>
      <c r="F91" s="53">
        <f>-2010926-67419</f>
        <v>-2078345</v>
      </c>
      <c r="G91" s="53">
        <f>-1835048-126995</f>
        <v>-1962043</v>
      </c>
      <c r="H91" s="53">
        <f>-2605703-91809</f>
        <v>-2697512</v>
      </c>
      <c r="I91" s="53">
        <f>-1554324-114230</f>
        <v>-1668554</v>
      </c>
      <c r="J91" s="53">
        <f>-978598-230122-56681</f>
        <v>-1265401</v>
      </c>
      <c r="K91" s="35">
        <f>-138235-248416-731533</f>
        <v>-1118184</v>
      </c>
      <c r="M91" s="36">
        <f>SUM(C85:H91)</f>
        <v>6692686.2299999967</v>
      </c>
    </row>
    <row r="92" spans="1:13" ht="13.5" customHeight="1">
      <c r="A92" s="51"/>
      <c r="B92" s="52" t="s">
        <v>115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-1</v>
      </c>
      <c r="I92" s="53">
        <v>0</v>
      </c>
      <c r="J92" s="53">
        <v>0</v>
      </c>
      <c r="K92" s="35">
        <v>0</v>
      </c>
    </row>
    <row r="93" spans="1:13" s="40" customFormat="1" ht="13.5" customHeight="1">
      <c r="A93" s="37" t="s">
        <v>116</v>
      </c>
      <c r="B93" s="42"/>
      <c r="C93" s="97">
        <f t="shared" ref="C93:K93" si="21">SUM(C79:C92)</f>
        <v>1260743</v>
      </c>
      <c r="D93" s="97">
        <f t="shared" si="21"/>
        <v>1420822</v>
      </c>
      <c r="E93" s="97">
        <f t="shared" si="21"/>
        <v>992255.12000000011</v>
      </c>
      <c r="F93" s="97">
        <f t="shared" si="21"/>
        <v>858950</v>
      </c>
      <c r="G93" s="97">
        <f t="shared" si="21"/>
        <v>2020751</v>
      </c>
      <c r="H93" s="97">
        <f t="shared" si="21"/>
        <v>2178524</v>
      </c>
      <c r="I93" s="97">
        <f t="shared" si="21"/>
        <v>1056305</v>
      </c>
      <c r="J93" s="97">
        <f t="shared" ref="J93" si="22">SUM(J79:J92)</f>
        <v>1284792</v>
      </c>
      <c r="K93" s="98">
        <f t="shared" si="21"/>
        <v>392526</v>
      </c>
      <c r="M93" s="99">
        <f>SUM(C93:H93)</f>
        <v>8732045.120000001</v>
      </c>
    </row>
    <row r="94" spans="1:13" ht="13.5" customHeight="1">
      <c r="A94" s="22" t="s">
        <v>154</v>
      </c>
      <c r="B94" s="52"/>
      <c r="C94" s="93"/>
      <c r="D94" s="93"/>
      <c r="E94" s="93"/>
      <c r="F94" s="93"/>
      <c r="G94" s="93"/>
      <c r="H94" s="93"/>
      <c r="I94" s="92"/>
      <c r="J94" s="92"/>
      <c r="K94" s="200"/>
    </row>
    <row r="95" spans="1:13" ht="13.5" customHeight="1">
      <c r="A95" s="51"/>
      <c r="B95" s="52" t="s">
        <v>118</v>
      </c>
      <c r="C95" s="53">
        <v>795</v>
      </c>
      <c r="D95" s="53">
        <v>0</v>
      </c>
      <c r="E95" s="53">
        <v>0</v>
      </c>
      <c r="F95" s="53">
        <v>0</v>
      </c>
      <c r="G95" s="53">
        <v>0</v>
      </c>
      <c r="H95" s="53">
        <v>1524</v>
      </c>
      <c r="I95" s="53">
        <v>0</v>
      </c>
      <c r="J95" s="53">
        <v>0</v>
      </c>
      <c r="K95" s="35">
        <v>0</v>
      </c>
      <c r="M95" s="96">
        <f t="shared" ref="M95:M111" si="23">SUM(C95:H95)</f>
        <v>2319</v>
      </c>
    </row>
    <row r="96" spans="1:13" ht="13.5" customHeight="1">
      <c r="A96" s="51"/>
      <c r="B96" s="52" t="s">
        <v>119</v>
      </c>
      <c r="C96" s="53">
        <v>874</v>
      </c>
      <c r="D96" s="53">
        <v>19753</v>
      </c>
      <c r="E96" s="53">
        <v>14576.14</v>
      </c>
      <c r="F96" s="53">
        <v>13334</v>
      </c>
      <c r="G96" s="53">
        <v>29649</v>
      </c>
      <c r="H96" s="53">
        <v>11935</v>
      </c>
      <c r="I96" s="53">
        <v>7903</v>
      </c>
      <c r="J96" s="53">
        <v>0</v>
      </c>
      <c r="K96" s="35">
        <v>3766</v>
      </c>
      <c r="M96" s="96">
        <f t="shared" si="23"/>
        <v>90121.14</v>
      </c>
    </row>
    <row r="97" spans="1:13" ht="13.5" customHeight="1">
      <c r="A97" s="51"/>
      <c r="B97" s="52" t="s">
        <v>120</v>
      </c>
      <c r="C97" s="53">
        <v>2647</v>
      </c>
      <c r="D97" s="53">
        <v>5549</v>
      </c>
      <c r="E97" s="53">
        <v>3866.13</v>
      </c>
      <c r="F97" s="53">
        <v>3419</v>
      </c>
      <c r="G97" s="53">
        <v>691</v>
      </c>
      <c r="H97" s="53">
        <v>593</v>
      </c>
      <c r="I97" s="53">
        <v>5588</v>
      </c>
      <c r="J97" s="53">
        <v>7599</v>
      </c>
      <c r="K97" s="35">
        <v>9119</v>
      </c>
      <c r="M97" s="96">
        <f t="shared" si="23"/>
        <v>16765.13</v>
      </c>
    </row>
    <row r="98" spans="1:13" ht="13.5" customHeight="1">
      <c r="A98" s="51"/>
      <c r="B98" s="52" t="s">
        <v>121</v>
      </c>
      <c r="C98" s="53">
        <v>16187</v>
      </c>
      <c r="D98" s="53">
        <v>0</v>
      </c>
      <c r="E98" s="53">
        <v>2396.67</v>
      </c>
      <c r="F98" s="53">
        <v>1050</v>
      </c>
      <c r="G98" s="53">
        <v>211386</v>
      </c>
      <c r="H98" s="53">
        <v>650</v>
      </c>
      <c r="I98" s="53">
        <v>0</v>
      </c>
      <c r="J98" s="53">
        <v>0</v>
      </c>
      <c r="K98" s="35">
        <v>79502</v>
      </c>
      <c r="M98" s="96">
        <f t="shared" si="23"/>
        <v>231669.66999999998</v>
      </c>
    </row>
    <row r="99" spans="1:13" ht="13.5" customHeight="1">
      <c r="A99" s="51"/>
      <c r="B99" s="52" t="s">
        <v>122</v>
      </c>
      <c r="C99" s="53">
        <v>0</v>
      </c>
      <c r="D99" s="53">
        <v>0</v>
      </c>
      <c r="E99" s="53">
        <v>1090.3</v>
      </c>
      <c r="F99" s="53">
        <v>1392</v>
      </c>
      <c r="G99" s="53">
        <v>6160</v>
      </c>
      <c r="H99" s="53">
        <v>-437</v>
      </c>
      <c r="I99" s="53">
        <v>9373</v>
      </c>
      <c r="J99" s="53">
        <v>0</v>
      </c>
      <c r="K99" s="35">
        <v>65460</v>
      </c>
      <c r="M99" s="96">
        <f t="shared" si="23"/>
        <v>8205.2999999999993</v>
      </c>
    </row>
    <row r="100" spans="1:13" ht="13.5" customHeight="1">
      <c r="A100" s="51"/>
      <c r="B100" s="52" t="s">
        <v>123</v>
      </c>
      <c r="C100" s="53">
        <v>7760</v>
      </c>
      <c r="D100" s="53">
        <v>1000</v>
      </c>
      <c r="E100" s="53">
        <v>5380</v>
      </c>
      <c r="F100" s="53">
        <v>350</v>
      </c>
      <c r="G100" s="53">
        <v>77028</v>
      </c>
      <c r="H100" s="53">
        <v>3172</v>
      </c>
      <c r="I100" s="53">
        <v>650</v>
      </c>
      <c r="J100" s="53">
        <v>0</v>
      </c>
      <c r="K100" s="35">
        <v>0</v>
      </c>
      <c r="M100" s="96">
        <f t="shared" si="23"/>
        <v>94690</v>
      </c>
    </row>
    <row r="101" spans="1:13" ht="13.5" customHeight="1">
      <c r="A101" s="51"/>
      <c r="B101" s="52" t="s">
        <v>124</v>
      </c>
      <c r="C101" s="53">
        <v>23371</v>
      </c>
      <c r="D101" s="53">
        <v>53456</v>
      </c>
      <c r="E101" s="53">
        <v>9564.52</v>
      </c>
      <c r="F101" s="53">
        <v>9824</v>
      </c>
      <c r="G101" s="53">
        <v>285</v>
      </c>
      <c r="H101" s="53">
        <v>18990</v>
      </c>
      <c r="I101" s="53">
        <v>10480</v>
      </c>
      <c r="J101" s="53">
        <v>0</v>
      </c>
      <c r="K101" s="35">
        <v>0</v>
      </c>
      <c r="M101" s="96">
        <f t="shared" si="23"/>
        <v>115490.52</v>
      </c>
    </row>
    <row r="102" spans="1:13" ht="13.5" customHeight="1">
      <c r="A102" s="51"/>
      <c r="B102" s="52" t="s">
        <v>125</v>
      </c>
      <c r="C102" s="53">
        <v>0</v>
      </c>
      <c r="D102" s="53">
        <v>12207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35">
        <v>0</v>
      </c>
      <c r="M102" s="96">
        <f t="shared" si="23"/>
        <v>12207</v>
      </c>
    </row>
    <row r="103" spans="1:13" s="40" customFormat="1" ht="13.5" customHeight="1">
      <c r="A103" s="37" t="s">
        <v>126</v>
      </c>
      <c r="B103" s="42"/>
      <c r="C103" s="43">
        <f t="shared" ref="C103:K103" si="24">SUM(C95:C102)</f>
        <v>51634</v>
      </c>
      <c r="D103" s="43">
        <f>SUM(D95:D102)</f>
        <v>91965</v>
      </c>
      <c r="E103" s="43">
        <f>SUM(E95:E102)</f>
        <v>36873.760000000002</v>
      </c>
      <c r="F103" s="43">
        <f>SUM(F95:F102)</f>
        <v>29369</v>
      </c>
      <c r="G103" s="43">
        <f t="shared" si="24"/>
        <v>325199</v>
      </c>
      <c r="H103" s="43">
        <f t="shared" si="24"/>
        <v>36427</v>
      </c>
      <c r="I103" s="43">
        <f>SUM(I95:I102)</f>
        <v>33994</v>
      </c>
      <c r="J103" s="43">
        <f>SUM(J95:J102)</f>
        <v>7599</v>
      </c>
      <c r="K103" s="44">
        <f t="shared" si="24"/>
        <v>157847</v>
      </c>
      <c r="M103" s="99">
        <f t="shared" si="23"/>
        <v>571467.76</v>
      </c>
    </row>
    <row r="104" spans="1:13" ht="13.5" customHeight="1">
      <c r="A104" s="22" t="s">
        <v>127</v>
      </c>
      <c r="B104" s="52"/>
      <c r="C104" s="93"/>
      <c r="D104" s="93"/>
      <c r="E104" s="93"/>
      <c r="F104" s="93"/>
      <c r="G104" s="93"/>
      <c r="H104" s="93"/>
      <c r="I104" s="93"/>
      <c r="J104" s="93"/>
      <c r="K104" s="200"/>
      <c r="M104" s="96">
        <f t="shared" si="23"/>
        <v>0</v>
      </c>
    </row>
    <row r="105" spans="1:13" ht="13.5" customHeight="1">
      <c r="A105" s="51"/>
      <c r="B105" s="52" t="s">
        <v>128</v>
      </c>
      <c r="C105" s="53">
        <v>34160</v>
      </c>
      <c r="D105" s="53">
        <v>0</v>
      </c>
      <c r="E105" s="53">
        <v>17464</v>
      </c>
      <c r="F105" s="53">
        <v>47434</v>
      </c>
      <c r="G105" s="53">
        <v>123611</v>
      </c>
      <c r="H105" s="53">
        <v>57117</v>
      </c>
      <c r="I105" s="53">
        <v>41306</v>
      </c>
      <c r="J105" s="53">
        <v>0</v>
      </c>
      <c r="K105" s="35">
        <v>0</v>
      </c>
      <c r="M105" s="96">
        <f>SUM(C105:H105)</f>
        <v>279786</v>
      </c>
    </row>
    <row r="106" spans="1:13" ht="13.5" customHeight="1">
      <c r="A106" s="51"/>
      <c r="B106" s="52" t="s">
        <v>46</v>
      </c>
      <c r="C106" s="53">
        <f t="shared" ref="C106:K106" si="25">C59</f>
        <v>111985</v>
      </c>
      <c r="D106" s="53">
        <f t="shared" si="25"/>
        <v>258522</v>
      </c>
      <c r="E106" s="53">
        <f t="shared" si="25"/>
        <v>37698</v>
      </c>
      <c r="F106" s="53">
        <f t="shared" si="25"/>
        <v>106258</v>
      </c>
      <c r="G106" s="53">
        <f t="shared" si="25"/>
        <v>262497</v>
      </c>
      <c r="H106" s="53">
        <f t="shared" si="25"/>
        <v>425969</v>
      </c>
      <c r="I106" s="53">
        <f t="shared" si="25"/>
        <v>124605</v>
      </c>
      <c r="J106" s="53">
        <f t="shared" ref="J106" si="26">J59</f>
        <v>177935</v>
      </c>
      <c r="K106" s="30">
        <f t="shared" si="25"/>
        <v>-111076</v>
      </c>
      <c r="M106" s="96">
        <f t="shared" si="23"/>
        <v>1202929</v>
      </c>
    </row>
    <row r="107" spans="1:13" ht="13.5" customHeight="1">
      <c r="A107" s="51"/>
      <c r="B107" s="52" t="s">
        <v>155</v>
      </c>
      <c r="C107" s="53">
        <f t="shared" ref="C107:K107" si="27">C60</f>
        <v>0</v>
      </c>
      <c r="D107" s="53">
        <f t="shared" si="27"/>
        <v>0</v>
      </c>
      <c r="E107" s="53">
        <f t="shared" si="27"/>
        <v>0</v>
      </c>
      <c r="F107" s="53">
        <f t="shared" si="27"/>
        <v>0</v>
      </c>
      <c r="G107" s="53">
        <f t="shared" si="27"/>
        <v>0</v>
      </c>
      <c r="H107" s="53">
        <f t="shared" si="27"/>
        <v>0</v>
      </c>
      <c r="I107" s="53">
        <f t="shared" si="27"/>
        <v>0</v>
      </c>
      <c r="J107" s="53">
        <f t="shared" ref="J107" si="28">J60</f>
        <v>0</v>
      </c>
      <c r="K107" s="30">
        <f t="shared" si="27"/>
        <v>0</v>
      </c>
      <c r="M107" s="96">
        <f t="shared" si="23"/>
        <v>0</v>
      </c>
    </row>
    <row r="108" spans="1:13" ht="13.5" customHeight="1">
      <c r="A108" s="51"/>
      <c r="B108" s="52" t="s">
        <v>129</v>
      </c>
      <c r="C108" s="53">
        <f t="shared" ref="C108:K108" si="29">C61</f>
        <v>1062964</v>
      </c>
      <c r="D108" s="53">
        <f t="shared" si="29"/>
        <v>1070335</v>
      </c>
      <c r="E108" s="53">
        <f t="shared" si="29"/>
        <v>900221</v>
      </c>
      <c r="F108" s="53">
        <f t="shared" si="29"/>
        <v>675888</v>
      </c>
      <c r="G108" s="53">
        <f t="shared" si="29"/>
        <v>1309445</v>
      </c>
      <c r="H108" s="53">
        <f t="shared" si="29"/>
        <v>1659011</v>
      </c>
      <c r="I108" s="53">
        <f t="shared" si="29"/>
        <v>856401</v>
      </c>
      <c r="J108" s="53">
        <f t="shared" ref="J108" si="30">J61</f>
        <v>1099258</v>
      </c>
      <c r="K108" s="30">
        <f t="shared" si="29"/>
        <v>345755</v>
      </c>
      <c r="M108" s="96">
        <f t="shared" si="23"/>
        <v>6677864</v>
      </c>
    </row>
    <row r="109" spans="1:13" ht="13.5" customHeight="1">
      <c r="A109" s="101"/>
      <c r="B109" s="102" t="s">
        <v>115</v>
      </c>
      <c r="C109" s="104">
        <v>0</v>
      </c>
      <c r="D109" s="104">
        <v>0</v>
      </c>
      <c r="E109" s="104">
        <v>-2</v>
      </c>
      <c r="F109" s="104">
        <v>1</v>
      </c>
      <c r="G109" s="104">
        <v>0</v>
      </c>
      <c r="H109" s="104"/>
      <c r="I109" s="104">
        <v>0</v>
      </c>
      <c r="J109" s="104">
        <v>0</v>
      </c>
      <c r="K109" s="346">
        <v>0</v>
      </c>
      <c r="M109" s="96">
        <f t="shared" si="23"/>
        <v>-1</v>
      </c>
    </row>
    <row r="110" spans="1:13" ht="13.5" customHeight="1">
      <c r="A110" s="37" t="s">
        <v>50</v>
      </c>
      <c r="B110" s="106"/>
      <c r="C110" s="107">
        <f>SUM(C105:C109)</f>
        <v>1209109</v>
      </c>
      <c r="D110" s="107">
        <f t="shared" ref="D110:K110" si="31">SUM(D105:D109)</f>
        <v>1328857</v>
      </c>
      <c r="E110" s="107">
        <f t="shared" si="31"/>
        <v>955381</v>
      </c>
      <c r="F110" s="107">
        <f>SUM(F105:F109)</f>
        <v>829581</v>
      </c>
      <c r="G110" s="107">
        <f t="shared" si="31"/>
        <v>1695553</v>
      </c>
      <c r="H110" s="107">
        <f t="shared" si="31"/>
        <v>2142097</v>
      </c>
      <c r="I110" s="107">
        <f t="shared" si="31"/>
        <v>1022312</v>
      </c>
      <c r="J110" s="107">
        <f t="shared" ref="J110" si="32">SUM(J105:J109)</f>
        <v>1277193</v>
      </c>
      <c r="K110" s="173">
        <f t="shared" si="31"/>
        <v>234679</v>
      </c>
      <c r="M110" s="96">
        <f t="shared" si="23"/>
        <v>8160578</v>
      </c>
    </row>
    <row r="111" spans="1:13" s="40" customFormat="1" ht="14.25" customHeight="1" thickBot="1">
      <c r="A111" s="56" t="s">
        <v>130</v>
      </c>
      <c r="B111" s="57"/>
      <c r="C111" s="109">
        <f>SUM(C103:C109)</f>
        <v>1260743</v>
      </c>
      <c r="D111" s="109">
        <f t="shared" ref="D111:K111" si="33">SUM(D103:D109)</f>
        <v>1420822</v>
      </c>
      <c r="E111" s="109">
        <f t="shared" si="33"/>
        <v>992254.76</v>
      </c>
      <c r="F111" s="109">
        <f t="shared" si="33"/>
        <v>858950</v>
      </c>
      <c r="G111" s="109">
        <f t="shared" si="33"/>
        <v>2020752</v>
      </c>
      <c r="H111" s="109">
        <f t="shared" si="33"/>
        <v>2178524</v>
      </c>
      <c r="I111" s="109">
        <f t="shared" si="33"/>
        <v>1056306</v>
      </c>
      <c r="J111" s="109">
        <f t="shared" ref="J111" si="34">SUM(J103:J109)</f>
        <v>1284792</v>
      </c>
      <c r="K111" s="110">
        <f t="shared" si="33"/>
        <v>392526</v>
      </c>
      <c r="M111" s="99">
        <f t="shared" si="23"/>
        <v>8732045.7599999998</v>
      </c>
    </row>
    <row r="112" spans="1:13" ht="12.75" hidden="1" customHeight="1">
      <c r="A112" s="111"/>
      <c r="B112" s="100" t="s">
        <v>97</v>
      </c>
      <c r="C112" s="135">
        <f>+C93-C111</f>
        <v>0</v>
      </c>
      <c r="D112" s="135">
        <f t="shared" ref="D112:K112" si="35">+D93-D111</f>
        <v>0</v>
      </c>
      <c r="E112" s="135">
        <f t="shared" si="35"/>
        <v>0.36000000010244548</v>
      </c>
      <c r="F112" s="112">
        <f t="shared" si="35"/>
        <v>0</v>
      </c>
      <c r="G112" s="135">
        <f t="shared" si="35"/>
        <v>-1</v>
      </c>
      <c r="H112" s="135">
        <f t="shared" si="35"/>
        <v>0</v>
      </c>
      <c r="I112" s="135">
        <f>+I93-I111</f>
        <v>-1</v>
      </c>
      <c r="J112" s="135">
        <f>+J93-J111</f>
        <v>0</v>
      </c>
      <c r="K112" s="135">
        <f t="shared" si="35"/>
        <v>0</v>
      </c>
    </row>
    <row r="113" spans="1:12" ht="13.5" customHeight="1">
      <c r="A113" s="100"/>
      <c r="B113" s="142"/>
      <c r="C113" s="143"/>
      <c r="D113" s="143"/>
      <c r="E113" s="143"/>
      <c r="F113" s="143"/>
      <c r="G113" s="143"/>
      <c r="H113" s="144"/>
      <c r="I113" s="143"/>
      <c r="J113" s="143"/>
      <c r="K113" s="143"/>
    </row>
    <row r="114" spans="1:12" ht="38.25" customHeight="1">
      <c r="A114" s="395" t="s">
        <v>131</v>
      </c>
      <c r="B114" s="396"/>
      <c r="C114" s="407">
        <f t="shared" ref="C114:K114" si="36">C54/(C31)</f>
        <v>-0.18155855920284156</v>
      </c>
      <c r="D114" s="400">
        <f t="shared" si="36"/>
        <v>-0.24083304799971095</v>
      </c>
      <c r="E114" s="400">
        <f t="shared" si="36"/>
        <v>-0.52446478998014656</v>
      </c>
      <c r="F114" s="400">
        <f t="shared" si="36"/>
        <v>-0.3447895007761741</v>
      </c>
      <c r="G114" s="400">
        <f t="shared" si="36"/>
        <v>-0.14672112566267503</v>
      </c>
      <c r="H114" s="400">
        <f t="shared" si="36"/>
        <v>-4.1759898450381409E-2</v>
      </c>
      <c r="I114" s="400">
        <f t="shared" si="36"/>
        <v>-3.521302058401149E-2</v>
      </c>
      <c r="J114" s="400">
        <f t="shared" ref="J114" si="37">J54/(J31)</f>
        <v>-0.34235096534316406</v>
      </c>
      <c r="K114" s="400">
        <f t="shared" si="36"/>
        <v>-0.52004672619636882</v>
      </c>
    </row>
    <row r="115" spans="1:12" ht="24">
      <c r="A115" s="257"/>
      <c r="B115" s="258" t="s">
        <v>132</v>
      </c>
      <c r="C115" s="408"/>
      <c r="D115" s="400"/>
      <c r="E115" s="400"/>
      <c r="F115" s="400"/>
      <c r="G115" s="400"/>
      <c r="H115" s="400"/>
      <c r="I115" s="400"/>
      <c r="J115" s="400"/>
      <c r="K115" s="400"/>
    </row>
    <row r="116" spans="1:12" ht="14.25">
      <c r="A116" s="251" t="s">
        <v>220</v>
      </c>
      <c r="B116" s="252"/>
      <c r="C116" s="401">
        <f t="shared" ref="C116:K116" si="38">(SUM(C81:C82))/SUM(C95:C100)</f>
        <v>6.9907299295899232</v>
      </c>
      <c r="D116" s="401">
        <f t="shared" si="38"/>
        <v>12.645312143563228</v>
      </c>
      <c r="E116" s="401">
        <f t="shared" si="38"/>
        <v>3.0363953738734577</v>
      </c>
      <c r="F116" s="401">
        <f t="shared" si="38"/>
        <v>9.3661806088513693</v>
      </c>
      <c r="G116" s="401">
        <f t="shared" si="38"/>
        <v>2.1477683325433805</v>
      </c>
      <c r="H116" s="401">
        <f t="shared" si="38"/>
        <v>29.787520789126571</v>
      </c>
      <c r="I116" s="401">
        <f t="shared" si="38"/>
        <v>8.5014884749510937</v>
      </c>
      <c r="J116" s="401">
        <f t="shared" ref="J116" si="39">(SUM(J81:J82))/SUM(J95:J100)</f>
        <v>23.099618370838268</v>
      </c>
      <c r="K116" s="401">
        <f t="shared" si="38"/>
        <v>0.28691074268120392</v>
      </c>
    </row>
    <row r="117" spans="1:12" ht="36">
      <c r="A117" s="253"/>
      <c r="B117" s="254" t="s">
        <v>221</v>
      </c>
      <c r="C117" s="402"/>
      <c r="D117" s="402"/>
      <c r="E117" s="402"/>
      <c r="F117" s="402"/>
      <c r="G117" s="402"/>
      <c r="H117" s="402"/>
      <c r="I117" s="402"/>
      <c r="J117" s="402"/>
      <c r="K117" s="402"/>
    </row>
    <row r="118" spans="1:12" ht="14.25">
      <c r="A118" s="251" t="s">
        <v>222</v>
      </c>
      <c r="B118" s="252"/>
      <c r="C118" s="401">
        <f t="shared" ref="C118:K118" si="40">(SUM(C81:C82))/SUM(C95:C101)</f>
        <v>3.826529031258473</v>
      </c>
      <c r="D118" s="401">
        <f t="shared" si="40"/>
        <v>4.1700769828731916</v>
      </c>
      <c r="E118" s="401">
        <f t="shared" si="40"/>
        <v>2.248798332472739</v>
      </c>
      <c r="F118" s="401">
        <f t="shared" si="40"/>
        <v>6.2331710306786068</v>
      </c>
      <c r="G118" s="401">
        <f t="shared" si="40"/>
        <v>2.1458860574602014</v>
      </c>
      <c r="H118" s="401">
        <f t="shared" si="40"/>
        <v>14.258791555714168</v>
      </c>
      <c r="I118" s="401">
        <f t="shared" si="40"/>
        <v>5.8805671589103961</v>
      </c>
      <c r="J118" s="401">
        <f t="shared" ref="J118" si="41">(SUM(J81:J82))/SUM(J95:J101)</f>
        <v>23.099618370838268</v>
      </c>
      <c r="K118" s="401">
        <f t="shared" si="40"/>
        <v>0.28691074268120392</v>
      </c>
    </row>
    <row r="119" spans="1:12" ht="36">
      <c r="A119" s="253"/>
      <c r="B119" s="254" t="s">
        <v>223</v>
      </c>
      <c r="C119" s="402"/>
      <c r="D119" s="402"/>
      <c r="E119" s="402"/>
      <c r="F119" s="402"/>
      <c r="G119" s="402"/>
      <c r="H119" s="402"/>
      <c r="I119" s="402"/>
      <c r="J119" s="402"/>
      <c r="K119" s="402"/>
    </row>
    <row r="120" spans="1:12" s="256" customFormat="1" ht="8.1" customHeight="1">
      <c r="A120" s="263"/>
      <c r="B120" s="264"/>
      <c r="C120" s="265"/>
      <c r="D120" s="265"/>
      <c r="E120" s="265"/>
      <c r="F120" s="265"/>
      <c r="G120" s="265"/>
      <c r="H120" s="265"/>
      <c r="I120" s="265"/>
      <c r="J120" s="265"/>
      <c r="K120" s="266"/>
    </row>
    <row r="121" spans="1:12" ht="13.5" customHeight="1">
      <c r="A121" s="259" t="s">
        <v>133</v>
      </c>
      <c r="B121" s="260"/>
      <c r="C121" s="399">
        <f t="shared" ref="C121:K121" si="42">C103/C93</f>
        <v>4.0955214504462843E-2</v>
      </c>
      <c r="D121" s="399">
        <f t="shared" si="42"/>
        <v>6.4726616001159892E-2</v>
      </c>
      <c r="E121" s="399">
        <f t="shared" si="42"/>
        <v>3.7161571915093769E-2</v>
      </c>
      <c r="F121" s="399">
        <f t="shared" si="42"/>
        <v>3.4191745736073115E-2</v>
      </c>
      <c r="G121" s="399">
        <f t="shared" si="42"/>
        <v>0.16092977313879839</v>
      </c>
      <c r="H121" s="399">
        <f t="shared" si="42"/>
        <v>1.6720954187330505E-2</v>
      </c>
      <c r="I121" s="399">
        <f t="shared" si="42"/>
        <v>3.218199289031104E-2</v>
      </c>
      <c r="J121" s="399">
        <f t="shared" ref="J121" si="43">J103/J93</f>
        <v>5.9145760558907585E-3</v>
      </c>
      <c r="K121" s="399">
        <f t="shared" si="42"/>
        <v>0.40213132378492128</v>
      </c>
    </row>
    <row r="122" spans="1:12" ht="25.5">
      <c r="A122" s="257"/>
      <c r="B122" s="261" t="s">
        <v>134</v>
      </c>
      <c r="C122" s="399"/>
      <c r="D122" s="399"/>
      <c r="E122" s="399"/>
      <c r="F122" s="399"/>
      <c r="G122" s="399"/>
      <c r="H122" s="399"/>
      <c r="I122" s="399"/>
      <c r="J122" s="399"/>
      <c r="K122" s="399"/>
    </row>
    <row r="123" spans="1:12" ht="13.5" customHeight="1">
      <c r="A123" s="259" t="s">
        <v>135</v>
      </c>
      <c r="B123" s="262"/>
      <c r="C123" s="399">
        <f t="shared" ref="C123:K123" si="44">C110/C93</f>
        <v>0.95904478549553718</v>
      </c>
      <c r="D123" s="399">
        <f t="shared" si="44"/>
        <v>0.93527338399884008</v>
      </c>
      <c r="E123" s="399">
        <f t="shared" si="44"/>
        <v>0.96283806527498683</v>
      </c>
      <c r="F123" s="399">
        <f t="shared" si="44"/>
        <v>0.96580825426392691</v>
      </c>
      <c r="G123" s="399">
        <f t="shared" si="44"/>
        <v>0.83907072172672437</v>
      </c>
      <c r="H123" s="399">
        <f t="shared" si="44"/>
        <v>0.98327904581266945</v>
      </c>
      <c r="I123" s="399">
        <f t="shared" si="44"/>
        <v>0.96781895380595562</v>
      </c>
      <c r="J123" s="399">
        <f t="shared" ref="J123" si="45">J110/J93</f>
        <v>0.99408542394410926</v>
      </c>
      <c r="K123" s="399">
        <f t="shared" si="44"/>
        <v>0.59786867621507878</v>
      </c>
    </row>
    <row r="124" spans="1:12" ht="24">
      <c r="A124" s="257"/>
      <c r="B124" s="258" t="s">
        <v>136</v>
      </c>
      <c r="C124" s="399"/>
      <c r="D124" s="399"/>
      <c r="E124" s="399"/>
      <c r="F124" s="399"/>
      <c r="G124" s="399"/>
      <c r="H124" s="399"/>
      <c r="I124" s="399"/>
      <c r="J124" s="399"/>
      <c r="K124" s="399"/>
    </row>
    <row r="125" spans="1:12" ht="13.5" customHeight="1">
      <c r="A125" s="397" t="s">
        <v>137</v>
      </c>
      <c r="B125" s="398"/>
      <c r="C125" s="399">
        <f t="shared" ref="C125:K125" si="46">C103/C110</f>
        <v>4.2704173072899136E-2</v>
      </c>
      <c r="D125" s="399">
        <f t="shared" si="46"/>
        <v>6.9206092152880261E-2</v>
      </c>
      <c r="E125" s="399">
        <f t="shared" si="46"/>
        <v>3.8595869082596372E-2</v>
      </c>
      <c r="F125" s="399">
        <f t="shared" si="46"/>
        <v>3.540220906698683E-2</v>
      </c>
      <c r="G125" s="399">
        <f t="shared" si="46"/>
        <v>0.1917952432038397</v>
      </c>
      <c r="H125" s="399">
        <f t="shared" si="46"/>
        <v>1.7005299013069904E-2</v>
      </c>
      <c r="I125" s="399">
        <f t="shared" si="46"/>
        <v>3.3252079599965567E-2</v>
      </c>
      <c r="J125" s="399">
        <f t="shared" ref="J125" si="47">J103/J110</f>
        <v>5.9497664017889229E-3</v>
      </c>
      <c r="K125" s="399">
        <f t="shared" si="46"/>
        <v>0.67260811576664292</v>
      </c>
    </row>
    <row r="126" spans="1:12" ht="13.5" customHeight="1">
      <c r="A126" s="257"/>
      <c r="B126" s="258" t="s">
        <v>138</v>
      </c>
      <c r="C126" s="399"/>
      <c r="D126" s="399"/>
      <c r="E126" s="399"/>
      <c r="F126" s="399"/>
      <c r="G126" s="399"/>
      <c r="H126" s="399"/>
      <c r="I126" s="399"/>
      <c r="J126" s="399"/>
      <c r="K126" s="399"/>
    </row>
    <row r="127" spans="1:12" s="256" customFormat="1" ht="8.1" customHeight="1">
      <c r="A127" s="267"/>
      <c r="B127" s="268"/>
      <c r="C127" s="268"/>
      <c r="D127" s="268"/>
      <c r="E127" s="268"/>
      <c r="F127" s="268"/>
      <c r="G127" s="268"/>
      <c r="H127" s="268"/>
      <c r="I127" s="268"/>
      <c r="J127" s="268"/>
      <c r="K127" s="274"/>
    </row>
    <row r="128" spans="1:12">
      <c r="A128" s="277" t="s">
        <v>139</v>
      </c>
      <c r="B128" s="278"/>
      <c r="C128" s="93">
        <v>1</v>
      </c>
      <c r="D128" s="93">
        <v>3</v>
      </c>
      <c r="E128" s="93">
        <v>3</v>
      </c>
      <c r="F128" s="93">
        <v>1</v>
      </c>
      <c r="G128" s="93">
        <v>2</v>
      </c>
      <c r="H128" s="93">
        <v>1</v>
      </c>
      <c r="I128" s="93">
        <v>3</v>
      </c>
      <c r="J128" s="93">
        <v>2</v>
      </c>
      <c r="K128" s="94">
        <v>2</v>
      </c>
      <c r="L128" s="145">
        <f>AVERAGE(C128:K128)</f>
        <v>2</v>
      </c>
    </row>
    <row r="129" spans="1:12" s="256" customFormat="1" ht="8.1" customHeight="1">
      <c r="A129" s="273"/>
      <c r="B129" s="268"/>
      <c r="C129" s="268"/>
      <c r="D129" s="268"/>
      <c r="E129" s="268"/>
      <c r="F129" s="268"/>
      <c r="G129" s="268"/>
      <c r="H129" s="268"/>
      <c r="I129" s="268"/>
      <c r="J129" s="268"/>
      <c r="K129" s="274"/>
    </row>
    <row r="130" spans="1:12">
      <c r="A130" s="283" t="s">
        <v>140</v>
      </c>
      <c r="B130" s="283"/>
      <c r="C130" s="288">
        <v>10378</v>
      </c>
      <c r="D130" s="288">
        <v>13081</v>
      </c>
      <c r="E130" s="288">
        <v>9679</v>
      </c>
      <c r="F130" s="176">
        <v>11910</v>
      </c>
      <c r="G130" s="288">
        <v>9200</v>
      </c>
      <c r="H130" s="288">
        <v>20340</v>
      </c>
      <c r="I130" s="288">
        <v>18752</v>
      </c>
      <c r="J130" s="288">
        <v>9129</v>
      </c>
      <c r="K130" s="114">
        <v>4739</v>
      </c>
      <c r="L130" s="148">
        <f>AVERAGE(C130:K130)</f>
        <v>11912</v>
      </c>
    </row>
    <row r="131" spans="1:12">
      <c r="A131" s="275" t="s">
        <v>143</v>
      </c>
      <c r="B131" s="275"/>
      <c r="C131" s="288">
        <v>2750</v>
      </c>
      <c r="D131" s="288">
        <v>6708</v>
      </c>
      <c r="E131" s="288">
        <v>7400</v>
      </c>
      <c r="F131" s="176">
        <v>840</v>
      </c>
      <c r="G131" s="288">
        <v>2023</v>
      </c>
      <c r="H131" s="288">
        <v>4520</v>
      </c>
      <c r="I131" s="93">
        <v>484</v>
      </c>
      <c r="J131" s="93">
        <v>2182</v>
      </c>
      <c r="K131" s="114">
        <v>483</v>
      </c>
      <c r="L131" s="148">
        <f>AVERAGE(C131:K131)</f>
        <v>3043.3333333333335</v>
      </c>
    </row>
    <row r="132" spans="1:12">
      <c r="A132" s="275" t="s">
        <v>144</v>
      </c>
      <c r="B132" s="275"/>
      <c r="C132" s="288">
        <v>13128</v>
      </c>
      <c r="D132" s="288">
        <v>19789</v>
      </c>
      <c r="E132" s="288">
        <v>17079</v>
      </c>
      <c r="F132" s="176">
        <v>12750</v>
      </c>
      <c r="G132" s="288">
        <v>11223</v>
      </c>
      <c r="H132" s="288">
        <v>24860</v>
      </c>
      <c r="I132" s="288">
        <v>19236</v>
      </c>
      <c r="J132" s="288">
        <v>11311</v>
      </c>
      <c r="K132" s="114">
        <v>5222</v>
      </c>
      <c r="L132" s="148">
        <f>AVERAGE(C132:K132)</f>
        <v>14955.333333333334</v>
      </c>
    </row>
    <row r="133" spans="1:12">
      <c r="F133" s="147"/>
      <c r="L133" s="87"/>
    </row>
    <row r="134" spans="1:12">
      <c r="L134" s="87"/>
    </row>
    <row r="135" spans="1:12">
      <c r="A135" s="240" t="s">
        <v>169</v>
      </c>
      <c r="B135" s="169" t="s">
        <v>228</v>
      </c>
    </row>
    <row r="136" spans="1:12">
      <c r="A136" s="240"/>
      <c r="B136" s="169" t="s">
        <v>170</v>
      </c>
    </row>
  </sheetData>
  <mergeCells count="67">
    <mergeCell ref="J125:J126"/>
    <mergeCell ref="K125:K126"/>
    <mergeCell ref="E125:E126"/>
    <mergeCell ref="F125:F126"/>
    <mergeCell ref="G125:G126"/>
    <mergeCell ref="H125:H126"/>
    <mergeCell ref="I125:I126"/>
    <mergeCell ref="J123:J124"/>
    <mergeCell ref="K123:K124"/>
    <mergeCell ref="E123:E124"/>
    <mergeCell ref="F123:F124"/>
    <mergeCell ref="G123:G124"/>
    <mergeCell ref="H123:H124"/>
    <mergeCell ref="I123:I124"/>
    <mergeCell ref="J121:J122"/>
    <mergeCell ref="K121:K122"/>
    <mergeCell ref="E121:E122"/>
    <mergeCell ref="F121:F122"/>
    <mergeCell ref="G121:G122"/>
    <mergeCell ref="H121:H122"/>
    <mergeCell ref="I121:I122"/>
    <mergeCell ref="J118:J119"/>
    <mergeCell ref="K118:K119"/>
    <mergeCell ref="E118:E119"/>
    <mergeCell ref="F118:F119"/>
    <mergeCell ref="G118:G119"/>
    <mergeCell ref="H118:H119"/>
    <mergeCell ref="I118:I119"/>
    <mergeCell ref="J116:J117"/>
    <mergeCell ref="K116:K117"/>
    <mergeCell ref="E116:E117"/>
    <mergeCell ref="F116:F117"/>
    <mergeCell ref="G116:G117"/>
    <mergeCell ref="H116:H117"/>
    <mergeCell ref="I116:I117"/>
    <mergeCell ref="J114:J115"/>
    <mergeCell ref="K114:K115"/>
    <mergeCell ref="E114:E115"/>
    <mergeCell ref="F114:F115"/>
    <mergeCell ref="G114:G115"/>
    <mergeCell ref="H114:H115"/>
    <mergeCell ref="I114:I115"/>
    <mergeCell ref="A75:B76"/>
    <mergeCell ref="A114:B114"/>
    <mergeCell ref="A125:B125"/>
    <mergeCell ref="C114:C115"/>
    <mergeCell ref="D114:D115"/>
    <mergeCell ref="C116:C117"/>
    <mergeCell ref="D116:D117"/>
    <mergeCell ref="C118:C119"/>
    <mergeCell ref="D118:D119"/>
    <mergeCell ref="C121:C122"/>
    <mergeCell ref="D121:D122"/>
    <mergeCell ref="C123:C124"/>
    <mergeCell ref="D123:D124"/>
    <mergeCell ref="C125:C126"/>
    <mergeCell ref="D125:D126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14:I115 K114:K115">
    <cfRule type="cellIs" dxfId="31" priority="6" operator="lessThan">
      <formula>0</formula>
    </cfRule>
  </conditionalFormatting>
  <conditionalFormatting sqref="C63:I63 K63">
    <cfRule type="cellIs" dxfId="30" priority="5" operator="lessThan">
      <formula>0</formula>
    </cfRule>
  </conditionalFormatting>
  <conditionalFormatting sqref="J63">
    <cfRule type="cellIs" dxfId="29" priority="2" operator="lessThan">
      <formula>0</formula>
    </cfRule>
  </conditionalFormatting>
  <conditionalFormatting sqref="J114:J115">
    <cfRule type="cellIs" dxfId="28" priority="1" operator="lessThan">
      <formula>0</formula>
    </cfRule>
  </conditionalFormatting>
  <printOptions horizontalCentered="1"/>
  <pageMargins left="0.5" right="0.5" top="0.75" bottom="0.35" header="0.5" footer="0.15"/>
  <pageSetup scale="70" orientation="portrait" r:id="rId1"/>
  <headerFooter alignWithMargins="0">
    <oddHeader>&amp;C&amp;"Arial,Bold"&amp;14CLASS II FAIRS</oddHeader>
    <oddFooter>&amp;CFairs and Expositions</oddFooter>
  </headerFooter>
  <rowBreaks count="1" manualBreakCount="1">
    <brk id="74" max="16383" man="1"/>
  </rowBreaks>
  <colBreaks count="1" manualBreakCount="1">
    <brk id="7" max="1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6"/>
  <sheetViews>
    <sheetView view="pageBreakPreview" zoomScaleNormal="90" zoomScaleSheetLayoutView="100" workbookViewId="0">
      <pane xSplit="2" ySplit="3" topLeftCell="D4" activePane="bottomRight" state="frozen"/>
      <selection activeCell="B13" sqref="B13"/>
      <selection pane="topRight" activeCell="B13" sqref="B13"/>
      <selection pane="bottomLeft" activeCell="B13" sqref="B13"/>
      <selection pane="bottomRight" activeCell="G129" sqref="G129"/>
    </sheetView>
  </sheetViews>
  <sheetFormatPr defaultRowHeight="12.75"/>
  <cols>
    <col min="1" max="1" width="4.7109375" style="20" customWidth="1"/>
    <col min="2" max="2" width="50.7109375" style="20" customWidth="1"/>
    <col min="3" max="3" width="13" style="87" customWidth="1"/>
    <col min="4" max="13" width="12.7109375" style="20" customWidth="1"/>
    <col min="14" max="14" width="12.7109375" style="87" customWidth="1"/>
    <col min="15" max="16" width="12.7109375" style="20" customWidth="1"/>
    <col min="17" max="17" width="14.140625" style="20" customWidth="1"/>
    <col min="18" max="19" width="11.7109375" style="20" customWidth="1"/>
    <col min="20" max="16384" width="9.140625" style="20"/>
  </cols>
  <sheetData>
    <row r="1" spans="1:18" ht="12" customHeight="1">
      <c r="A1" s="383"/>
      <c r="B1" s="384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59"/>
      <c r="O1" s="310"/>
      <c r="P1" s="311"/>
    </row>
    <row r="2" spans="1:18" ht="12" customHeight="1">
      <c r="A2" s="385"/>
      <c r="B2" s="386"/>
      <c r="C2" s="387" t="s">
        <v>156</v>
      </c>
      <c r="D2" s="387" t="s">
        <v>157</v>
      </c>
      <c r="E2" s="387" t="s">
        <v>158</v>
      </c>
      <c r="F2" s="387" t="s">
        <v>159</v>
      </c>
      <c r="G2" s="387" t="s">
        <v>235</v>
      </c>
      <c r="H2" s="387" t="s">
        <v>160</v>
      </c>
      <c r="I2" s="387" t="s">
        <v>161</v>
      </c>
      <c r="J2" s="387" t="s">
        <v>162</v>
      </c>
      <c r="K2" s="387" t="s">
        <v>163</v>
      </c>
      <c r="L2" s="387" t="s">
        <v>164</v>
      </c>
      <c r="M2" s="387" t="s">
        <v>165</v>
      </c>
      <c r="N2" s="387" t="s">
        <v>231</v>
      </c>
      <c r="O2" s="387" t="s">
        <v>166</v>
      </c>
      <c r="P2" s="389" t="s">
        <v>167</v>
      </c>
    </row>
    <row r="3" spans="1:18" ht="69" customHeight="1">
      <c r="A3" s="385"/>
      <c r="B3" s="386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9"/>
      <c r="R3" s="20" t="s">
        <v>44</v>
      </c>
    </row>
    <row r="4" spans="1:18" ht="13.5" customHeight="1">
      <c r="A4" s="22" t="s">
        <v>45</v>
      </c>
      <c r="B4" s="23"/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64"/>
      <c r="P4" s="67"/>
    </row>
    <row r="5" spans="1:18" ht="13.5" customHeight="1">
      <c r="A5" s="22"/>
      <c r="B5" s="23" t="s">
        <v>46</v>
      </c>
      <c r="C5" s="25">
        <v>-76249</v>
      </c>
      <c r="D5" s="25">
        <v>482158</v>
      </c>
      <c r="E5" s="54">
        <v>616166</v>
      </c>
      <c r="F5" s="25">
        <v>262582</v>
      </c>
      <c r="G5" s="25">
        <v>176737</v>
      </c>
      <c r="H5" s="25">
        <v>53504</v>
      </c>
      <c r="I5" s="25">
        <v>271705</v>
      </c>
      <c r="J5" s="25">
        <v>120823</v>
      </c>
      <c r="K5" s="25">
        <v>-39516</v>
      </c>
      <c r="L5" s="25">
        <v>202977</v>
      </c>
      <c r="M5" s="25">
        <v>1950874</v>
      </c>
      <c r="N5" s="26">
        <v>1582695</v>
      </c>
      <c r="O5" s="25">
        <v>30902</v>
      </c>
      <c r="P5" s="149">
        <v>360844</v>
      </c>
    </row>
    <row r="6" spans="1:18" ht="13.5" customHeight="1">
      <c r="A6" s="22"/>
      <c r="B6" s="31" t="s">
        <v>47</v>
      </c>
      <c r="C6" s="28">
        <v>0</v>
      </c>
      <c r="D6" s="54">
        <v>0</v>
      </c>
      <c r="E6" s="54">
        <v>0</v>
      </c>
      <c r="F6" s="54">
        <v>0</v>
      </c>
      <c r="G6" s="54">
        <v>0</v>
      </c>
      <c r="H6" s="54"/>
      <c r="I6" s="54"/>
      <c r="J6" s="54">
        <v>0</v>
      </c>
      <c r="K6" s="54">
        <v>0</v>
      </c>
      <c r="L6" s="54">
        <v>0</v>
      </c>
      <c r="M6" s="54">
        <v>0</v>
      </c>
      <c r="N6" s="29"/>
      <c r="O6" s="54">
        <v>0</v>
      </c>
      <c r="P6" s="32">
        <v>0</v>
      </c>
    </row>
    <row r="7" spans="1:18" ht="13.5" customHeight="1">
      <c r="A7" s="22"/>
      <c r="B7" s="23" t="s">
        <v>48</v>
      </c>
      <c r="C7" s="28">
        <v>1660778</v>
      </c>
      <c r="D7" s="54">
        <v>744000</v>
      </c>
      <c r="E7" s="54">
        <v>1231031</v>
      </c>
      <c r="F7" s="29">
        <v>932112</v>
      </c>
      <c r="G7" s="29">
        <v>1911972</v>
      </c>
      <c r="H7" s="54">
        <v>736132</v>
      </c>
      <c r="I7" s="54">
        <v>943750</v>
      </c>
      <c r="J7" s="54">
        <v>1008522</v>
      </c>
      <c r="K7" s="54">
        <v>1382459</v>
      </c>
      <c r="L7" s="54">
        <v>832074</v>
      </c>
      <c r="M7" s="54">
        <v>1257283</v>
      </c>
      <c r="N7" s="29">
        <v>531457</v>
      </c>
      <c r="O7" s="28">
        <v>696188</v>
      </c>
      <c r="P7" s="32">
        <v>1704333</v>
      </c>
    </row>
    <row r="8" spans="1:18" ht="13.5" customHeight="1">
      <c r="A8" s="22"/>
      <c r="B8" s="23" t="s">
        <v>49</v>
      </c>
      <c r="C8" s="119">
        <v>-31020</v>
      </c>
      <c r="D8" s="150">
        <v>0</v>
      </c>
      <c r="E8" s="150">
        <v>232</v>
      </c>
      <c r="F8" s="118">
        <v>0</v>
      </c>
      <c r="G8" s="118">
        <v>7478</v>
      </c>
      <c r="H8" s="150">
        <v>-21400</v>
      </c>
      <c r="I8" s="150">
        <v>0</v>
      </c>
      <c r="J8" s="150">
        <v>0</v>
      </c>
      <c r="K8" s="150">
        <v>52393</v>
      </c>
      <c r="L8" s="150">
        <v>0</v>
      </c>
      <c r="M8" s="150">
        <v>0</v>
      </c>
      <c r="N8" s="118"/>
      <c r="O8" s="119">
        <v>0</v>
      </c>
      <c r="P8" s="151">
        <v>0</v>
      </c>
      <c r="R8" s="36">
        <f>SUM(C8:M8)</f>
        <v>7683</v>
      </c>
    </row>
    <row r="9" spans="1:18" s="40" customFormat="1" ht="13.5" customHeight="1" thickBot="1">
      <c r="A9" s="56"/>
      <c r="B9" s="153" t="s">
        <v>50</v>
      </c>
      <c r="C9" s="109">
        <f>SUM(C5:C8)</f>
        <v>1553509</v>
      </c>
      <c r="D9" s="109">
        <f t="shared" ref="D9:P9" si="0">SUM(D5:D8)</f>
        <v>1226158</v>
      </c>
      <c r="E9" s="109">
        <f t="shared" si="0"/>
        <v>1847429</v>
      </c>
      <c r="F9" s="109">
        <f t="shared" si="0"/>
        <v>1194694</v>
      </c>
      <c r="G9" s="109">
        <f t="shared" si="0"/>
        <v>2096187</v>
      </c>
      <c r="H9" s="109">
        <f t="shared" si="0"/>
        <v>768236</v>
      </c>
      <c r="I9" s="109">
        <f t="shared" si="0"/>
        <v>1215455</v>
      </c>
      <c r="J9" s="109">
        <f t="shared" si="0"/>
        <v>1129345</v>
      </c>
      <c r="K9" s="109">
        <f t="shared" si="0"/>
        <v>1395336</v>
      </c>
      <c r="L9" s="109">
        <f t="shared" si="0"/>
        <v>1035051</v>
      </c>
      <c r="M9" s="109">
        <f t="shared" si="0"/>
        <v>3208157</v>
      </c>
      <c r="N9" s="109">
        <f t="shared" ref="N9" si="1">SUM(N5:N8)</f>
        <v>2114152</v>
      </c>
      <c r="O9" s="109">
        <f t="shared" si="0"/>
        <v>727090</v>
      </c>
      <c r="P9" s="110">
        <f t="shared" si="0"/>
        <v>2065177</v>
      </c>
      <c r="R9" s="36">
        <f>SUM(C9:M9)</f>
        <v>16669557</v>
      </c>
    </row>
    <row r="10" spans="1:18" s="40" customFormat="1" ht="13.5" customHeight="1">
      <c r="A10" s="62" t="s">
        <v>51</v>
      </c>
      <c r="B10" s="63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1"/>
    </row>
    <row r="11" spans="1:18" s="40" customFormat="1" ht="13.5" customHeight="1">
      <c r="A11" s="41"/>
      <c r="B11" s="42" t="s">
        <v>52</v>
      </c>
      <c r="C11" s="43">
        <v>33000</v>
      </c>
      <c r="D11" s="43">
        <v>33000</v>
      </c>
      <c r="E11" s="43">
        <v>33000</v>
      </c>
      <c r="F11" s="43">
        <v>33000</v>
      </c>
      <c r="G11" s="43">
        <v>0</v>
      </c>
      <c r="H11" s="43">
        <v>33000</v>
      </c>
      <c r="I11" s="43">
        <v>33000</v>
      </c>
      <c r="J11" s="43">
        <v>33000</v>
      </c>
      <c r="K11" s="43">
        <v>0</v>
      </c>
      <c r="L11" s="43">
        <v>33000</v>
      </c>
      <c r="M11" s="43">
        <v>33000</v>
      </c>
      <c r="N11" s="43">
        <v>33000</v>
      </c>
      <c r="O11" s="43">
        <v>33000</v>
      </c>
      <c r="P11" s="44">
        <v>33000</v>
      </c>
      <c r="R11" s="36">
        <f>SUM(C11:M11)</f>
        <v>297000</v>
      </c>
    </row>
    <row r="12" spans="1:18" s="40" customFormat="1" ht="13.5" customHeight="1">
      <c r="A12" s="41"/>
      <c r="B12" s="42" t="s">
        <v>53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49106</v>
      </c>
      <c r="K12" s="43">
        <v>0</v>
      </c>
      <c r="L12" s="43">
        <v>19026</v>
      </c>
      <c r="M12" s="43">
        <v>0</v>
      </c>
      <c r="N12" s="43">
        <v>0</v>
      </c>
      <c r="O12" s="43">
        <v>0</v>
      </c>
      <c r="P12" s="44">
        <v>0</v>
      </c>
      <c r="R12" s="36">
        <f>SUM(C12:M12)</f>
        <v>68132</v>
      </c>
    </row>
    <row r="13" spans="1:18" s="40" customFormat="1" ht="13.5" customHeight="1" thickBot="1">
      <c r="A13" s="292"/>
      <c r="B13" s="57" t="s">
        <v>54</v>
      </c>
      <c r="C13" s="58">
        <v>35263</v>
      </c>
      <c r="D13" s="58">
        <v>0</v>
      </c>
      <c r="E13" s="58">
        <v>0</v>
      </c>
      <c r="F13" s="58">
        <v>0</v>
      </c>
      <c r="G13" s="58">
        <v>21296</v>
      </c>
      <c r="H13" s="58">
        <v>0</v>
      </c>
      <c r="I13" s="58">
        <v>0</v>
      </c>
      <c r="J13" s="58">
        <f>104000+350</f>
        <v>104350</v>
      </c>
      <c r="K13" s="58">
        <v>0</v>
      </c>
      <c r="L13" s="58">
        <f>83129+20000</f>
        <v>103129</v>
      </c>
      <c r="M13" s="58">
        <v>104853</v>
      </c>
      <c r="N13" s="58">
        <v>0</v>
      </c>
      <c r="O13" s="58">
        <v>0</v>
      </c>
      <c r="P13" s="152">
        <v>0</v>
      </c>
      <c r="R13" s="36">
        <f>SUM(C13:M13)</f>
        <v>368891</v>
      </c>
    </row>
    <row r="14" spans="1:18" ht="13.5" customHeight="1">
      <c r="A14" s="45" t="s">
        <v>55</v>
      </c>
      <c r="B14" s="46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47"/>
      <c r="P14" s="50"/>
    </row>
    <row r="15" spans="1:18" ht="13.5" customHeight="1">
      <c r="A15" s="51"/>
      <c r="B15" s="52" t="s">
        <v>56</v>
      </c>
      <c r="C15" s="33">
        <v>72423</v>
      </c>
      <c r="D15" s="53">
        <v>95418</v>
      </c>
      <c r="E15" s="53">
        <v>133409</v>
      </c>
      <c r="F15" s="53">
        <v>172218</v>
      </c>
      <c r="G15" s="53">
        <v>121093</v>
      </c>
      <c r="H15" s="53">
        <v>110180</v>
      </c>
      <c r="I15" s="53">
        <v>89726</v>
      </c>
      <c r="J15" s="53">
        <v>154765</v>
      </c>
      <c r="K15" s="53">
        <v>107016</v>
      </c>
      <c r="L15" s="53">
        <v>219232</v>
      </c>
      <c r="M15" s="53">
        <v>0</v>
      </c>
      <c r="N15" s="34">
        <v>71918</v>
      </c>
      <c r="O15" s="33">
        <v>237565</v>
      </c>
      <c r="P15" s="30">
        <v>239706</v>
      </c>
    </row>
    <row r="16" spans="1:18" ht="13.5" customHeight="1">
      <c r="A16" s="51"/>
      <c r="B16" s="52" t="s">
        <v>57</v>
      </c>
      <c r="C16" s="33">
        <v>10156</v>
      </c>
      <c r="D16" s="53">
        <v>42602</v>
      </c>
      <c r="E16" s="53">
        <v>16395</v>
      </c>
      <c r="F16" s="53">
        <v>25160</v>
      </c>
      <c r="G16" s="53">
        <v>16075</v>
      </c>
      <c r="H16" s="53">
        <v>27720</v>
      </c>
      <c r="I16" s="53">
        <v>19690</v>
      </c>
      <c r="J16" s="53">
        <v>32335</v>
      </c>
      <c r="K16" s="53">
        <v>16181</v>
      </c>
      <c r="L16" s="53">
        <v>58148</v>
      </c>
      <c r="M16" s="53">
        <v>85440</v>
      </c>
      <c r="N16" s="34">
        <v>9550</v>
      </c>
      <c r="O16" s="33">
        <v>35461</v>
      </c>
      <c r="P16" s="30">
        <v>57850</v>
      </c>
    </row>
    <row r="17" spans="1:20" ht="13.5" customHeight="1">
      <c r="A17" s="51"/>
      <c r="B17" s="52" t="s">
        <v>58</v>
      </c>
      <c r="C17" s="33">
        <v>0</v>
      </c>
      <c r="D17" s="53">
        <v>85094</v>
      </c>
      <c r="E17" s="53">
        <v>63382</v>
      </c>
      <c r="F17" s="53">
        <v>101284</v>
      </c>
      <c r="G17" s="53">
        <v>0</v>
      </c>
      <c r="H17" s="53">
        <v>62631</v>
      </c>
      <c r="I17" s="53">
        <v>79637</v>
      </c>
      <c r="J17" s="53">
        <v>0</v>
      </c>
      <c r="K17" s="53">
        <v>66440</v>
      </c>
      <c r="L17" s="53">
        <v>0</v>
      </c>
      <c r="M17" s="53">
        <v>227460</v>
      </c>
      <c r="N17" s="34">
        <v>32611</v>
      </c>
      <c r="O17" s="33">
        <v>140071</v>
      </c>
      <c r="P17" s="30">
        <v>136924</v>
      </c>
    </row>
    <row r="18" spans="1:20" ht="13.5" customHeight="1">
      <c r="A18" s="51"/>
      <c r="B18" s="52" t="s">
        <v>59</v>
      </c>
      <c r="C18" s="33">
        <v>59974</v>
      </c>
      <c r="D18" s="53">
        <v>92972</v>
      </c>
      <c r="E18" s="53">
        <v>57658</v>
      </c>
      <c r="F18" s="53">
        <v>51596</v>
      </c>
      <c r="G18" s="53">
        <v>112186</v>
      </c>
      <c r="H18" s="53">
        <v>49609</v>
      </c>
      <c r="I18" s="53">
        <v>27430</v>
      </c>
      <c r="J18" s="53">
        <v>123960.96000000001</v>
      </c>
      <c r="K18" s="53">
        <v>43915</v>
      </c>
      <c r="L18" s="53">
        <v>101453</v>
      </c>
      <c r="M18" s="53">
        <v>211069</v>
      </c>
      <c r="N18" s="34">
        <v>22509</v>
      </c>
      <c r="O18" s="33">
        <v>102361</v>
      </c>
      <c r="P18" s="30">
        <v>158706</v>
      </c>
    </row>
    <row r="19" spans="1:20" ht="13.5" customHeight="1">
      <c r="A19" s="51"/>
      <c r="B19" s="52" t="s">
        <v>60</v>
      </c>
      <c r="C19" s="33">
        <v>2813</v>
      </c>
      <c r="D19" s="53">
        <v>12231</v>
      </c>
      <c r="E19" s="53">
        <v>0</v>
      </c>
      <c r="F19" s="53">
        <v>12839</v>
      </c>
      <c r="G19" s="53">
        <v>3918</v>
      </c>
      <c r="H19" s="53">
        <v>14640</v>
      </c>
      <c r="I19" s="53">
        <v>11822</v>
      </c>
      <c r="J19" s="53">
        <v>40588.800000000003</v>
      </c>
      <c r="K19" s="53">
        <v>14832</v>
      </c>
      <c r="L19" s="53">
        <v>26725</v>
      </c>
      <c r="M19" s="53">
        <v>16339</v>
      </c>
      <c r="N19" s="34">
        <v>7862</v>
      </c>
      <c r="O19" s="33">
        <v>71478</v>
      </c>
      <c r="P19" s="30">
        <v>2729</v>
      </c>
    </row>
    <row r="20" spans="1:20" ht="13.5" customHeight="1">
      <c r="A20" s="51"/>
      <c r="B20" s="52" t="s">
        <v>61</v>
      </c>
      <c r="C20" s="33">
        <v>0</v>
      </c>
      <c r="D20" s="53">
        <v>3250</v>
      </c>
      <c r="E20" s="53">
        <v>0</v>
      </c>
      <c r="F20" s="53">
        <v>0</v>
      </c>
      <c r="G20" s="53">
        <v>11033</v>
      </c>
      <c r="H20" s="53">
        <v>0</v>
      </c>
      <c r="I20" s="53">
        <v>0</v>
      </c>
      <c r="J20" s="53">
        <v>25769.16</v>
      </c>
      <c r="K20" s="53">
        <v>2866</v>
      </c>
      <c r="L20" s="53">
        <v>75</v>
      </c>
      <c r="M20" s="53">
        <v>850</v>
      </c>
      <c r="N20" s="34">
        <v>0</v>
      </c>
      <c r="O20" s="33">
        <v>0</v>
      </c>
      <c r="P20" s="30">
        <v>0</v>
      </c>
    </row>
    <row r="21" spans="1:20" ht="13.5" customHeight="1">
      <c r="A21" s="51"/>
      <c r="B21" s="52" t="s">
        <v>62</v>
      </c>
      <c r="C21" s="28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29">
        <v>0</v>
      </c>
      <c r="O21" s="28">
        <v>0</v>
      </c>
      <c r="P21" s="55">
        <v>0</v>
      </c>
    </row>
    <row r="22" spans="1:20" ht="13.5" customHeight="1">
      <c r="A22" s="51"/>
      <c r="B22" s="52" t="s">
        <v>63</v>
      </c>
      <c r="C22" s="3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34">
        <v>0</v>
      </c>
      <c r="O22" s="33">
        <v>0</v>
      </c>
      <c r="P22" s="30">
        <v>0</v>
      </c>
    </row>
    <row r="23" spans="1:20" ht="13.5" customHeight="1">
      <c r="A23" s="51"/>
      <c r="B23" s="52" t="s">
        <v>64</v>
      </c>
      <c r="C23" s="33">
        <v>0</v>
      </c>
      <c r="D23" s="53">
        <v>60539</v>
      </c>
      <c r="E23" s="53">
        <v>3106</v>
      </c>
      <c r="F23" s="53">
        <v>44942</v>
      </c>
      <c r="G23" s="53">
        <v>56986</v>
      </c>
      <c r="H23" s="53">
        <v>16285</v>
      </c>
      <c r="I23" s="53">
        <v>872</v>
      </c>
      <c r="J23" s="53">
        <v>81430.559999999998</v>
      </c>
      <c r="K23" s="53">
        <v>3205</v>
      </c>
      <c r="L23" s="53">
        <v>0</v>
      </c>
      <c r="M23" s="53">
        <v>141870</v>
      </c>
      <c r="N23" s="34">
        <v>15182</v>
      </c>
      <c r="O23" s="33">
        <v>48366</v>
      </c>
      <c r="P23" s="30">
        <v>0</v>
      </c>
    </row>
    <row r="24" spans="1:20" ht="13.5" customHeight="1">
      <c r="A24" s="51"/>
      <c r="B24" s="52" t="s">
        <v>65</v>
      </c>
      <c r="C24" s="3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34">
        <v>0</v>
      </c>
      <c r="O24" s="33">
        <v>0</v>
      </c>
      <c r="P24" s="30">
        <v>0</v>
      </c>
    </row>
    <row r="25" spans="1:20" ht="13.5" customHeight="1">
      <c r="A25" s="51"/>
      <c r="B25" s="52" t="s">
        <v>66</v>
      </c>
      <c r="C25" s="33">
        <v>0</v>
      </c>
      <c r="D25" s="53">
        <v>0</v>
      </c>
      <c r="E25" s="53">
        <v>178112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34">
        <v>690622</v>
      </c>
      <c r="O25" s="33">
        <v>0</v>
      </c>
      <c r="P25" s="30">
        <v>0</v>
      </c>
    </row>
    <row r="26" spans="1:20" ht="13.5" customHeight="1">
      <c r="A26" s="51"/>
      <c r="B26" s="52" t="s">
        <v>67</v>
      </c>
      <c r="C26" s="33">
        <v>14483</v>
      </c>
      <c r="D26" s="53">
        <v>136327</v>
      </c>
      <c r="E26" s="53">
        <v>70135</v>
      </c>
      <c r="F26" s="53">
        <v>148736</v>
      </c>
      <c r="G26" s="53">
        <v>85252</v>
      </c>
      <c r="H26" s="53">
        <v>61694</v>
      </c>
      <c r="I26" s="53">
        <v>118872</v>
      </c>
      <c r="J26" s="53">
        <v>0</v>
      </c>
      <c r="K26" s="53">
        <v>51575</v>
      </c>
      <c r="L26" s="53">
        <v>153921</v>
      </c>
      <c r="M26" s="53">
        <v>106206</v>
      </c>
      <c r="N26" s="34">
        <v>24770</v>
      </c>
      <c r="O26" s="33">
        <v>232703</v>
      </c>
      <c r="P26" s="30">
        <v>38795</v>
      </c>
    </row>
    <row r="27" spans="1:20" ht="13.5" customHeight="1">
      <c r="A27" s="51"/>
      <c r="B27" s="52" t="s">
        <v>168</v>
      </c>
      <c r="C27" s="33">
        <v>0</v>
      </c>
      <c r="D27" s="53">
        <v>54326</v>
      </c>
      <c r="E27" s="53">
        <v>0</v>
      </c>
      <c r="F27" s="53">
        <v>0</v>
      </c>
      <c r="G27" s="53">
        <v>0</v>
      </c>
      <c r="H27" s="53">
        <v>0</v>
      </c>
      <c r="I27" s="53">
        <v>16678</v>
      </c>
      <c r="J27" s="53">
        <v>179072.46</v>
      </c>
      <c r="K27" s="53">
        <v>0</v>
      </c>
      <c r="L27" s="53">
        <v>0</v>
      </c>
      <c r="M27" s="53">
        <v>0</v>
      </c>
      <c r="N27" s="34">
        <v>37818</v>
      </c>
      <c r="O27" s="33">
        <v>0</v>
      </c>
      <c r="P27" s="30">
        <v>79065</v>
      </c>
    </row>
    <row r="28" spans="1:20" ht="13.5" customHeight="1">
      <c r="A28" s="51"/>
      <c r="B28" s="52" t="s">
        <v>69</v>
      </c>
      <c r="C28" s="33">
        <v>609137</v>
      </c>
      <c r="D28" s="53">
        <v>135674</v>
      </c>
      <c r="E28" s="53">
        <v>449281</v>
      </c>
      <c r="F28" s="53">
        <v>297155</v>
      </c>
      <c r="G28" s="53">
        <v>349116</v>
      </c>
      <c r="H28" s="53">
        <v>428461</v>
      </c>
      <c r="I28" s="53">
        <v>147779</v>
      </c>
      <c r="J28" s="53">
        <v>83395.27</v>
      </c>
      <c r="K28" s="53">
        <v>324375</v>
      </c>
      <c r="L28" s="53">
        <v>290772</v>
      </c>
      <c r="M28" s="53">
        <v>538982</v>
      </c>
      <c r="N28" s="34">
        <v>195695</v>
      </c>
      <c r="O28" s="33">
        <v>226959</v>
      </c>
      <c r="P28" s="30">
        <v>231935</v>
      </c>
      <c r="R28" s="36">
        <f>SUM(C28:M28)</f>
        <v>3654127.27</v>
      </c>
    </row>
    <row r="29" spans="1:20" ht="13.5" customHeight="1">
      <c r="A29" s="51"/>
      <c r="B29" s="52" t="s">
        <v>70</v>
      </c>
      <c r="C29" s="33">
        <v>3719</v>
      </c>
      <c r="D29" s="53">
        <v>1927</v>
      </c>
      <c r="E29" s="53">
        <v>1282</v>
      </c>
      <c r="F29" s="53">
        <v>34863</v>
      </c>
      <c r="G29" s="53">
        <v>0</v>
      </c>
      <c r="H29" s="34">
        <v>176150</v>
      </c>
      <c r="I29" s="53">
        <v>1523</v>
      </c>
      <c r="J29" s="53">
        <v>11327.99</v>
      </c>
      <c r="K29" s="53">
        <v>23341</v>
      </c>
      <c r="L29" s="53">
        <v>1279</v>
      </c>
      <c r="M29" s="53">
        <v>104404</v>
      </c>
      <c r="N29" s="34">
        <v>10</v>
      </c>
      <c r="O29" s="33">
        <v>-5824</v>
      </c>
      <c r="P29" s="30">
        <v>149</v>
      </c>
      <c r="R29" s="36">
        <f>SUM(C29:M29)</f>
        <v>359815.99</v>
      </c>
    </row>
    <row r="30" spans="1:20" ht="13.5" customHeight="1">
      <c r="A30" s="51"/>
      <c r="B30" s="52" t="s">
        <v>71</v>
      </c>
      <c r="C30" s="28">
        <f>8242+1655</f>
        <v>9897</v>
      </c>
      <c r="D30" s="54">
        <v>3370</v>
      </c>
      <c r="E30" s="54">
        <v>3542</v>
      </c>
      <c r="F30" s="54">
        <v>5200</v>
      </c>
      <c r="G30" s="54">
        <v>0</v>
      </c>
      <c r="H30" s="54">
        <v>7955</v>
      </c>
      <c r="I30" s="54">
        <v>0</v>
      </c>
      <c r="J30" s="53">
        <v>14849.4</v>
      </c>
      <c r="K30" s="54">
        <v>23917</v>
      </c>
      <c r="L30" s="54">
        <v>6572</v>
      </c>
      <c r="M30" s="54">
        <v>20437</v>
      </c>
      <c r="N30" s="29">
        <v>8785</v>
      </c>
      <c r="O30" s="28">
        <v>640</v>
      </c>
      <c r="P30" s="55">
        <v>119849</v>
      </c>
      <c r="R30" s="36">
        <f>SUM(C30:M30)</f>
        <v>95739.4</v>
      </c>
      <c r="S30" s="36">
        <f>+R30+R29+R8</f>
        <v>463238.39</v>
      </c>
      <c r="T30" s="20" t="s">
        <v>72</v>
      </c>
    </row>
    <row r="31" spans="1:20" s="40" customFormat="1" ht="13.5" customHeight="1" thickBot="1">
      <c r="A31" s="56" t="s">
        <v>73</v>
      </c>
      <c r="B31" s="57"/>
      <c r="C31" s="58">
        <f>SUM(C15:C30)</f>
        <v>782602</v>
      </c>
      <c r="D31" s="58">
        <f t="shared" ref="D31:P31" si="2">SUM(D15:D30)</f>
        <v>723730</v>
      </c>
      <c r="E31" s="58">
        <f>SUM(E15:E30)</f>
        <v>976302</v>
      </c>
      <c r="F31" s="58">
        <f t="shared" si="2"/>
        <v>893993</v>
      </c>
      <c r="G31" s="58">
        <f t="shared" si="2"/>
        <v>755659</v>
      </c>
      <c r="H31" s="58">
        <f t="shared" si="2"/>
        <v>955325</v>
      </c>
      <c r="I31" s="58">
        <f t="shared" si="2"/>
        <v>514029</v>
      </c>
      <c r="J31" s="58">
        <f t="shared" si="2"/>
        <v>747494.6</v>
      </c>
      <c r="K31" s="58">
        <f t="shared" si="2"/>
        <v>677663</v>
      </c>
      <c r="L31" s="58">
        <f t="shared" si="2"/>
        <v>858177</v>
      </c>
      <c r="M31" s="58">
        <f t="shared" si="2"/>
        <v>1453057</v>
      </c>
      <c r="N31" s="58">
        <f t="shared" si="2"/>
        <v>1117332</v>
      </c>
      <c r="O31" s="58">
        <f t="shared" si="2"/>
        <v>1089780</v>
      </c>
      <c r="P31" s="152">
        <f t="shared" si="2"/>
        <v>1065708</v>
      </c>
      <c r="Q31" s="59">
        <f>AVERAGE(C31:P31)</f>
        <v>900775.11428571423</v>
      </c>
      <c r="R31" s="59">
        <f>SUM(C31:M31)+SUM(C11:M13)</f>
        <v>10072054.6</v>
      </c>
    </row>
    <row r="32" spans="1:20" ht="13.5" customHeight="1">
      <c r="A32" s="45" t="s">
        <v>75</v>
      </c>
      <c r="B32" s="46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9"/>
      <c r="O32" s="47"/>
      <c r="P32" s="50"/>
    </row>
    <row r="33" spans="1:18" ht="13.5" customHeight="1">
      <c r="A33" s="51"/>
      <c r="B33" s="52" t="s">
        <v>76</v>
      </c>
      <c r="C33" s="33">
        <v>333996</v>
      </c>
      <c r="D33" s="53">
        <v>296514</v>
      </c>
      <c r="E33" s="53">
        <v>357437</v>
      </c>
      <c r="F33" s="53">
        <v>305369</v>
      </c>
      <c r="G33" s="53">
        <v>200180</v>
      </c>
      <c r="H33" s="53">
        <v>294097</v>
      </c>
      <c r="I33" s="53">
        <v>204361</v>
      </c>
      <c r="J33" s="53">
        <v>202532.14</v>
      </c>
      <c r="K33" s="53">
        <v>194955</v>
      </c>
      <c r="L33" s="53">
        <v>272747</v>
      </c>
      <c r="M33" s="53">
        <v>377141</v>
      </c>
      <c r="N33" s="34">
        <v>215928</v>
      </c>
      <c r="O33" s="33">
        <v>444948</v>
      </c>
      <c r="P33" s="30">
        <v>361364</v>
      </c>
      <c r="R33" s="36">
        <f>SUM(C33:M33)</f>
        <v>3039329.14</v>
      </c>
    </row>
    <row r="34" spans="1:18" ht="13.5" customHeight="1">
      <c r="A34" s="51"/>
      <c r="B34" s="52" t="s">
        <v>77</v>
      </c>
      <c r="C34" s="33">
        <v>416533</v>
      </c>
      <c r="D34" s="53">
        <v>177018</v>
      </c>
      <c r="E34" s="53">
        <v>345642</v>
      </c>
      <c r="F34" s="53">
        <v>318437</v>
      </c>
      <c r="G34" s="53">
        <v>375142</v>
      </c>
      <c r="H34" s="53">
        <v>325220</v>
      </c>
      <c r="I34" s="53">
        <v>211403</v>
      </c>
      <c r="J34" s="53">
        <v>243465.82</v>
      </c>
      <c r="K34" s="53">
        <v>283033</v>
      </c>
      <c r="L34" s="53">
        <v>278686</v>
      </c>
      <c r="M34" s="53">
        <v>443806</v>
      </c>
      <c r="N34" s="34">
        <v>154929</v>
      </c>
      <c r="O34" s="33">
        <v>321610</v>
      </c>
      <c r="P34" s="30">
        <v>220378</v>
      </c>
      <c r="R34" s="36">
        <f>SUM(C34:M34)</f>
        <v>3418385.82</v>
      </c>
    </row>
    <row r="35" spans="1:18" ht="13.5" customHeight="1">
      <c r="A35" s="51"/>
      <c r="B35" s="52" t="s">
        <v>78</v>
      </c>
      <c r="C35" s="33">
        <v>4677</v>
      </c>
      <c r="D35" s="53">
        <v>27161</v>
      </c>
      <c r="E35" s="53">
        <v>18536</v>
      </c>
      <c r="F35" s="53">
        <v>21141</v>
      </c>
      <c r="G35" s="53">
        <v>42591</v>
      </c>
      <c r="H35" s="53">
        <v>18833</v>
      </c>
      <c r="I35" s="53">
        <v>34675</v>
      </c>
      <c r="J35" s="53">
        <v>62980.04</v>
      </c>
      <c r="K35" s="53">
        <v>24738</v>
      </c>
      <c r="L35" s="53">
        <v>30965</v>
      </c>
      <c r="M35" s="53">
        <v>11618</v>
      </c>
      <c r="N35" s="34">
        <v>25327</v>
      </c>
      <c r="O35" s="33">
        <v>17445</v>
      </c>
      <c r="P35" s="30">
        <v>61922</v>
      </c>
    </row>
    <row r="36" spans="1:18" ht="13.5" customHeight="1">
      <c r="A36" s="51"/>
      <c r="B36" s="52" t="s">
        <v>79</v>
      </c>
      <c r="C36" s="33">
        <v>1179</v>
      </c>
      <c r="D36" s="53">
        <v>33263</v>
      </c>
      <c r="E36" s="53">
        <v>18157</v>
      </c>
      <c r="F36" s="53">
        <v>15279</v>
      </c>
      <c r="G36" s="53">
        <v>18815</v>
      </c>
      <c r="H36" s="53">
        <v>9545</v>
      </c>
      <c r="I36" s="53">
        <v>45090</v>
      </c>
      <c r="J36" s="53">
        <v>57601.59</v>
      </c>
      <c r="K36" s="53">
        <v>5974</v>
      </c>
      <c r="L36" s="53">
        <v>62038</v>
      </c>
      <c r="M36" s="53">
        <v>124153</v>
      </c>
      <c r="N36" s="34">
        <v>13233</v>
      </c>
      <c r="O36" s="33">
        <v>67287</v>
      </c>
      <c r="P36" s="30">
        <v>122663</v>
      </c>
    </row>
    <row r="37" spans="1:18" ht="13.5" customHeight="1">
      <c r="A37" s="51"/>
      <c r="B37" s="52" t="s">
        <v>67</v>
      </c>
      <c r="C37" s="33">
        <v>20464</v>
      </c>
      <c r="D37" s="53">
        <v>9693</v>
      </c>
      <c r="E37" s="53">
        <v>21243</v>
      </c>
      <c r="F37" s="53">
        <v>34894</v>
      </c>
      <c r="G37" s="53">
        <v>12192</v>
      </c>
      <c r="H37" s="53">
        <v>21232</v>
      </c>
      <c r="I37" s="53">
        <v>19379</v>
      </c>
      <c r="J37" s="53">
        <v>26749.33</v>
      </c>
      <c r="K37" s="53">
        <v>5500</v>
      </c>
      <c r="L37" s="53">
        <v>6816</v>
      </c>
      <c r="M37" s="53">
        <v>12568</v>
      </c>
      <c r="N37" s="34">
        <v>4959</v>
      </c>
      <c r="O37" s="33">
        <v>12476</v>
      </c>
      <c r="P37" s="30">
        <v>15734</v>
      </c>
    </row>
    <row r="38" spans="1:18" ht="13.5" customHeight="1">
      <c r="A38" s="51"/>
      <c r="B38" s="52" t="s">
        <v>80</v>
      </c>
      <c r="C38" s="33">
        <v>37726</v>
      </c>
      <c r="D38" s="53">
        <v>26768</v>
      </c>
      <c r="E38" s="53">
        <v>0</v>
      </c>
      <c r="F38" s="53">
        <v>74734</v>
      </c>
      <c r="G38" s="53">
        <v>0</v>
      </c>
      <c r="H38" s="53">
        <v>20053</v>
      </c>
      <c r="I38" s="53">
        <v>0</v>
      </c>
      <c r="J38" s="53">
        <v>0</v>
      </c>
      <c r="K38" s="53">
        <v>0</v>
      </c>
      <c r="L38" s="53"/>
      <c r="M38" s="53">
        <v>0</v>
      </c>
      <c r="N38" s="34">
        <v>40455</v>
      </c>
      <c r="O38" s="33">
        <v>0</v>
      </c>
      <c r="P38" s="30">
        <v>51926</v>
      </c>
    </row>
    <row r="39" spans="1:18" ht="13.5" customHeight="1">
      <c r="A39" s="51"/>
      <c r="B39" s="52" t="s">
        <v>81</v>
      </c>
      <c r="C39" s="33">
        <v>932</v>
      </c>
      <c r="D39" s="53">
        <v>19270</v>
      </c>
      <c r="E39" s="53">
        <v>9227</v>
      </c>
      <c r="F39" s="53">
        <v>11303</v>
      </c>
      <c r="G39" s="53">
        <v>9496</v>
      </c>
      <c r="H39" s="53">
        <v>18323</v>
      </c>
      <c r="I39" s="53">
        <v>2205</v>
      </c>
      <c r="J39" s="53">
        <v>33253.599999999999</v>
      </c>
      <c r="K39" s="53">
        <v>0</v>
      </c>
      <c r="L39" s="53">
        <v>9111</v>
      </c>
      <c r="M39" s="53">
        <v>21406</v>
      </c>
      <c r="N39" s="34">
        <v>18996</v>
      </c>
      <c r="O39" s="33">
        <v>63774</v>
      </c>
      <c r="P39" s="30">
        <v>31740</v>
      </c>
    </row>
    <row r="40" spans="1:18" ht="13.5" customHeight="1">
      <c r="A40" s="51"/>
      <c r="B40" s="52" t="s">
        <v>60</v>
      </c>
      <c r="C40" s="33">
        <v>7919</v>
      </c>
      <c r="D40" s="53">
        <v>19565</v>
      </c>
      <c r="E40" s="53">
        <v>53331</v>
      </c>
      <c r="F40" s="53">
        <v>5384</v>
      </c>
      <c r="G40" s="53">
        <v>36548</v>
      </c>
      <c r="H40" s="53">
        <v>18349</v>
      </c>
      <c r="I40" s="53">
        <v>40065</v>
      </c>
      <c r="J40" s="53">
        <v>39773.379999999997</v>
      </c>
      <c r="K40" s="53">
        <v>24128</v>
      </c>
      <c r="L40" s="53">
        <v>31355</v>
      </c>
      <c r="M40" s="53">
        <v>60501</v>
      </c>
      <c r="N40" s="34">
        <v>15896</v>
      </c>
      <c r="O40" s="33">
        <v>99954</v>
      </c>
      <c r="P40" s="30">
        <v>26648</v>
      </c>
    </row>
    <row r="41" spans="1:18" ht="13.5" customHeight="1">
      <c r="A41" s="51"/>
      <c r="B41" s="52" t="s">
        <v>61</v>
      </c>
      <c r="C41" s="33">
        <v>0</v>
      </c>
      <c r="D41" s="53">
        <v>5805</v>
      </c>
      <c r="E41" s="53">
        <v>600</v>
      </c>
      <c r="F41" s="53">
        <v>0</v>
      </c>
      <c r="G41" s="53">
        <v>7452</v>
      </c>
      <c r="H41" s="53">
        <v>0</v>
      </c>
      <c r="I41" s="53">
        <v>0</v>
      </c>
      <c r="J41" s="53">
        <v>18193.02</v>
      </c>
      <c r="K41" s="53">
        <v>0</v>
      </c>
      <c r="L41" s="53">
        <v>12997</v>
      </c>
      <c r="M41" s="53">
        <v>625</v>
      </c>
      <c r="N41" s="34">
        <v>0</v>
      </c>
      <c r="O41" s="33">
        <v>0</v>
      </c>
      <c r="P41" s="30">
        <v>0</v>
      </c>
    </row>
    <row r="42" spans="1:18" ht="13.5" customHeight="1">
      <c r="A42" s="51"/>
      <c r="B42" s="52" t="s">
        <v>62</v>
      </c>
      <c r="C42" s="3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34">
        <v>0</v>
      </c>
      <c r="O42" s="33">
        <v>0</v>
      </c>
      <c r="P42" s="30">
        <v>0</v>
      </c>
    </row>
    <row r="43" spans="1:18" ht="13.5" customHeight="1">
      <c r="A43" s="51"/>
      <c r="B43" s="52" t="s">
        <v>63</v>
      </c>
      <c r="C43" s="3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34">
        <v>0</v>
      </c>
      <c r="O43" s="33">
        <v>0</v>
      </c>
      <c r="P43" s="30">
        <v>0</v>
      </c>
    </row>
    <row r="44" spans="1:18" ht="13.5" customHeight="1">
      <c r="A44" s="51"/>
      <c r="B44" s="52" t="s">
        <v>82</v>
      </c>
      <c r="C44" s="33">
        <v>39095</v>
      </c>
      <c r="D44" s="53">
        <v>112340</v>
      </c>
      <c r="E44" s="53">
        <v>58760</v>
      </c>
      <c r="F44" s="53">
        <v>86077</v>
      </c>
      <c r="G44" s="53">
        <v>132850</v>
      </c>
      <c r="H44" s="53">
        <v>133332</v>
      </c>
      <c r="I44" s="53">
        <v>146492</v>
      </c>
      <c r="J44" s="53">
        <v>93214.41</v>
      </c>
      <c r="K44" s="53">
        <v>86861</v>
      </c>
      <c r="L44" s="53">
        <v>107406</v>
      </c>
      <c r="M44" s="53">
        <v>92062</v>
      </c>
      <c r="N44" s="34">
        <v>42385</v>
      </c>
      <c r="O44" s="33">
        <v>91326</v>
      </c>
      <c r="P44" s="30">
        <v>140833</v>
      </c>
    </row>
    <row r="45" spans="1:18" ht="13.5" customHeight="1">
      <c r="A45" s="51"/>
      <c r="B45" s="52" t="s">
        <v>65</v>
      </c>
      <c r="C45" s="3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34">
        <v>0</v>
      </c>
      <c r="O45" s="33">
        <v>0</v>
      </c>
      <c r="P45" s="30">
        <v>0</v>
      </c>
    </row>
    <row r="46" spans="1:18" ht="13.5" customHeight="1">
      <c r="A46" s="51"/>
      <c r="B46" s="52" t="s">
        <v>83</v>
      </c>
      <c r="C46" s="33">
        <v>0</v>
      </c>
      <c r="D46" s="53">
        <v>0</v>
      </c>
      <c r="E46" s="53">
        <v>29389</v>
      </c>
      <c r="F46" s="53">
        <v>0</v>
      </c>
      <c r="G46" s="53">
        <v>27720</v>
      </c>
      <c r="H46" s="53">
        <v>0</v>
      </c>
      <c r="I46" s="53">
        <v>0</v>
      </c>
      <c r="J46" s="53">
        <v>2892.1</v>
      </c>
      <c r="K46" s="53">
        <v>16796</v>
      </c>
      <c r="L46" s="53">
        <v>49412</v>
      </c>
      <c r="M46" s="53">
        <v>0</v>
      </c>
      <c r="N46" s="34">
        <v>550605</v>
      </c>
      <c r="O46" s="33">
        <v>0</v>
      </c>
      <c r="P46" s="30">
        <v>0</v>
      </c>
    </row>
    <row r="47" spans="1:18" ht="13.5" customHeight="1">
      <c r="A47" s="51"/>
      <c r="B47" s="52" t="s">
        <v>84</v>
      </c>
      <c r="C47" s="33">
        <v>2418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2675.4</v>
      </c>
      <c r="K47" s="53">
        <v>320</v>
      </c>
      <c r="L47" s="53">
        <v>1925</v>
      </c>
      <c r="M47" s="53">
        <v>-1970</v>
      </c>
      <c r="N47" s="34">
        <v>7003</v>
      </c>
      <c r="O47" s="33">
        <v>0</v>
      </c>
      <c r="P47" s="30">
        <v>3623</v>
      </c>
    </row>
    <row r="48" spans="1:18" ht="13.5" customHeight="1">
      <c r="A48" s="51"/>
      <c r="B48" s="52" t="s">
        <v>85</v>
      </c>
      <c r="C48" s="33">
        <v>25554</v>
      </c>
      <c r="D48" s="53">
        <v>1433</v>
      </c>
      <c r="E48" s="53">
        <v>390</v>
      </c>
      <c r="F48" s="53">
        <v>39132</v>
      </c>
      <c r="G48" s="53">
        <v>0</v>
      </c>
      <c r="H48" s="53">
        <v>2606</v>
      </c>
      <c r="I48" s="53">
        <v>11463</v>
      </c>
      <c r="J48" s="53">
        <v>-5770.36</v>
      </c>
      <c r="K48" s="53">
        <v>-51857</v>
      </c>
      <c r="L48" s="53">
        <v>8292</v>
      </c>
      <c r="M48" s="53">
        <v>-26333</v>
      </c>
      <c r="N48" s="34">
        <v>17629</v>
      </c>
      <c r="O48" s="33">
        <v>-35</v>
      </c>
      <c r="P48" s="30">
        <v>10604</v>
      </c>
    </row>
    <row r="49" spans="1:18" ht="13.5" customHeight="1">
      <c r="A49" s="51"/>
      <c r="B49" s="52" t="s">
        <v>86</v>
      </c>
      <c r="C49" s="33">
        <v>-1275</v>
      </c>
      <c r="D49" s="53">
        <v>-327</v>
      </c>
      <c r="E49" s="53">
        <v>27</v>
      </c>
      <c r="F49" s="53">
        <v>0</v>
      </c>
      <c r="G49" s="53">
        <v>315</v>
      </c>
      <c r="H49" s="53">
        <v>0</v>
      </c>
      <c r="I49" s="53">
        <v>72</v>
      </c>
      <c r="J49" s="53">
        <v>185.04</v>
      </c>
      <c r="K49" s="53">
        <v>-3</v>
      </c>
      <c r="L49" s="53">
        <v>1133</v>
      </c>
      <c r="M49" s="53">
        <v>100</v>
      </c>
      <c r="N49" s="34">
        <v>316</v>
      </c>
      <c r="O49" s="33">
        <v>-51</v>
      </c>
      <c r="P49" s="30">
        <v>468</v>
      </c>
    </row>
    <row r="50" spans="1:18" ht="13.5" customHeight="1">
      <c r="A50" s="51"/>
      <c r="B50" s="52" t="s">
        <v>87</v>
      </c>
      <c r="C50" s="33">
        <f>3556+451</f>
        <v>4007</v>
      </c>
      <c r="D50" s="53">
        <v>0</v>
      </c>
      <c r="E50" s="53">
        <v>0</v>
      </c>
      <c r="F50" s="34">
        <v>-250</v>
      </c>
      <c r="G50" s="34">
        <v>0</v>
      </c>
      <c r="H50" s="53">
        <v>0</v>
      </c>
      <c r="I50" s="53">
        <v>0</v>
      </c>
      <c r="J50" s="53">
        <v>0</v>
      </c>
      <c r="K50" s="53">
        <v>0</v>
      </c>
      <c r="L50" s="53">
        <v>9065</v>
      </c>
      <c r="M50" s="53">
        <v>0</v>
      </c>
      <c r="N50" s="34">
        <v>0</v>
      </c>
      <c r="O50" s="33">
        <v>0</v>
      </c>
      <c r="P50" s="30">
        <v>0</v>
      </c>
    </row>
    <row r="51" spans="1:18" s="40" customFormat="1" ht="13.5" customHeight="1" thickBot="1">
      <c r="A51" s="56" t="s">
        <v>88</v>
      </c>
      <c r="B51" s="153"/>
      <c r="C51" s="58">
        <f>SUM(C33:C50)</f>
        <v>893225</v>
      </c>
      <c r="D51" s="58">
        <f t="shared" ref="D51:P51" si="3">SUM(D33:D50)</f>
        <v>728503</v>
      </c>
      <c r="E51" s="58">
        <f t="shared" si="3"/>
        <v>912739</v>
      </c>
      <c r="F51" s="58">
        <f>SUM(F33:F50)</f>
        <v>911500</v>
      </c>
      <c r="G51" s="58">
        <f>SUM(G33:G50)</f>
        <v>863301</v>
      </c>
      <c r="H51" s="58">
        <f t="shared" si="3"/>
        <v>861590</v>
      </c>
      <c r="I51" s="58">
        <f>SUM(I33:I50)</f>
        <v>715205</v>
      </c>
      <c r="J51" s="58">
        <f t="shared" si="3"/>
        <v>777745.51</v>
      </c>
      <c r="K51" s="58">
        <f t="shared" si="3"/>
        <v>590445</v>
      </c>
      <c r="L51" s="58">
        <f t="shared" si="3"/>
        <v>881948</v>
      </c>
      <c r="M51" s="58">
        <f>SUM(M33:M50)</f>
        <v>1115677</v>
      </c>
      <c r="N51" s="58">
        <f>SUM(N33:N50)</f>
        <v>1107661</v>
      </c>
      <c r="O51" s="58">
        <f t="shared" si="3"/>
        <v>1118734</v>
      </c>
      <c r="P51" s="152">
        <f t="shared" si="3"/>
        <v>1047903</v>
      </c>
      <c r="Q51" s="59">
        <f>AVERAGE(C51:P51)</f>
        <v>894726.89357142861</v>
      </c>
      <c r="R51" s="59">
        <f>+SUM(C51:M51)+SUM(C53:M53)</f>
        <v>10093295.58</v>
      </c>
    </row>
    <row r="52" spans="1:18" ht="13.5" customHeight="1">
      <c r="A52" s="45" t="s">
        <v>89</v>
      </c>
      <c r="B52" s="154"/>
      <c r="C52" s="12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29"/>
      <c r="O52" s="28"/>
      <c r="P52" s="155"/>
    </row>
    <row r="53" spans="1:18" s="40" customFormat="1" ht="13.5" customHeight="1">
      <c r="A53" s="41"/>
      <c r="B53" s="42" t="s">
        <v>90</v>
      </c>
      <c r="C53" s="43">
        <v>84935</v>
      </c>
      <c r="D53" s="43">
        <v>70263</v>
      </c>
      <c r="E53" s="43">
        <v>85535</v>
      </c>
      <c r="F53" s="43">
        <v>56018</v>
      </c>
      <c r="G53" s="43">
        <v>109677</v>
      </c>
      <c r="H53" s="43">
        <v>52037</v>
      </c>
      <c r="I53" s="43">
        <v>52001</v>
      </c>
      <c r="J53" s="43">
        <v>71407.070000000007</v>
      </c>
      <c r="K53" s="43">
        <v>99591</v>
      </c>
      <c r="L53" s="43">
        <v>61354</v>
      </c>
      <c r="M53" s="43">
        <v>98599</v>
      </c>
      <c r="N53" s="43">
        <v>36274</v>
      </c>
      <c r="O53" s="43">
        <v>17517</v>
      </c>
      <c r="P53" s="44">
        <v>112014</v>
      </c>
      <c r="Q53" s="59"/>
      <c r="R53" s="36">
        <f>SUM(C53:M53)</f>
        <v>841417.07000000007</v>
      </c>
    </row>
    <row r="54" spans="1:18" s="40" customFormat="1" ht="13.5" customHeight="1">
      <c r="A54" s="62" t="s">
        <v>91</v>
      </c>
      <c r="B54" s="63"/>
      <c r="C54" s="70">
        <f>+C31-C51</f>
        <v>-110623</v>
      </c>
      <c r="D54" s="70">
        <f t="shared" ref="D54:P54" si="4">+D31-D51</f>
        <v>-4773</v>
      </c>
      <c r="E54" s="70">
        <f t="shared" si="4"/>
        <v>63563</v>
      </c>
      <c r="F54" s="70">
        <f t="shared" si="4"/>
        <v>-17507</v>
      </c>
      <c r="G54" s="70">
        <f t="shared" ref="G54" si="5">+G31-G51</f>
        <v>-107642</v>
      </c>
      <c r="H54" s="70">
        <f t="shared" si="4"/>
        <v>93735</v>
      </c>
      <c r="I54" s="70">
        <f t="shared" si="4"/>
        <v>-201176</v>
      </c>
      <c r="J54" s="70">
        <f t="shared" si="4"/>
        <v>-30250.910000000033</v>
      </c>
      <c r="K54" s="70">
        <f t="shared" si="4"/>
        <v>87218</v>
      </c>
      <c r="L54" s="70">
        <f t="shared" si="4"/>
        <v>-23771</v>
      </c>
      <c r="M54" s="70">
        <f t="shared" si="4"/>
        <v>337380</v>
      </c>
      <c r="N54" s="70">
        <f t="shared" ref="N54" si="6">+N31-N51</f>
        <v>9671</v>
      </c>
      <c r="O54" s="70">
        <f t="shared" si="4"/>
        <v>-28954</v>
      </c>
      <c r="P54" s="71">
        <f t="shared" si="4"/>
        <v>17805</v>
      </c>
      <c r="Q54" s="59">
        <f>AVERAGE(C54:P54)</f>
        <v>6048.2207142857123</v>
      </c>
    </row>
    <row r="55" spans="1:18" s="40" customFormat="1" ht="13.5" customHeight="1">
      <c r="A55" s="62" t="s">
        <v>92</v>
      </c>
      <c r="B55" s="63"/>
      <c r="C55" s="70">
        <f>+C54-C53</f>
        <v>-195558</v>
      </c>
      <c r="D55" s="70">
        <f t="shared" ref="D55:P55" si="7">+D54-D53</f>
        <v>-75036</v>
      </c>
      <c r="E55" s="70">
        <f t="shared" si="7"/>
        <v>-21972</v>
      </c>
      <c r="F55" s="70">
        <f t="shared" si="7"/>
        <v>-73525</v>
      </c>
      <c r="G55" s="70">
        <f t="shared" ref="G55" si="8">+G54-G53</f>
        <v>-217319</v>
      </c>
      <c r="H55" s="70">
        <f t="shared" si="7"/>
        <v>41698</v>
      </c>
      <c r="I55" s="70">
        <f t="shared" si="7"/>
        <v>-253177</v>
      </c>
      <c r="J55" s="70">
        <f t="shared" si="7"/>
        <v>-101657.98000000004</v>
      </c>
      <c r="K55" s="70">
        <f t="shared" si="7"/>
        <v>-12373</v>
      </c>
      <c r="L55" s="70">
        <f t="shared" si="7"/>
        <v>-85125</v>
      </c>
      <c r="M55" s="70">
        <f t="shared" si="7"/>
        <v>238781</v>
      </c>
      <c r="N55" s="70">
        <f t="shared" ref="N55" si="9">+N54-N53</f>
        <v>-26603</v>
      </c>
      <c r="O55" s="70">
        <f t="shared" si="7"/>
        <v>-46471</v>
      </c>
      <c r="P55" s="71">
        <f t="shared" si="7"/>
        <v>-94209</v>
      </c>
      <c r="Q55" s="59">
        <f>AVERAGE(C55:P55)</f>
        <v>-65896.212857142862</v>
      </c>
    </row>
    <row r="56" spans="1:18" s="40" customFormat="1" ht="13.5" customHeight="1">
      <c r="A56" s="62" t="s">
        <v>93</v>
      </c>
      <c r="B56" s="63"/>
      <c r="C56" s="70">
        <f>C11+C12+C13+C31-C51</f>
        <v>-42360</v>
      </c>
      <c r="D56" s="70">
        <f t="shared" ref="D56:P56" si="10">D11+D12+D13+D31-D51</f>
        <v>28227</v>
      </c>
      <c r="E56" s="70">
        <f t="shared" si="10"/>
        <v>96563</v>
      </c>
      <c r="F56" s="70">
        <f t="shared" si="10"/>
        <v>15493</v>
      </c>
      <c r="G56" s="70">
        <f t="shared" ref="G56" si="11">G11+G12+G13+G31-G51</f>
        <v>-86346</v>
      </c>
      <c r="H56" s="70">
        <f t="shared" si="10"/>
        <v>126735</v>
      </c>
      <c r="I56" s="70">
        <f t="shared" si="10"/>
        <v>-168176</v>
      </c>
      <c r="J56" s="70">
        <f>J11+J12+J13+J31-J51</f>
        <v>156205.08999999997</v>
      </c>
      <c r="K56" s="70">
        <f t="shared" si="10"/>
        <v>87218</v>
      </c>
      <c r="L56" s="70">
        <f t="shared" si="10"/>
        <v>131384</v>
      </c>
      <c r="M56" s="70">
        <f t="shared" si="10"/>
        <v>475233</v>
      </c>
      <c r="N56" s="70">
        <f t="shared" ref="N56" si="12">N11+N12+N13+N31-N51</f>
        <v>42671</v>
      </c>
      <c r="O56" s="70">
        <f t="shared" si="10"/>
        <v>4046</v>
      </c>
      <c r="P56" s="71">
        <f t="shared" si="10"/>
        <v>50805</v>
      </c>
      <c r="Q56" s="59">
        <f>AVERAGE(C56:P56)</f>
        <v>65549.863571428563</v>
      </c>
    </row>
    <row r="57" spans="1:18" s="40" customFormat="1" ht="13.5" customHeight="1">
      <c r="A57" s="62" t="s">
        <v>94</v>
      </c>
      <c r="B57" s="63"/>
      <c r="C57" s="70">
        <f>+C11+C12+C13+C31-C51-C53</f>
        <v>-127295</v>
      </c>
      <c r="D57" s="70">
        <f>+D11+D12+D13+D31-D51-D53</f>
        <v>-42036</v>
      </c>
      <c r="E57" s="70">
        <f>+E11+E12+E13+E31-E51-E53</f>
        <v>11028</v>
      </c>
      <c r="F57" s="70">
        <f>+F11+F12+F13+F31-F51-F53</f>
        <v>-40525</v>
      </c>
      <c r="G57" s="70">
        <f>+G11+G12+G13+G31-G51-G53</f>
        <v>-196023</v>
      </c>
      <c r="H57" s="70">
        <f t="shared" ref="H57:P57" si="13">+H11+H12+H13+H31-H51-H53</f>
        <v>74698</v>
      </c>
      <c r="I57" s="70">
        <f t="shared" si="13"/>
        <v>-220177</v>
      </c>
      <c r="J57" s="70">
        <f>+J11+J12+J13+J31-J51-J53</f>
        <v>84798.01999999996</v>
      </c>
      <c r="K57" s="70">
        <f t="shared" si="13"/>
        <v>-12373</v>
      </c>
      <c r="L57" s="70">
        <f t="shared" si="13"/>
        <v>70030</v>
      </c>
      <c r="M57" s="70">
        <f t="shared" si="13"/>
        <v>376634</v>
      </c>
      <c r="N57" s="70">
        <f t="shared" ref="N57" si="14">+N11+N12+N13+N31-N51-N53</f>
        <v>6397</v>
      </c>
      <c r="O57" s="70">
        <f t="shared" si="13"/>
        <v>-13471</v>
      </c>
      <c r="P57" s="71">
        <f t="shared" si="13"/>
        <v>-61209</v>
      </c>
      <c r="Q57" s="59">
        <f>AVERAGE(C57:P57)</f>
        <v>-6394.5700000000024</v>
      </c>
      <c r="R57" s="59">
        <f>SUM(C57:M57)</f>
        <v>-21240.98000000004</v>
      </c>
    </row>
    <row r="58" spans="1:18" ht="13.5" customHeight="1">
      <c r="A58" s="22" t="s">
        <v>95</v>
      </c>
      <c r="B58" s="23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6"/>
      <c r="O58" s="64"/>
      <c r="P58" s="67"/>
    </row>
    <row r="59" spans="1:18" ht="13.5" customHeight="1">
      <c r="A59" s="45"/>
      <c r="B59" s="46" t="s">
        <v>46</v>
      </c>
      <c r="C59" s="28">
        <v>-153031</v>
      </c>
      <c r="D59" s="54">
        <v>426891</v>
      </c>
      <c r="E59" s="54">
        <v>692309</v>
      </c>
      <c r="F59" s="29">
        <v>277834</v>
      </c>
      <c r="G59" s="29">
        <v>85067</v>
      </c>
      <c r="H59" s="54">
        <v>137229</v>
      </c>
      <c r="I59" s="54">
        <v>103544</v>
      </c>
      <c r="J59" s="54">
        <v>195521</v>
      </c>
      <c r="K59" s="54">
        <v>57561</v>
      </c>
      <c r="L59" s="54">
        <v>315246</v>
      </c>
      <c r="M59" s="54">
        <v>2161551</v>
      </c>
      <c r="N59" s="29">
        <v>1565102</v>
      </c>
      <c r="O59" s="28">
        <v>34948</v>
      </c>
      <c r="P59" s="32">
        <v>368620</v>
      </c>
      <c r="Q59" s="36">
        <f>AVERAGE(C59:P59)</f>
        <v>447742.28571428574</v>
      </c>
    </row>
    <row r="60" spans="1:18" ht="13.5" customHeight="1">
      <c r="A60" s="45"/>
      <c r="B60" s="46" t="s">
        <v>47</v>
      </c>
      <c r="C60" s="28">
        <v>0</v>
      </c>
      <c r="D60" s="54">
        <v>0</v>
      </c>
      <c r="E60" s="54">
        <v>0</v>
      </c>
      <c r="F60" s="29">
        <v>0</v>
      </c>
      <c r="G60" s="29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29">
        <v>0</v>
      </c>
      <c r="O60" s="28">
        <v>0</v>
      </c>
      <c r="P60" s="32">
        <v>0</v>
      </c>
      <c r="Q60" s="36">
        <f>MAX(C59:P59)</f>
        <v>2161551</v>
      </c>
    </row>
    <row r="61" spans="1:18" s="68" customFormat="1" ht="13.5" customHeight="1">
      <c r="A61" s="45"/>
      <c r="B61" s="46" t="s">
        <v>48</v>
      </c>
      <c r="C61" s="28">
        <v>1579244</v>
      </c>
      <c r="D61" s="54">
        <v>757230</v>
      </c>
      <c r="E61" s="54">
        <v>1166146</v>
      </c>
      <c r="F61" s="29">
        <v>876094</v>
      </c>
      <c r="G61" s="29">
        <v>1815097</v>
      </c>
      <c r="H61" s="54">
        <v>705702</v>
      </c>
      <c r="I61" s="54">
        <v>891735</v>
      </c>
      <c r="J61" s="54">
        <v>1018622</v>
      </c>
      <c r="K61" s="54">
        <v>1325401</v>
      </c>
      <c r="L61" s="54">
        <v>789835</v>
      </c>
      <c r="M61" s="54">
        <v>1423242</v>
      </c>
      <c r="N61" s="29">
        <v>555447</v>
      </c>
      <c r="O61" s="28">
        <v>678671</v>
      </c>
      <c r="P61" s="32">
        <v>1635351</v>
      </c>
      <c r="Q61" s="156">
        <f>MIN(C59:P59)</f>
        <v>-153031</v>
      </c>
    </row>
    <row r="62" spans="1:18" s="40" customFormat="1" ht="13.5" customHeight="1">
      <c r="A62" s="62"/>
      <c r="B62" s="69" t="s">
        <v>50</v>
      </c>
      <c r="C62" s="97">
        <f>SUM(C59:C61)</f>
        <v>1426213</v>
      </c>
      <c r="D62" s="97">
        <f>SUM(D59:D61)</f>
        <v>1184121</v>
      </c>
      <c r="E62" s="97">
        <f>SUM(E59:E61)</f>
        <v>1858455</v>
      </c>
      <c r="F62" s="97">
        <f t="shared" ref="F62:P62" si="15">SUM(F59:F61)</f>
        <v>1153928</v>
      </c>
      <c r="G62" s="97">
        <f t="shared" si="15"/>
        <v>1900164</v>
      </c>
      <c r="H62" s="97">
        <f>SUM(H59:H61)</f>
        <v>842931</v>
      </c>
      <c r="I62" s="97">
        <f t="shared" si="15"/>
        <v>995279</v>
      </c>
      <c r="J62" s="97">
        <f t="shared" si="15"/>
        <v>1214143</v>
      </c>
      <c r="K62" s="97">
        <f t="shared" si="15"/>
        <v>1382962</v>
      </c>
      <c r="L62" s="97">
        <f t="shared" si="15"/>
        <v>1105081</v>
      </c>
      <c r="M62" s="97">
        <f t="shared" si="15"/>
        <v>3584793</v>
      </c>
      <c r="N62" s="97">
        <f t="shared" si="15"/>
        <v>2120549</v>
      </c>
      <c r="O62" s="97">
        <f t="shared" si="15"/>
        <v>713619</v>
      </c>
      <c r="P62" s="98">
        <f t="shared" si="15"/>
        <v>2003971</v>
      </c>
    </row>
    <row r="63" spans="1:18" s="163" customFormat="1" ht="13.5" customHeight="1" thickBot="1">
      <c r="A63" s="157" t="s">
        <v>96</v>
      </c>
      <c r="B63" s="129"/>
      <c r="C63" s="158">
        <f t="shared" ref="C63:P63" si="16">C59/(C51)</f>
        <v>-0.17132413445660388</v>
      </c>
      <c r="D63" s="159">
        <f t="shared" si="16"/>
        <v>0.58598386005273828</v>
      </c>
      <c r="E63" s="159">
        <f t="shared" si="16"/>
        <v>0.7584961308764061</v>
      </c>
      <c r="F63" s="159">
        <f t="shared" si="16"/>
        <v>0.30480965441579816</v>
      </c>
      <c r="G63" s="159">
        <f t="shared" si="16"/>
        <v>9.8536895011125905E-2</v>
      </c>
      <c r="H63" s="159">
        <f t="shared" si="16"/>
        <v>0.15927413270813265</v>
      </c>
      <c r="I63" s="159">
        <f t="shared" si="16"/>
        <v>0.1447752742220762</v>
      </c>
      <c r="J63" s="159">
        <f t="shared" si="16"/>
        <v>0.25139457249968566</v>
      </c>
      <c r="K63" s="159">
        <f t="shared" si="16"/>
        <v>9.7487488250387416E-2</v>
      </c>
      <c r="L63" s="159">
        <f t="shared" si="16"/>
        <v>0.35744284243515489</v>
      </c>
      <c r="M63" s="159">
        <f t="shared" si="16"/>
        <v>1.9374344008167239</v>
      </c>
      <c r="N63" s="159">
        <f t="shared" si="16"/>
        <v>1.4129792418438494</v>
      </c>
      <c r="O63" s="160">
        <f t="shared" si="16"/>
        <v>3.1238882522565684E-2</v>
      </c>
      <c r="P63" s="161">
        <f t="shared" si="16"/>
        <v>0.35176920001183315</v>
      </c>
      <c r="Q63" s="162">
        <f>SUM(C63:P63)/14</f>
        <v>0.45144988865784802</v>
      </c>
    </row>
    <row r="64" spans="1:18" s="68" customFormat="1" ht="12.75" hidden="1" customHeight="1">
      <c r="A64" s="335"/>
      <c r="B64" s="100" t="s">
        <v>97</v>
      </c>
      <c r="C64" s="164">
        <f t="shared" ref="C64:P64" si="17">+C9+C11+C12+C13+C31-C51-C53-C62</f>
        <v>1</v>
      </c>
      <c r="D64" s="164">
        <f t="shared" si="17"/>
        <v>1</v>
      </c>
      <c r="E64" s="164">
        <f t="shared" si="17"/>
        <v>2</v>
      </c>
      <c r="F64" s="165">
        <f t="shared" si="17"/>
        <v>241</v>
      </c>
      <c r="G64" s="165"/>
      <c r="H64" s="165">
        <f t="shared" si="17"/>
        <v>3</v>
      </c>
      <c r="I64" s="164">
        <f t="shared" si="17"/>
        <v>-1</v>
      </c>
      <c r="J64" s="164">
        <f t="shared" si="17"/>
        <v>2.0000000018626451E-2</v>
      </c>
      <c r="K64" s="164">
        <f t="shared" si="17"/>
        <v>1</v>
      </c>
      <c r="L64" s="164">
        <f t="shared" si="17"/>
        <v>0</v>
      </c>
      <c r="M64" s="165">
        <f t="shared" si="17"/>
        <v>-2</v>
      </c>
      <c r="N64" s="211">
        <f t="shared" si="17"/>
        <v>0</v>
      </c>
      <c r="O64" s="164">
        <f t="shared" si="17"/>
        <v>0</v>
      </c>
      <c r="P64" s="336">
        <f t="shared" si="17"/>
        <v>-3</v>
      </c>
      <c r="Q64" s="166">
        <f>MAX(C63:P63)</f>
        <v>1.9374344008167239</v>
      </c>
    </row>
    <row r="65" spans="1:18" s="68" customFormat="1" ht="12.75" hidden="1" customHeight="1">
      <c r="A65" s="337"/>
      <c r="B65" s="90"/>
      <c r="C65" s="113">
        <f t="shared" ref="C65:P65" si="18">+C9+C57-C62</f>
        <v>1</v>
      </c>
      <c r="D65" s="113">
        <f t="shared" si="18"/>
        <v>1</v>
      </c>
      <c r="E65" s="113">
        <f t="shared" si="18"/>
        <v>2</v>
      </c>
      <c r="F65" s="113">
        <f t="shared" si="18"/>
        <v>241</v>
      </c>
      <c r="G65" s="113">
        <f t="shared" si="18"/>
        <v>0</v>
      </c>
      <c r="H65" s="113">
        <f t="shared" si="18"/>
        <v>3</v>
      </c>
      <c r="I65" s="113">
        <f t="shared" si="18"/>
        <v>-1</v>
      </c>
      <c r="J65" s="113">
        <f t="shared" si="18"/>
        <v>2.0000000018626451E-2</v>
      </c>
      <c r="K65" s="113">
        <f t="shared" si="18"/>
        <v>1</v>
      </c>
      <c r="L65" s="113">
        <f t="shared" si="18"/>
        <v>0</v>
      </c>
      <c r="M65" s="113">
        <f t="shared" si="18"/>
        <v>-2</v>
      </c>
      <c r="N65" s="113">
        <f t="shared" si="18"/>
        <v>0</v>
      </c>
      <c r="O65" s="113">
        <f t="shared" si="18"/>
        <v>0</v>
      </c>
      <c r="P65" s="338">
        <f t="shared" si="18"/>
        <v>-3</v>
      </c>
      <c r="Q65" s="166"/>
    </row>
    <row r="66" spans="1:18" s="234" customFormat="1" ht="13.5" customHeight="1">
      <c r="A66" s="90"/>
      <c r="B66" s="90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66"/>
    </row>
    <row r="67" spans="1:18" s="68" customFormat="1" ht="13.5" customHeight="1">
      <c r="A67" s="323" t="s">
        <v>225</v>
      </c>
      <c r="B67" s="91"/>
      <c r="C67" s="91"/>
      <c r="D67" s="91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66"/>
    </row>
    <row r="68" spans="1:18" s="68" customFormat="1" ht="13.5" customHeight="1">
      <c r="A68" s="320" t="s">
        <v>226</v>
      </c>
      <c r="B68" s="91"/>
      <c r="C68" s="91"/>
      <c r="D68" s="91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66"/>
    </row>
    <row r="69" spans="1:18" s="68" customFormat="1" ht="13.5" customHeight="1">
      <c r="A69" s="321" t="s">
        <v>98</v>
      </c>
      <c r="B69" s="91"/>
      <c r="C69" s="91"/>
      <c r="D69" s="91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66"/>
    </row>
    <row r="70" spans="1:18" s="68" customFormat="1" ht="13.5" customHeight="1">
      <c r="A70" s="322"/>
      <c r="B70" s="91"/>
      <c r="C70" s="91"/>
      <c r="D70" s="91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66"/>
    </row>
    <row r="71" spans="1:18" s="68" customFormat="1" ht="13.5" customHeight="1">
      <c r="A71" s="320" t="s">
        <v>227</v>
      </c>
      <c r="B71" s="91"/>
      <c r="C71" s="91"/>
      <c r="D71" s="91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66"/>
    </row>
    <row r="72" spans="1:18" s="68" customFormat="1" ht="13.5" customHeight="1">
      <c r="A72" s="320" t="s">
        <v>99</v>
      </c>
      <c r="B72" s="91"/>
      <c r="C72" s="91"/>
      <c r="D72" s="91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66"/>
    </row>
    <row r="73" spans="1:18" ht="12.75" customHeight="1">
      <c r="A73" s="320" t="s">
        <v>100</v>
      </c>
      <c r="B73" s="339"/>
      <c r="C73" s="340"/>
      <c r="D73" s="34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</row>
    <row r="74" spans="1:18" ht="12.75" customHeight="1" thickBot="1">
      <c r="A74" s="91"/>
      <c r="B74" s="168"/>
      <c r="C74" s="341"/>
      <c r="D74" s="341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</row>
    <row r="75" spans="1:18">
      <c r="A75" s="350"/>
      <c r="B75" s="351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59"/>
      <c r="O75" s="310"/>
      <c r="P75" s="311"/>
    </row>
    <row r="76" spans="1:18" ht="71.25" customHeight="1">
      <c r="A76" s="248"/>
      <c r="B76" s="249"/>
      <c r="C76" s="329" t="str">
        <f t="shared" ref="C76:P76" si="19">C2</f>
        <v>9th DAA, Redwood Acres Fair</v>
      </c>
      <c r="D76" s="329" t="str">
        <f t="shared" si="19"/>
        <v>10th DAA, Siskiyou Golden Fair</v>
      </c>
      <c r="E76" s="329" t="str">
        <f t="shared" si="19"/>
        <v>12th DAA, Redwood Empire Fair</v>
      </c>
      <c r="F76" s="329" t="str">
        <f t="shared" si="19"/>
        <v>13th DAA,   Yuba Sutter Fair</v>
      </c>
      <c r="G76" s="373" t="str">
        <f t="shared" si="19"/>
        <v>18th DAA, Eastern Sierra Tri-County Fair</v>
      </c>
      <c r="H76" s="329" t="str">
        <f t="shared" si="19"/>
        <v>20th DAA,    Gold Country Fair</v>
      </c>
      <c r="I76" s="329" t="str">
        <f t="shared" si="19"/>
        <v>24-A DAA,    Kings Fair</v>
      </c>
      <c r="J76" s="329" t="str">
        <f t="shared" si="19"/>
        <v>26th DAA, Amador County Fair</v>
      </c>
      <c r="K76" s="329" t="str">
        <f t="shared" si="19"/>
        <v>30th DAA, Tehama District Fair</v>
      </c>
      <c r="L76" s="329" t="str">
        <f t="shared" si="19"/>
        <v>39th DAA, Calaveras County Fair</v>
      </c>
      <c r="M76" s="329" t="str">
        <f t="shared" si="19"/>
        <v>40th DAA,    Yolo County Fair</v>
      </c>
      <c r="N76" s="358" t="str">
        <f t="shared" si="19"/>
        <v>Cloverdale Citrus Fair</v>
      </c>
      <c r="O76" s="329" t="str">
        <f t="shared" si="19"/>
        <v>Merced County Spring Fair</v>
      </c>
      <c r="P76" s="330" t="str">
        <f t="shared" si="19"/>
        <v>Lodi Grape Festival &amp; Harvest Fair</v>
      </c>
    </row>
    <row r="77" spans="1:18" ht="13.5" customHeight="1">
      <c r="A77" s="22" t="s">
        <v>101</v>
      </c>
      <c r="B77" s="52"/>
      <c r="C77" s="92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4"/>
      <c r="O77" s="92"/>
      <c r="P77" s="95"/>
    </row>
    <row r="78" spans="1:18" ht="13.5" customHeight="1">
      <c r="A78" s="22" t="s">
        <v>102</v>
      </c>
      <c r="B78" s="52"/>
      <c r="C78" s="92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4"/>
      <c r="O78" s="92"/>
      <c r="P78" s="95"/>
    </row>
    <row r="79" spans="1:18" ht="13.5" customHeight="1">
      <c r="A79" s="51"/>
      <c r="B79" s="52" t="s">
        <v>103</v>
      </c>
      <c r="C79" s="3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34"/>
      <c r="O79" s="33"/>
      <c r="P79" s="30"/>
    </row>
    <row r="80" spans="1:18" ht="13.5" customHeight="1">
      <c r="A80" s="51"/>
      <c r="B80" s="52" t="s">
        <v>104</v>
      </c>
      <c r="C80" s="24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6">
        <v>0</v>
      </c>
      <c r="O80" s="24">
        <v>0</v>
      </c>
      <c r="P80" s="27">
        <v>0</v>
      </c>
      <c r="R80" s="96">
        <f t="shared" ref="R80:R90" si="20">SUM(C80:M80)</f>
        <v>0</v>
      </c>
    </row>
    <row r="81" spans="1:18" ht="13.5" customHeight="1">
      <c r="A81" s="51"/>
      <c r="B81" s="52" t="s">
        <v>105</v>
      </c>
      <c r="C81" s="33">
        <v>4309.1499999999996</v>
      </c>
      <c r="D81" s="53">
        <v>563010</v>
      </c>
      <c r="E81" s="53">
        <v>997617</v>
      </c>
      <c r="F81" s="53">
        <f>391744+40357</f>
        <v>432101</v>
      </c>
      <c r="G81" s="53">
        <v>115361</v>
      </c>
      <c r="H81" s="53">
        <v>282126</v>
      </c>
      <c r="I81" s="53">
        <v>262579</v>
      </c>
      <c r="J81" s="53">
        <f>279548+67081</f>
        <v>346629</v>
      </c>
      <c r="K81" s="53">
        <v>128826</v>
      </c>
      <c r="L81" s="53">
        <f>244227+17741</f>
        <v>261968</v>
      </c>
      <c r="M81" s="53">
        <v>2224463</v>
      </c>
      <c r="N81" s="34">
        <v>1991280</v>
      </c>
      <c r="O81" s="33">
        <v>71959</v>
      </c>
      <c r="P81" s="30">
        <v>430579</v>
      </c>
      <c r="R81" s="96">
        <f t="shared" si="20"/>
        <v>5618989.1500000004</v>
      </c>
    </row>
    <row r="82" spans="1:18" ht="13.5" customHeight="1">
      <c r="A82" s="51"/>
      <c r="B82" s="52" t="s">
        <v>106</v>
      </c>
      <c r="C82" s="33">
        <v>8060.2</v>
      </c>
      <c r="D82" s="53">
        <v>4463</v>
      </c>
      <c r="E82" s="53">
        <v>5810</v>
      </c>
      <c r="F82" s="53">
        <v>9686</v>
      </c>
      <c r="G82" s="53">
        <v>10905</v>
      </c>
      <c r="H82" s="53">
        <v>8627</v>
      </c>
      <c r="I82" s="53">
        <v>21554</v>
      </c>
      <c r="J82" s="53">
        <f>25631+5258</f>
        <v>30889</v>
      </c>
      <c r="K82" s="53">
        <v>3560</v>
      </c>
      <c r="L82" s="53">
        <f>118389+21812</f>
        <v>140201</v>
      </c>
      <c r="M82" s="53">
        <v>80324</v>
      </c>
      <c r="N82" s="34">
        <v>21077</v>
      </c>
      <c r="O82" s="33">
        <v>85161</v>
      </c>
      <c r="P82" s="30">
        <v>100</v>
      </c>
      <c r="R82" s="96">
        <f t="shared" si="20"/>
        <v>324079.2</v>
      </c>
    </row>
    <row r="83" spans="1:18" ht="13.5" customHeight="1">
      <c r="A83" s="51"/>
      <c r="B83" s="52" t="s">
        <v>107</v>
      </c>
      <c r="C83" s="33">
        <v>6722.18</v>
      </c>
      <c r="D83" s="53">
        <v>13695</v>
      </c>
      <c r="E83" s="53">
        <v>2749</v>
      </c>
      <c r="F83" s="53">
        <v>0</v>
      </c>
      <c r="G83" s="53">
        <v>376</v>
      </c>
      <c r="H83" s="53">
        <v>225</v>
      </c>
      <c r="I83" s="53">
        <v>5083</v>
      </c>
      <c r="J83" s="53">
        <v>3441</v>
      </c>
      <c r="K83" s="53">
        <v>0</v>
      </c>
      <c r="L83" s="53">
        <v>3712</v>
      </c>
      <c r="M83" s="53">
        <v>0</v>
      </c>
      <c r="N83" s="34">
        <v>183233</v>
      </c>
      <c r="O83" s="33">
        <v>0</v>
      </c>
      <c r="P83" s="30">
        <v>6640</v>
      </c>
      <c r="R83" s="96">
        <f t="shared" si="20"/>
        <v>36003.18</v>
      </c>
    </row>
    <row r="84" spans="1:18" ht="13.5" customHeight="1">
      <c r="A84" s="51"/>
      <c r="B84" s="52" t="s">
        <v>108</v>
      </c>
      <c r="C84" s="3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34">
        <v>0</v>
      </c>
      <c r="O84" s="33">
        <v>0</v>
      </c>
      <c r="P84" s="30">
        <v>0</v>
      </c>
      <c r="R84" s="96">
        <f t="shared" si="20"/>
        <v>0</v>
      </c>
    </row>
    <row r="85" spans="1:18" ht="13.5" customHeight="1">
      <c r="A85" s="51"/>
      <c r="B85" s="52" t="s">
        <v>171</v>
      </c>
      <c r="C85" s="33">
        <v>0</v>
      </c>
      <c r="D85" s="53">
        <v>0</v>
      </c>
      <c r="E85" s="53">
        <v>10000</v>
      </c>
      <c r="F85" s="53">
        <v>0</v>
      </c>
      <c r="G85" s="53">
        <v>0</v>
      </c>
      <c r="H85" s="53">
        <v>0</v>
      </c>
      <c r="I85" s="53">
        <v>0</v>
      </c>
      <c r="J85" s="53">
        <v>34597</v>
      </c>
      <c r="K85" s="53">
        <v>9798</v>
      </c>
      <c r="L85" s="53">
        <v>130</v>
      </c>
      <c r="M85" s="53">
        <v>0</v>
      </c>
      <c r="N85" s="34">
        <v>0</v>
      </c>
      <c r="O85" s="33">
        <v>10269</v>
      </c>
      <c r="P85" s="30">
        <v>0</v>
      </c>
      <c r="R85" s="20">
        <f t="shared" si="20"/>
        <v>54525</v>
      </c>
    </row>
    <row r="86" spans="1:18" ht="13.5" customHeight="1">
      <c r="A86" s="51"/>
      <c r="B86" s="52" t="s">
        <v>110</v>
      </c>
      <c r="C86" s="33">
        <v>64412.19</v>
      </c>
      <c r="D86" s="53">
        <v>0</v>
      </c>
      <c r="E86" s="53">
        <v>52358</v>
      </c>
      <c r="F86" s="53">
        <v>92728</v>
      </c>
      <c r="G86" s="53">
        <v>0</v>
      </c>
      <c r="H86" s="53">
        <v>54370</v>
      </c>
      <c r="I86" s="53">
        <v>45707</v>
      </c>
      <c r="J86" s="53">
        <v>9764</v>
      </c>
      <c r="K86" s="53">
        <v>5000</v>
      </c>
      <c r="L86" s="53">
        <v>71698</v>
      </c>
      <c r="M86" s="53">
        <v>174214</v>
      </c>
      <c r="N86" s="34">
        <v>27233</v>
      </c>
      <c r="O86" s="33">
        <v>448650</v>
      </c>
      <c r="P86" s="30">
        <v>88340</v>
      </c>
      <c r="R86" s="20">
        <f t="shared" si="20"/>
        <v>570251.18999999994</v>
      </c>
    </row>
    <row r="87" spans="1:18" ht="13.5" customHeight="1">
      <c r="A87" s="51"/>
      <c r="B87" s="52" t="s">
        <v>111</v>
      </c>
      <c r="C87" s="33">
        <v>4417006.1399999997</v>
      </c>
      <c r="D87" s="53">
        <v>0</v>
      </c>
      <c r="E87" s="53">
        <v>3934401</v>
      </c>
      <c r="F87" s="53">
        <v>2734952</v>
      </c>
      <c r="G87" s="53">
        <v>0</v>
      </c>
      <c r="H87" s="53">
        <v>3069601</v>
      </c>
      <c r="I87" s="53">
        <v>2172377</v>
      </c>
      <c r="J87" s="53">
        <v>2990580</v>
      </c>
      <c r="K87" s="53">
        <v>4734118</v>
      </c>
      <c r="L87" s="53">
        <v>3328285</v>
      </c>
      <c r="M87" s="53">
        <v>3688060</v>
      </c>
      <c r="N87" s="34">
        <v>1314384</v>
      </c>
      <c r="O87" s="33">
        <v>2078033</v>
      </c>
      <c r="P87" s="30">
        <v>3919379</v>
      </c>
      <c r="R87" s="20">
        <f t="shared" si="20"/>
        <v>31069380.140000001</v>
      </c>
    </row>
    <row r="88" spans="1:18" ht="13.5" customHeight="1">
      <c r="A88" s="51"/>
      <c r="B88" s="52" t="s">
        <v>112</v>
      </c>
      <c r="C88" s="33">
        <v>138954.57999999999</v>
      </c>
      <c r="D88" s="53">
        <v>361461</v>
      </c>
      <c r="E88" s="53">
        <v>167737</v>
      </c>
      <c r="F88" s="53">
        <v>107027</v>
      </c>
      <c r="G88" s="53">
        <v>224985</v>
      </c>
      <c r="H88" s="53">
        <v>266643</v>
      </c>
      <c r="I88" s="53">
        <v>242755</v>
      </c>
      <c r="J88" s="53">
        <v>96563</v>
      </c>
      <c r="K88" s="53">
        <v>139009</v>
      </c>
      <c r="L88" s="53">
        <v>140843</v>
      </c>
      <c r="M88" s="53">
        <v>607036</v>
      </c>
      <c r="N88" s="34">
        <v>201895</v>
      </c>
      <c r="O88" s="33">
        <v>206684</v>
      </c>
      <c r="P88" s="30">
        <v>367961</v>
      </c>
      <c r="R88" s="20">
        <f t="shared" si="20"/>
        <v>2493013.58</v>
      </c>
    </row>
    <row r="89" spans="1:18" ht="13.5" customHeight="1">
      <c r="A89" s="51"/>
      <c r="B89" s="52" t="s">
        <v>113</v>
      </c>
      <c r="C89" s="33">
        <v>14866.2</v>
      </c>
      <c r="D89" s="53">
        <v>3401375</v>
      </c>
      <c r="E89" s="53">
        <v>0</v>
      </c>
      <c r="F89" s="53">
        <v>0</v>
      </c>
      <c r="G89" s="53">
        <v>3708093</v>
      </c>
      <c r="H89" s="53">
        <v>0</v>
      </c>
      <c r="I89" s="53">
        <v>0</v>
      </c>
      <c r="J89" s="53">
        <v>259429</v>
      </c>
      <c r="K89" s="53">
        <v>0</v>
      </c>
      <c r="L89" s="53">
        <v>0</v>
      </c>
      <c r="M89" s="53">
        <v>0</v>
      </c>
      <c r="N89" s="34">
        <v>11940</v>
      </c>
      <c r="O89" s="33">
        <v>0</v>
      </c>
      <c r="P89" s="30">
        <v>0</v>
      </c>
      <c r="R89" s="20">
        <f t="shared" si="20"/>
        <v>7383763.2000000002</v>
      </c>
    </row>
    <row r="90" spans="1:18" ht="13.5" customHeight="1">
      <c r="A90" s="51"/>
      <c r="B90" s="52" t="s">
        <v>209</v>
      </c>
      <c r="C90" s="33">
        <v>0</v>
      </c>
      <c r="D90" s="53">
        <v>0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34">
        <v>0</v>
      </c>
      <c r="O90" s="33">
        <v>0</v>
      </c>
      <c r="P90" s="30">
        <v>0</v>
      </c>
      <c r="R90" s="20">
        <f t="shared" si="20"/>
        <v>0</v>
      </c>
    </row>
    <row r="91" spans="1:18" ht="13.5" customHeight="1">
      <c r="A91" s="51"/>
      <c r="B91" s="52" t="s">
        <v>114</v>
      </c>
      <c r="C91" s="33">
        <f>-2899204.37-138954.56-11892.96</f>
        <v>-3050051.89</v>
      </c>
      <c r="D91" s="53">
        <f>-361461-2644145</f>
        <v>-3005606</v>
      </c>
      <c r="E91" s="53">
        <f>-2830612-167738</f>
        <v>-2998350</v>
      </c>
      <c r="F91" s="53">
        <f>-1951585-107027</f>
        <v>-2058612</v>
      </c>
      <c r="G91" s="53">
        <f>-212622-1821609</f>
        <v>-2034231</v>
      </c>
      <c r="H91" s="53">
        <f>-2419668-265243.5</f>
        <v>-2684911.5</v>
      </c>
      <c r="I91" s="53">
        <f>-1326349-242755</f>
        <v>-1569104</v>
      </c>
      <c r="J91" s="53">
        <f>-2154885-85159-69181</f>
        <v>-2309225</v>
      </c>
      <c r="K91" s="53">
        <f>-3268308-139009</f>
        <v>-3407317</v>
      </c>
      <c r="L91" s="53">
        <f>-2610278-140843</f>
        <v>-2751121</v>
      </c>
      <c r="M91" s="53">
        <f>-2509025-537043</f>
        <v>-3046068</v>
      </c>
      <c r="N91" s="34">
        <v>-1000005</v>
      </c>
      <c r="O91" s="33">
        <f>-1858281-206684</f>
        <v>-2064965</v>
      </c>
      <c r="P91" s="30">
        <f>-2368034-342796</f>
        <v>-2710830</v>
      </c>
      <c r="R91" s="36">
        <f>SUM(C85:M91)</f>
        <v>12656335.719999999</v>
      </c>
    </row>
    <row r="92" spans="1:18" ht="13.5" customHeight="1">
      <c r="A92" s="51"/>
      <c r="B92" s="52" t="s">
        <v>115</v>
      </c>
      <c r="C92" s="33"/>
      <c r="D92" s="53"/>
      <c r="E92" s="53">
        <v>1</v>
      </c>
      <c r="F92" s="53">
        <v>0</v>
      </c>
      <c r="G92" s="53">
        <v>0</v>
      </c>
      <c r="H92" s="53">
        <v>-1</v>
      </c>
      <c r="I92" s="53">
        <v>-1</v>
      </c>
      <c r="J92" s="53">
        <f>-1</f>
        <v>-1</v>
      </c>
      <c r="K92" s="53">
        <v>0</v>
      </c>
      <c r="L92" s="53">
        <v>0</v>
      </c>
      <c r="M92" s="53">
        <v>0</v>
      </c>
      <c r="N92" s="34">
        <v>1</v>
      </c>
      <c r="O92" s="33">
        <v>1</v>
      </c>
      <c r="P92" s="30">
        <v>1</v>
      </c>
    </row>
    <row r="93" spans="1:18" s="40" customFormat="1" ht="13.5" customHeight="1">
      <c r="A93" s="37" t="s">
        <v>116</v>
      </c>
      <c r="B93" s="42"/>
      <c r="C93" s="97">
        <f t="shared" ref="C93:P93" si="21">SUM(C79:C92)</f>
        <v>1604278.7499999995</v>
      </c>
      <c r="D93" s="97">
        <f t="shared" si="21"/>
        <v>1338398</v>
      </c>
      <c r="E93" s="97">
        <f t="shared" si="21"/>
        <v>2172323</v>
      </c>
      <c r="F93" s="97">
        <f t="shared" si="21"/>
        <v>1317882</v>
      </c>
      <c r="G93" s="97">
        <f t="shared" si="21"/>
        <v>2025489</v>
      </c>
      <c r="H93" s="97">
        <f t="shared" si="21"/>
        <v>996679.5</v>
      </c>
      <c r="I93" s="97">
        <f t="shared" si="21"/>
        <v>1180950</v>
      </c>
      <c r="J93" s="97">
        <f>SUM(J79:J92)</f>
        <v>1462666</v>
      </c>
      <c r="K93" s="97">
        <f t="shared" si="21"/>
        <v>1612994</v>
      </c>
      <c r="L93" s="97">
        <f t="shared" si="21"/>
        <v>1195716</v>
      </c>
      <c r="M93" s="97">
        <f t="shared" si="21"/>
        <v>3728029</v>
      </c>
      <c r="N93" s="97">
        <f t="shared" si="21"/>
        <v>2751038</v>
      </c>
      <c r="O93" s="97">
        <f t="shared" si="21"/>
        <v>835792</v>
      </c>
      <c r="P93" s="98">
        <f t="shared" si="21"/>
        <v>2102170</v>
      </c>
      <c r="R93" s="99">
        <f>SUM(C93:M93)</f>
        <v>18635405.25</v>
      </c>
    </row>
    <row r="94" spans="1:18" ht="13.5" customHeight="1">
      <c r="A94" s="22" t="s">
        <v>117</v>
      </c>
      <c r="B94" s="52"/>
      <c r="C94" s="92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4"/>
      <c r="O94" s="92"/>
      <c r="P94" s="95"/>
    </row>
    <row r="95" spans="1:18" ht="13.5" customHeight="1">
      <c r="A95" s="51"/>
      <c r="B95" s="52" t="s">
        <v>118</v>
      </c>
      <c r="C95" s="3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100</v>
      </c>
      <c r="K95" s="53">
        <v>0</v>
      </c>
      <c r="L95" s="53">
        <v>0</v>
      </c>
      <c r="M95" s="53">
        <v>4814</v>
      </c>
      <c r="N95" s="34">
        <v>155</v>
      </c>
      <c r="O95" s="33">
        <v>0</v>
      </c>
      <c r="P95" s="30">
        <v>695</v>
      </c>
      <c r="R95" s="96">
        <f t="shared" ref="R95:R111" si="22">SUM(C95:M95)</f>
        <v>4914</v>
      </c>
    </row>
    <row r="96" spans="1:18" ht="13.5" customHeight="1">
      <c r="A96" s="51"/>
      <c r="B96" s="52" t="s">
        <v>119</v>
      </c>
      <c r="C96" s="33">
        <v>60008.01</v>
      </c>
      <c r="D96" s="53">
        <v>7264</v>
      </c>
      <c r="E96" s="53">
        <v>34152</v>
      </c>
      <c r="F96" s="170">
        <v>9266</v>
      </c>
      <c r="G96" s="170">
        <v>16792</v>
      </c>
      <c r="H96" s="171">
        <v>-6810</v>
      </c>
      <c r="I96" s="53">
        <v>41036</v>
      </c>
      <c r="J96" s="53">
        <f>87178+3126</f>
        <v>90304</v>
      </c>
      <c r="K96" s="53">
        <v>46530</v>
      </c>
      <c r="L96" s="53">
        <f>19203+1436</f>
        <v>20639</v>
      </c>
      <c r="M96" s="53">
        <v>19739</v>
      </c>
      <c r="N96" s="34">
        <v>11253</v>
      </c>
      <c r="O96" s="33">
        <v>0</v>
      </c>
      <c r="P96" s="30">
        <v>0</v>
      </c>
      <c r="R96" s="96">
        <f t="shared" si="22"/>
        <v>338920.01</v>
      </c>
    </row>
    <row r="97" spans="1:18" ht="13.5" customHeight="1">
      <c r="A97" s="51"/>
      <c r="B97" s="52" t="s">
        <v>120</v>
      </c>
      <c r="C97" s="33">
        <v>2965.08</v>
      </c>
      <c r="D97" s="53">
        <v>447</v>
      </c>
      <c r="E97" s="53">
        <v>4711</v>
      </c>
      <c r="F97" s="53">
        <v>7290</v>
      </c>
      <c r="G97" s="53">
        <v>0</v>
      </c>
      <c r="H97" s="53">
        <v>1018</v>
      </c>
      <c r="I97" s="53">
        <v>0</v>
      </c>
      <c r="J97" s="53">
        <v>3392</v>
      </c>
      <c r="K97" s="53">
        <v>339</v>
      </c>
      <c r="L97" s="53">
        <v>2014</v>
      </c>
      <c r="M97" s="53">
        <v>18054</v>
      </c>
      <c r="N97" s="34">
        <v>5879</v>
      </c>
      <c r="O97" s="33">
        <v>0</v>
      </c>
      <c r="P97" s="30">
        <v>61</v>
      </c>
      <c r="R97" s="96">
        <f t="shared" si="22"/>
        <v>40230.080000000002</v>
      </c>
    </row>
    <row r="98" spans="1:18" ht="13.5" customHeight="1">
      <c r="A98" s="51"/>
      <c r="B98" s="52" t="s">
        <v>121</v>
      </c>
      <c r="C98" s="33">
        <v>9700</v>
      </c>
      <c r="D98" s="53">
        <v>25366</v>
      </c>
      <c r="E98" s="53">
        <v>132278</v>
      </c>
      <c r="F98" s="53">
        <v>23540</v>
      </c>
      <c r="G98" s="53">
        <v>23683</v>
      </c>
      <c r="H98" s="53">
        <v>43523</v>
      </c>
      <c r="I98" s="53">
        <v>7064</v>
      </c>
      <c r="J98" s="53">
        <v>2282</v>
      </c>
      <c r="K98" s="53">
        <v>0</v>
      </c>
      <c r="L98" s="53">
        <v>31279</v>
      </c>
      <c r="M98" s="53">
        <v>0</v>
      </c>
      <c r="N98" s="34">
        <v>25525</v>
      </c>
      <c r="O98" s="33">
        <v>0</v>
      </c>
      <c r="P98" s="30">
        <v>40444</v>
      </c>
      <c r="R98" s="96">
        <f t="shared" si="22"/>
        <v>298715</v>
      </c>
    </row>
    <row r="99" spans="1:18" ht="13.5" customHeight="1">
      <c r="A99" s="51"/>
      <c r="B99" s="52" t="s">
        <v>122</v>
      </c>
      <c r="C99" s="33">
        <v>0</v>
      </c>
      <c r="D99" s="53">
        <f>25627+4688</f>
        <v>30315</v>
      </c>
      <c r="E99" s="53">
        <v>0</v>
      </c>
      <c r="F99" s="53">
        <v>0</v>
      </c>
      <c r="G99" s="53">
        <v>0</v>
      </c>
      <c r="H99" s="53">
        <v>11761</v>
      </c>
      <c r="I99" s="53">
        <v>0</v>
      </c>
      <c r="J99" s="53">
        <v>0</v>
      </c>
      <c r="K99" s="53">
        <v>5125</v>
      </c>
      <c r="L99" s="53">
        <v>0</v>
      </c>
      <c r="M99" s="53">
        <v>930</v>
      </c>
      <c r="N99" s="34">
        <v>562777</v>
      </c>
      <c r="O99" s="33">
        <v>0</v>
      </c>
      <c r="P99" s="30">
        <v>27499</v>
      </c>
      <c r="R99" s="96">
        <f t="shared" si="22"/>
        <v>48131</v>
      </c>
    </row>
    <row r="100" spans="1:18" ht="13.5" customHeight="1">
      <c r="A100" s="51"/>
      <c r="B100" s="52" t="s">
        <v>123</v>
      </c>
      <c r="C100" s="33">
        <v>7540</v>
      </c>
      <c r="D100" s="53">
        <v>400</v>
      </c>
      <c r="E100" s="53">
        <v>11400</v>
      </c>
      <c r="F100" s="53">
        <v>8280</v>
      </c>
      <c r="G100" s="53">
        <v>1100</v>
      </c>
      <c r="H100" s="53">
        <v>0</v>
      </c>
      <c r="I100" s="53">
        <v>5600</v>
      </c>
      <c r="J100" s="53">
        <v>2000</v>
      </c>
      <c r="K100" s="53">
        <v>0</v>
      </c>
      <c r="L100" s="53">
        <v>2000</v>
      </c>
      <c r="M100" s="53">
        <v>10500</v>
      </c>
      <c r="N100" s="34">
        <v>6900</v>
      </c>
      <c r="O100" s="33">
        <v>0</v>
      </c>
      <c r="P100" s="30">
        <v>0</v>
      </c>
      <c r="R100" s="96">
        <f t="shared" si="22"/>
        <v>48820</v>
      </c>
    </row>
    <row r="101" spans="1:18" ht="13.5" customHeight="1">
      <c r="A101" s="51"/>
      <c r="B101" s="52" t="s">
        <v>124</v>
      </c>
      <c r="C101" s="33">
        <v>38147.82</v>
      </c>
      <c r="D101" s="53">
        <v>36815</v>
      </c>
      <c r="E101" s="53">
        <v>29523</v>
      </c>
      <c r="F101" s="53">
        <v>32740</v>
      </c>
      <c r="G101" s="53">
        <v>0</v>
      </c>
      <c r="H101" s="53">
        <v>74256</v>
      </c>
      <c r="I101" s="53">
        <v>0</v>
      </c>
      <c r="J101" s="53">
        <v>22083</v>
      </c>
      <c r="K101" s="53">
        <v>0</v>
      </c>
      <c r="L101" s="53">
        <v>13881</v>
      </c>
      <c r="M101" s="53">
        <v>59880</v>
      </c>
      <c r="N101" s="34">
        <v>7253</v>
      </c>
      <c r="O101" s="33">
        <v>0</v>
      </c>
      <c r="P101" s="30">
        <v>0</v>
      </c>
      <c r="R101" s="96">
        <f t="shared" si="22"/>
        <v>307325.82</v>
      </c>
    </row>
    <row r="102" spans="1:18" ht="13.5" customHeight="1">
      <c r="A102" s="51"/>
      <c r="B102" s="52" t="s">
        <v>125</v>
      </c>
      <c r="C102" s="33">
        <v>28768.34</v>
      </c>
      <c r="D102" s="53">
        <v>53670</v>
      </c>
      <c r="E102" s="53">
        <v>0</v>
      </c>
      <c r="F102" s="53">
        <v>0</v>
      </c>
      <c r="G102" s="53">
        <v>83750</v>
      </c>
      <c r="H102" s="53">
        <v>0</v>
      </c>
      <c r="I102" s="53">
        <v>0</v>
      </c>
      <c r="J102" s="53">
        <v>63085</v>
      </c>
      <c r="K102" s="53">
        <v>178038</v>
      </c>
      <c r="L102" s="53">
        <v>0</v>
      </c>
      <c r="M102" s="53">
        <v>27822</v>
      </c>
      <c r="N102" s="34">
        <v>10746</v>
      </c>
      <c r="O102" s="33">
        <v>131000</v>
      </c>
      <c r="P102" s="30">
        <v>29500</v>
      </c>
      <c r="R102" s="96">
        <f t="shared" si="22"/>
        <v>435133.33999999997</v>
      </c>
    </row>
    <row r="103" spans="1:18" s="40" customFormat="1" ht="13.5" customHeight="1">
      <c r="A103" s="37" t="s">
        <v>126</v>
      </c>
      <c r="B103" s="42"/>
      <c r="C103" s="43">
        <f>SUM(C95:C102)</f>
        <v>147129.25</v>
      </c>
      <c r="D103" s="43">
        <f>SUM(D95:D102)</f>
        <v>154277</v>
      </c>
      <c r="E103" s="43">
        <f t="shared" ref="E103:P103" si="23">SUM(E95:E102)</f>
        <v>212064</v>
      </c>
      <c r="F103" s="43">
        <f t="shared" si="23"/>
        <v>81116</v>
      </c>
      <c r="G103" s="43">
        <f t="shared" si="23"/>
        <v>125325</v>
      </c>
      <c r="H103" s="43">
        <f t="shared" si="23"/>
        <v>123748</v>
      </c>
      <c r="I103" s="43">
        <f t="shared" si="23"/>
        <v>53700</v>
      </c>
      <c r="J103" s="43">
        <f t="shared" si="23"/>
        <v>183246</v>
      </c>
      <c r="K103" s="43">
        <f t="shared" si="23"/>
        <v>230032</v>
      </c>
      <c r="L103" s="43">
        <f t="shared" si="23"/>
        <v>69813</v>
      </c>
      <c r="M103" s="43">
        <f t="shared" si="23"/>
        <v>141739</v>
      </c>
      <c r="N103" s="43">
        <f t="shared" si="23"/>
        <v>630488</v>
      </c>
      <c r="O103" s="43">
        <f t="shared" si="23"/>
        <v>131000</v>
      </c>
      <c r="P103" s="44">
        <f t="shared" si="23"/>
        <v>98199</v>
      </c>
      <c r="R103" s="99">
        <f t="shared" si="22"/>
        <v>1522189.25</v>
      </c>
    </row>
    <row r="104" spans="1:18" ht="13.5" customHeight="1">
      <c r="A104" s="22" t="s">
        <v>127</v>
      </c>
      <c r="B104" s="52"/>
      <c r="C104" s="92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4"/>
      <c r="O104" s="92"/>
      <c r="P104" s="95"/>
      <c r="R104" s="96">
        <f t="shared" si="22"/>
        <v>0</v>
      </c>
    </row>
    <row r="105" spans="1:18" ht="13.5" customHeight="1">
      <c r="A105" s="51"/>
      <c r="B105" s="52" t="s">
        <v>128</v>
      </c>
      <c r="C105" s="33">
        <v>30937</v>
      </c>
      <c r="D105" s="53">
        <v>0</v>
      </c>
      <c r="E105" s="53">
        <v>101805</v>
      </c>
      <c r="F105" s="53">
        <v>82837</v>
      </c>
      <c r="G105" s="53">
        <v>0</v>
      </c>
      <c r="H105" s="53">
        <v>30001</v>
      </c>
      <c r="I105" s="53">
        <v>131972</v>
      </c>
      <c r="J105" s="53">
        <v>65278</v>
      </c>
      <c r="K105" s="53">
        <v>0</v>
      </c>
      <c r="L105" s="53">
        <v>20823</v>
      </c>
      <c r="M105" s="53">
        <v>1500</v>
      </c>
      <c r="N105" s="34">
        <v>0</v>
      </c>
      <c r="O105" s="33">
        <v>-8827</v>
      </c>
      <c r="P105" s="30">
        <v>0</v>
      </c>
      <c r="R105" s="96">
        <f t="shared" si="22"/>
        <v>465153</v>
      </c>
    </row>
    <row r="106" spans="1:18" ht="13.5" customHeight="1">
      <c r="A106" s="51"/>
      <c r="B106" s="52" t="s">
        <v>46</v>
      </c>
      <c r="C106" s="33">
        <f t="shared" ref="C106:P106" si="24">C59</f>
        <v>-153031</v>
      </c>
      <c r="D106" s="33">
        <f t="shared" si="24"/>
        <v>426891</v>
      </c>
      <c r="E106" s="33">
        <f t="shared" si="24"/>
        <v>692309</v>
      </c>
      <c r="F106" s="33">
        <f t="shared" si="24"/>
        <v>277834</v>
      </c>
      <c r="G106" s="33">
        <v>85067</v>
      </c>
      <c r="H106" s="33">
        <f t="shared" si="24"/>
        <v>137229</v>
      </c>
      <c r="I106" s="33">
        <f t="shared" si="24"/>
        <v>103544</v>
      </c>
      <c r="J106" s="33">
        <f t="shared" si="24"/>
        <v>195521</v>
      </c>
      <c r="K106" s="33">
        <f t="shared" si="24"/>
        <v>57561</v>
      </c>
      <c r="L106" s="33">
        <f t="shared" si="24"/>
        <v>315246</v>
      </c>
      <c r="M106" s="33">
        <f t="shared" si="24"/>
        <v>2161551</v>
      </c>
      <c r="N106" s="34">
        <v>1565102</v>
      </c>
      <c r="O106" s="33">
        <f t="shared" si="24"/>
        <v>34948</v>
      </c>
      <c r="P106" s="30">
        <f t="shared" si="24"/>
        <v>368620</v>
      </c>
      <c r="R106" s="96">
        <f t="shared" si="22"/>
        <v>4299722</v>
      </c>
    </row>
    <row r="107" spans="1:18" ht="13.5" customHeight="1">
      <c r="A107" s="51"/>
      <c r="B107" s="52" t="s">
        <v>155</v>
      </c>
      <c r="C107" s="33">
        <f t="shared" ref="C107:P107" si="25">C60</f>
        <v>0</v>
      </c>
      <c r="D107" s="33">
        <f t="shared" si="25"/>
        <v>0</v>
      </c>
      <c r="E107" s="33">
        <f t="shared" si="25"/>
        <v>0</v>
      </c>
      <c r="F107" s="33">
        <f t="shared" si="25"/>
        <v>0</v>
      </c>
      <c r="G107" s="33">
        <v>0</v>
      </c>
      <c r="H107" s="33">
        <f t="shared" si="25"/>
        <v>0</v>
      </c>
      <c r="I107" s="33">
        <f t="shared" si="25"/>
        <v>0</v>
      </c>
      <c r="J107" s="33">
        <f t="shared" si="25"/>
        <v>0</v>
      </c>
      <c r="K107" s="33">
        <f t="shared" si="25"/>
        <v>0</v>
      </c>
      <c r="L107" s="33">
        <f t="shared" si="25"/>
        <v>0</v>
      </c>
      <c r="M107" s="33">
        <f t="shared" si="25"/>
        <v>0</v>
      </c>
      <c r="N107" s="34">
        <v>0</v>
      </c>
      <c r="O107" s="33">
        <f t="shared" si="25"/>
        <v>0</v>
      </c>
      <c r="P107" s="30">
        <f t="shared" si="25"/>
        <v>0</v>
      </c>
      <c r="R107" s="96">
        <f t="shared" si="22"/>
        <v>0</v>
      </c>
    </row>
    <row r="108" spans="1:18" ht="13.5" customHeight="1">
      <c r="A108" s="51"/>
      <c r="B108" s="52" t="s">
        <v>129</v>
      </c>
      <c r="C108" s="33">
        <f t="shared" ref="C108:P108" si="26">C61</f>
        <v>1579244</v>
      </c>
      <c r="D108" s="33">
        <f t="shared" si="26"/>
        <v>757230</v>
      </c>
      <c r="E108" s="33">
        <f t="shared" si="26"/>
        <v>1166146</v>
      </c>
      <c r="F108" s="33">
        <f t="shared" si="26"/>
        <v>876094</v>
      </c>
      <c r="G108" s="33">
        <v>1815097</v>
      </c>
      <c r="H108" s="33">
        <f t="shared" si="26"/>
        <v>705702</v>
      </c>
      <c r="I108" s="33">
        <f t="shared" si="26"/>
        <v>891735</v>
      </c>
      <c r="J108" s="33">
        <f t="shared" si="26"/>
        <v>1018622</v>
      </c>
      <c r="K108" s="33">
        <f t="shared" si="26"/>
        <v>1325401</v>
      </c>
      <c r="L108" s="33">
        <f t="shared" si="26"/>
        <v>789835</v>
      </c>
      <c r="M108" s="33">
        <f t="shared" si="26"/>
        <v>1423242</v>
      </c>
      <c r="N108" s="34">
        <v>555447</v>
      </c>
      <c r="O108" s="33">
        <f t="shared" si="26"/>
        <v>678671</v>
      </c>
      <c r="P108" s="30">
        <f t="shared" si="26"/>
        <v>1635351</v>
      </c>
      <c r="R108" s="96">
        <f t="shared" si="22"/>
        <v>12348348</v>
      </c>
    </row>
    <row r="109" spans="1:18" ht="13.5" customHeight="1">
      <c r="A109" s="101"/>
      <c r="B109" s="102" t="s">
        <v>115</v>
      </c>
      <c r="C109" s="103">
        <v>0</v>
      </c>
      <c r="D109" s="104">
        <v>0</v>
      </c>
      <c r="E109" s="104">
        <v>-1</v>
      </c>
      <c r="F109" s="104">
        <v>0</v>
      </c>
      <c r="G109" s="104">
        <v>0</v>
      </c>
      <c r="H109" s="104">
        <v>0</v>
      </c>
      <c r="I109" s="104">
        <v>0</v>
      </c>
      <c r="J109" s="104">
        <v>-1</v>
      </c>
      <c r="K109" s="104">
        <v>0</v>
      </c>
      <c r="L109" s="104">
        <v>0</v>
      </c>
      <c r="M109" s="104">
        <v>0</v>
      </c>
      <c r="N109" s="105">
        <v>1</v>
      </c>
      <c r="O109" s="103">
        <v>0</v>
      </c>
      <c r="P109" s="172">
        <v>0</v>
      </c>
      <c r="R109" s="96">
        <f>SUM(C109:P109)</f>
        <v>-1</v>
      </c>
    </row>
    <row r="110" spans="1:18" s="40" customFormat="1" ht="13.5" customHeight="1">
      <c r="A110" s="37" t="s">
        <v>50</v>
      </c>
      <c r="B110" s="106"/>
      <c r="C110" s="107">
        <f>SUM(C105:C109)</f>
        <v>1457150</v>
      </c>
      <c r="D110" s="107">
        <f t="shared" ref="D110:P110" si="27">SUM(D105:D109)</f>
        <v>1184121</v>
      </c>
      <c r="E110" s="107">
        <f t="shared" si="27"/>
        <v>1960259</v>
      </c>
      <c r="F110" s="107">
        <f t="shared" si="27"/>
        <v>1236765</v>
      </c>
      <c r="G110" s="107">
        <f t="shared" si="27"/>
        <v>1900164</v>
      </c>
      <c r="H110" s="107">
        <f t="shared" si="27"/>
        <v>872932</v>
      </c>
      <c r="I110" s="107">
        <f t="shared" si="27"/>
        <v>1127251</v>
      </c>
      <c r="J110" s="107">
        <f t="shared" si="27"/>
        <v>1279420</v>
      </c>
      <c r="K110" s="107">
        <f t="shared" si="27"/>
        <v>1382962</v>
      </c>
      <c r="L110" s="107">
        <f t="shared" si="27"/>
        <v>1125904</v>
      </c>
      <c r="M110" s="107">
        <f t="shared" si="27"/>
        <v>3586293</v>
      </c>
      <c r="N110" s="107">
        <f t="shared" ref="N110" si="28">SUM(N105:N109)</f>
        <v>2120550</v>
      </c>
      <c r="O110" s="107">
        <f t="shared" si="27"/>
        <v>704792</v>
      </c>
      <c r="P110" s="173">
        <f t="shared" si="27"/>
        <v>2003971</v>
      </c>
      <c r="R110" s="99">
        <f t="shared" si="22"/>
        <v>17113221</v>
      </c>
    </row>
    <row r="111" spans="1:18" s="40" customFormat="1" ht="13.5" thickBot="1">
      <c r="A111" s="56" t="s">
        <v>130</v>
      </c>
      <c r="B111" s="57"/>
      <c r="C111" s="109">
        <f>SUM(C103:C109)</f>
        <v>1604279.25</v>
      </c>
      <c r="D111" s="109">
        <f>SUM(D103:D109)</f>
        <v>1338398</v>
      </c>
      <c r="E111" s="109">
        <f t="shared" ref="E111:P111" si="29">SUM(E103:E109)</f>
        <v>2172323</v>
      </c>
      <c r="F111" s="109">
        <f t="shared" si="29"/>
        <v>1317881</v>
      </c>
      <c r="G111" s="109">
        <f t="shared" si="29"/>
        <v>2025489</v>
      </c>
      <c r="H111" s="109">
        <f>SUM(H103:H109)</f>
        <v>996680</v>
      </c>
      <c r="I111" s="109">
        <f t="shared" si="29"/>
        <v>1180951</v>
      </c>
      <c r="J111" s="109">
        <f t="shared" si="29"/>
        <v>1462666</v>
      </c>
      <c r="K111" s="109">
        <f t="shared" si="29"/>
        <v>1612994</v>
      </c>
      <c r="L111" s="109">
        <f t="shared" si="29"/>
        <v>1195717</v>
      </c>
      <c r="M111" s="109">
        <f t="shared" si="29"/>
        <v>3728032</v>
      </c>
      <c r="N111" s="109">
        <f t="shared" ref="N111" si="30">SUM(N103:N109)</f>
        <v>2751038</v>
      </c>
      <c r="O111" s="109">
        <f t="shared" si="29"/>
        <v>835792</v>
      </c>
      <c r="P111" s="110">
        <f t="shared" si="29"/>
        <v>2102170</v>
      </c>
      <c r="R111" s="99">
        <f t="shared" si="22"/>
        <v>18635410.25</v>
      </c>
    </row>
    <row r="112" spans="1:18" ht="12.75" hidden="1" customHeight="1">
      <c r="B112" s="20" t="s">
        <v>172</v>
      </c>
      <c r="C112" s="174">
        <f t="shared" ref="C112:P112" si="31">+C93-C111</f>
        <v>-0.50000000046566129</v>
      </c>
      <c r="D112" s="137">
        <f t="shared" si="31"/>
        <v>0</v>
      </c>
      <c r="E112" s="137">
        <f>+E93-E111</f>
        <v>0</v>
      </c>
      <c r="F112" s="175">
        <f t="shared" si="31"/>
        <v>1</v>
      </c>
      <c r="G112" s="175"/>
      <c r="H112" s="175">
        <f t="shared" si="31"/>
        <v>-0.5</v>
      </c>
      <c r="I112" s="137">
        <f t="shared" si="31"/>
        <v>-1</v>
      </c>
      <c r="J112" s="137">
        <f>+J93-J111</f>
        <v>0</v>
      </c>
      <c r="K112" s="137">
        <f t="shared" si="31"/>
        <v>0</v>
      </c>
      <c r="L112" s="137">
        <f t="shared" si="31"/>
        <v>-1</v>
      </c>
      <c r="M112" s="137">
        <f t="shared" si="31"/>
        <v>-3</v>
      </c>
      <c r="N112" s="167">
        <f t="shared" si="31"/>
        <v>0</v>
      </c>
      <c r="O112" s="137">
        <f t="shared" si="31"/>
        <v>0</v>
      </c>
      <c r="P112" s="137">
        <f t="shared" si="31"/>
        <v>0</v>
      </c>
    </row>
    <row r="113" spans="1:16" ht="12.75" customHeight="1"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67"/>
      <c r="O113" s="137"/>
      <c r="P113" s="137"/>
    </row>
    <row r="114" spans="1:16" ht="43.5" customHeight="1">
      <c r="A114" s="395" t="s">
        <v>131</v>
      </c>
      <c r="B114" s="396"/>
      <c r="C114" s="400">
        <f t="shared" ref="C114:P114" si="32">C54/(C31)</f>
        <v>-0.14135282046301953</v>
      </c>
      <c r="D114" s="400">
        <f t="shared" si="32"/>
        <v>-6.5950008981249912E-3</v>
      </c>
      <c r="E114" s="400">
        <f t="shared" si="32"/>
        <v>6.510587912346795E-2</v>
      </c>
      <c r="F114" s="400">
        <f t="shared" si="32"/>
        <v>-1.9582927383100315E-2</v>
      </c>
      <c r="G114" s="400">
        <f t="shared" ref="G114" si="33">G54/(G31)</f>
        <v>-0.14244785015463324</v>
      </c>
      <c r="H114" s="400">
        <f t="shared" si="32"/>
        <v>9.8118441368120798E-2</v>
      </c>
      <c r="I114" s="400">
        <f t="shared" si="32"/>
        <v>-0.3913709148705618</v>
      </c>
      <c r="J114" s="400">
        <f t="shared" si="32"/>
        <v>-4.0469737172683297E-2</v>
      </c>
      <c r="K114" s="400">
        <f t="shared" si="32"/>
        <v>0.12870409038120717</v>
      </c>
      <c r="L114" s="400">
        <f t="shared" si="32"/>
        <v>-2.7699413990353972E-2</v>
      </c>
      <c r="M114" s="400">
        <f t="shared" si="32"/>
        <v>0.23218634919345904</v>
      </c>
      <c r="N114" s="400">
        <f t="shared" ref="N114" si="34">N54/(N31)</f>
        <v>8.6554399229593348E-3</v>
      </c>
      <c r="O114" s="400">
        <f t="shared" si="32"/>
        <v>-2.6568665235185085E-2</v>
      </c>
      <c r="P114" s="400">
        <f t="shared" si="32"/>
        <v>1.6707203098785033E-2</v>
      </c>
    </row>
    <row r="115" spans="1:16" ht="24">
      <c r="A115" s="257"/>
      <c r="B115" s="258" t="s">
        <v>132</v>
      </c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0"/>
      <c r="P115" s="400"/>
    </row>
    <row r="116" spans="1:16" ht="14.25">
      <c r="A116" s="251" t="s">
        <v>220</v>
      </c>
      <c r="B116" s="252"/>
      <c r="C116" s="401">
        <f t="shared" ref="C116:P116" si="35">(SUM(C81:C82))/SUM(C95:C100)</f>
        <v>0.15420612770309683</v>
      </c>
      <c r="D116" s="401">
        <f t="shared" si="35"/>
        <v>8.8956765738650621</v>
      </c>
      <c r="E116" s="401">
        <f t="shared" si="35"/>
        <v>5.4969951955998928</v>
      </c>
      <c r="F116" s="401">
        <f t="shared" si="35"/>
        <v>9.1323590210021504</v>
      </c>
      <c r="G116" s="401">
        <f t="shared" ref="G116" si="36">(SUM(G81:G82))/SUM(G95:G100)</f>
        <v>3.0370655441972341</v>
      </c>
      <c r="H116" s="401">
        <f t="shared" si="35"/>
        <v>5.8747474339287153</v>
      </c>
      <c r="I116" s="401">
        <f t="shared" si="35"/>
        <v>5.2911173184357541</v>
      </c>
      <c r="J116" s="401">
        <f t="shared" si="35"/>
        <v>3.8491608719590529</v>
      </c>
      <c r="K116" s="401">
        <f t="shared" si="35"/>
        <v>2.5461784052006</v>
      </c>
      <c r="L116" s="401">
        <f t="shared" si="35"/>
        <v>7.1903203890438387</v>
      </c>
      <c r="M116" s="401">
        <f t="shared" si="35"/>
        <v>42.652016211114606</v>
      </c>
      <c r="N116" s="401">
        <f t="shared" ref="N116" si="37">(SUM(N81:N82))/SUM(N95:N100)</f>
        <v>3.2855398219396594</v>
      </c>
      <c r="O116" s="401" t="e">
        <f t="shared" si="35"/>
        <v>#DIV/0!</v>
      </c>
      <c r="P116" s="401">
        <f t="shared" si="35"/>
        <v>6.2690723300193598</v>
      </c>
    </row>
    <row r="117" spans="1:16" ht="36">
      <c r="A117" s="253"/>
      <c r="B117" s="254" t="s">
        <v>221</v>
      </c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02"/>
      <c r="O117" s="402"/>
      <c r="P117" s="402"/>
    </row>
    <row r="118" spans="1:16" ht="14.25">
      <c r="A118" s="251" t="s">
        <v>222</v>
      </c>
      <c r="B118" s="252"/>
      <c r="C118" s="401">
        <f t="shared" ref="C118:P118" si="38">(SUM(C81:C82))/SUM(C95:C101)</f>
        <v>0.10450536414429391</v>
      </c>
      <c r="D118" s="401">
        <f t="shared" si="38"/>
        <v>5.6404922122715115</v>
      </c>
      <c r="E118" s="401">
        <f t="shared" si="38"/>
        <v>4.7317177833106987</v>
      </c>
      <c r="F118" s="401">
        <f t="shared" si="38"/>
        <v>5.446360767296218</v>
      </c>
      <c r="G118" s="401">
        <f t="shared" ref="G118" si="39">(SUM(G81:G82))/SUM(G95:G101)</f>
        <v>3.0370655441972341</v>
      </c>
      <c r="H118" s="401">
        <f t="shared" si="38"/>
        <v>2.3495571645602351</v>
      </c>
      <c r="I118" s="401">
        <f t="shared" si="38"/>
        <v>5.2911173184357541</v>
      </c>
      <c r="J118" s="401">
        <f t="shared" si="38"/>
        <v>3.1417681277619196</v>
      </c>
      <c r="K118" s="401">
        <f t="shared" si="38"/>
        <v>2.5461784052006</v>
      </c>
      <c r="L118" s="401">
        <f t="shared" si="38"/>
        <v>5.7606606219472019</v>
      </c>
      <c r="M118" s="401">
        <f t="shared" si="38"/>
        <v>20.232160257029239</v>
      </c>
      <c r="N118" s="401">
        <f t="shared" ref="N118" si="40">(SUM(N81:N82))/SUM(N95:N101)</f>
        <v>3.2470883044879968</v>
      </c>
      <c r="O118" s="401" t="e">
        <f t="shared" si="38"/>
        <v>#DIV/0!</v>
      </c>
      <c r="P118" s="401">
        <f t="shared" si="38"/>
        <v>6.2690723300193598</v>
      </c>
    </row>
    <row r="119" spans="1:16" ht="36">
      <c r="A119" s="253"/>
      <c r="B119" s="254" t="s">
        <v>223</v>
      </c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</row>
    <row r="120" spans="1:16" s="256" customFormat="1" ht="8.1" customHeight="1">
      <c r="A120" s="263"/>
      <c r="B120" s="264"/>
      <c r="C120" s="265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265"/>
      <c r="P120" s="266"/>
    </row>
    <row r="121" spans="1:16" ht="12.75" customHeight="1">
      <c r="A121" s="259" t="s">
        <v>133</v>
      </c>
      <c r="B121" s="260"/>
      <c r="C121" s="399">
        <f t="shared" ref="C121:P121" si="41">C103/C93</f>
        <v>9.1710527238486481E-2</v>
      </c>
      <c r="D121" s="399">
        <f t="shared" si="41"/>
        <v>0.11526989729512448</v>
      </c>
      <c r="E121" s="399">
        <f t="shared" si="41"/>
        <v>9.7620841836135785E-2</v>
      </c>
      <c r="F121" s="399">
        <f t="shared" si="41"/>
        <v>6.1550275366079814E-2</v>
      </c>
      <c r="G121" s="399">
        <f t="shared" ref="G121" si="42">G103/G93</f>
        <v>6.1873947476387185E-2</v>
      </c>
      <c r="H121" s="399">
        <f t="shared" si="41"/>
        <v>0.12416027419044939</v>
      </c>
      <c r="I121" s="399">
        <f t="shared" si="41"/>
        <v>4.547186587069732E-2</v>
      </c>
      <c r="J121" s="399">
        <f t="shared" si="41"/>
        <v>0.12528219019242945</v>
      </c>
      <c r="K121" s="399">
        <f t="shared" si="41"/>
        <v>0.14261181380711893</v>
      </c>
      <c r="L121" s="399">
        <f t="shared" si="41"/>
        <v>5.8385937797938638E-2</v>
      </c>
      <c r="M121" s="399">
        <f t="shared" si="41"/>
        <v>3.8019822270695856E-2</v>
      </c>
      <c r="N121" s="399">
        <f t="shared" ref="N121" si="43">N103/N93</f>
        <v>0.22918185790236267</v>
      </c>
      <c r="O121" s="399">
        <f t="shared" si="41"/>
        <v>0.15673756149855467</v>
      </c>
      <c r="P121" s="399">
        <f t="shared" si="41"/>
        <v>4.6713158307843797E-2</v>
      </c>
    </row>
    <row r="122" spans="1:16" ht="25.5">
      <c r="A122" s="257"/>
      <c r="B122" s="261" t="s">
        <v>134</v>
      </c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</row>
    <row r="123" spans="1:16" ht="12.75" customHeight="1">
      <c r="A123" s="259" t="s">
        <v>135</v>
      </c>
      <c r="B123" s="262"/>
      <c r="C123" s="399">
        <f t="shared" ref="C123:P123" si="44">C110/C93</f>
        <v>0.90828978442804931</v>
      </c>
      <c r="D123" s="399">
        <f t="shared" si="44"/>
        <v>0.88473010270487551</v>
      </c>
      <c r="E123" s="399">
        <f t="shared" si="44"/>
        <v>0.90237915816386416</v>
      </c>
      <c r="F123" s="399">
        <f t="shared" si="44"/>
        <v>0.9384489658406443</v>
      </c>
      <c r="G123" s="399">
        <f t="shared" ref="G123" si="45">G110/G93</f>
        <v>0.93812605252361281</v>
      </c>
      <c r="H123" s="399">
        <f t="shared" si="44"/>
        <v>0.87584022747533186</v>
      </c>
      <c r="I123" s="399">
        <f t="shared" si="44"/>
        <v>0.95452898090520344</v>
      </c>
      <c r="J123" s="399">
        <f t="shared" si="44"/>
        <v>0.87471780980757052</v>
      </c>
      <c r="K123" s="399">
        <f t="shared" si="44"/>
        <v>0.85738818619288104</v>
      </c>
      <c r="L123" s="399">
        <f t="shared" si="44"/>
        <v>0.94161489852105351</v>
      </c>
      <c r="M123" s="399">
        <f t="shared" si="44"/>
        <v>0.96198098244407437</v>
      </c>
      <c r="N123" s="399">
        <f t="shared" ref="N123" si="46">N110/N93</f>
        <v>0.77081814209763733</v>
      </c>
      <c r="O123" s="399">
        <f t="shared" si="44"/>
        <v>0.84326243850144533</v>
      </c>
      <c r="P123" s="399">
        <f t="shared" si="44"/>
        <v>0.95328684169215616</v>
      </c>
    </row>
    <row r="124" spans="1:16" ht="24">
      <c r="A124" s="257"/>
      <c r="B124" s="258" t="s">
        <v>136</v>
      </c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</row>
    <row r="125" spans="1:16" ht="12.75" customHeight="1">
      <c r="A125" s="397" t="s">
        <v>137</v>
      </c>
      <c r="B125" s="398"/>
      <c r="C125" s="399">
        <f t="shared" ref="C125:P125" si="47">C103/C110</f>
        <v>0.10097055896784819</v>
      </c>
      <c r="D125" s="399">
        <f t="shared" si="47"/>
        <v>0.13028820534387955</v>
      </c>
      <c r="E125" s="399">
        <f t="shared" si="47"/>
        <v>0.10818162293860148</v>
      </c>
      <c r="F125" s="399">
        <f t="shared" si="47"/>
        <v>6.5587237672476179E-2</v>
      </c>
      <c r="G125" s="399">
        <f t="shared" ref="G125" si="48">G103/G110</f>
        <v>6.5954833372277338E-2</v>
      </c>
      <c r="H125" s="399">
        <f t="shared" si="47"/>
        <v>0.14176132848835876</v>
      </c>
      <c r="I125" s="399">
        <f t="shared" si="47"/>
        <v>4.7638014958514122E-2</v>
      </c>
      <c r="J125" s="399">
        <f t="shared" si="47"/>
        <v>0.14322583670725797</v>
      </c>
      <c r="K125" s="399">
        <f t="shared" si="47"/>
        <v>0.16633284211713698</v>
      </c>
      <c r="L125" s="399">
        <f t="shared" si="47"/>
        <v>6.2006174593926301E-2</v>
      </c>
      <c r="M125" s="399">
        <f t="shared" si="47"/>
        <v>3.952242608175071E-2</v>
      </c>
      <c r="N125" s="399">
        <f t="shared" ref="N125" si="49">N103/N110</f>
        <v>0.29732286435122962</v>
      </c>
      <c r="O125" s="399">
        <f t="shared" si="47"/>
        <v>0.18587044120818624</v>
      </c>
      <c r="P125" s="399">
        <f t="shared" si="47"/>
        <v>4.9002206119749238E-2</v>
      </c>
    </row>
    <row r="126" spans="1:16" ht="12.75" customHeight="1">
      <c r="A126" s="257"/>
      <c r="B126" s="258" t="s">
        <v>138</v>
      </c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399"/>
      <c r="P126" s="399"/>
    </row>
    <row r="127" spans="1:16" s="256" customFormat="1" ht="8.1" customHeight="1">
      <c r="A127" s="267"/>
      <c r="B127" s="268"/>
      <c r="C127" s="269"/>
      <c r="D127" s="269"/>
      <c r="E127" s="269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71"/>
    </row>
    <row r="128" spans="1:16">
      <c r="A128" s="277" t="s">
        <v>139</v>
      </c>
      <c r="B128" s="278"/>
      <c r="C128" s="176">
        <v>2</v>
      </c>
      <c r="D128" s="176">
        <v>3</v>
      </c>
      <c r="E128" s="176">
        <v>5</v>
      </c>
      <c r="F128" s="176">
        <v>3</v>
      </c>
      <c r="G128" s="176">
        <v>0</v>
      </c>
      <c r="H128" s="176">
        <v>2</v>
      </c>
      <c r="I128" s="176">
        <v>1</v>
      </c>
      <c r="J128" s="176">
        <v>2</v>
      </c>
      <c r="K128" s="176">
        <v>1</v>
      </c>
      <c r="L128" s="176">
        <v>1</v>
      </c>
      <c r="M128" s="176">
        <v>5</v>
      </c>
      <c r="N128" s="176">
        <v>4</v>
      </c>
      <c r="O128" s="176">
        <v>4</v>
      </c>
      <c r="P128" s="176">
        <v>4</v>
      </c>
    </row>
    <row r="129" spans="1:17" s="256" customFormat="1" ht="8.1" customHeight="1">
      <c r="A129" s="273"/>
      <c r="B129" s="268"/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  <c r="M129" s="268"/>
      <c r="N129" s="268"/>
      <c r="O129" s="268"/>
      <c r="P129" s="274"/>
    </row>
    <row r="130" spans="1:17">
      <c r="A130" s="283" t="s">
        <v>140</v>
      </c>
      <c r="B130" s="283"/>
      <c r="C130" s="276">
        <v>6590</v>
      </c>
      <c r="D130" s="288">
        <v>16774</v>
      </c>
      <c r="E130" s="288">
        <v>14935</v>
      </c>
      <c r="F130" s="288">
        <v>25378</v>
      </c>
      <c r="G130" s="288">
        <v>17581</v>
      </c>
      <c r="H130" s="288">
        <v>13053</v>
      </c>
      <c r="I130" s="288">
        <v>19797</v>
      </c>
      <c r="J130" s="288">
        <v>18256</v>
      </c>
      <c r="K130" s="288">
        <v>12501</v>
      </c>
      <c r="L130" s="288">
        <v>21154</v>
      </c>
      <c r="M130" s="141">
        <v>0</v>
      </c>
      <c r="N130" s="141">
        <v>11633</v>
      </c>
      <c r="O130" s="288">
        <v>27142</v>
      </c>
      <c r="P130" s="288">
        <v>34680</v>
      </c>
      <c r="Q130" s="59">
        <f>AVERAGE(C130:P130)</f>
        <v>17105.285714285714</v>
      </c>
    </row>
    <row r="131" spans="1:17">
      <c r="A131" s="275" t="s">
        <v>143</v>
      </c>
      <c r="B131" s="275"/>
      <c r="C131" s="94">
        <v>248</v>
      </c>
      <c r="D131" s="288">
        <v>32520</v>
      </c>
      <c r="E131" s="288">
        <v>1563</v>
      </c>
      <c r="F131" s="288">
        <v>20244</v>
      </c>
      <c r="G131" s="288">
        <v>2574</v>
      </c>
      <c r="H131" s="288">
        <v>16410</v>
      </c>
      <c r="I131" s="288">
        <v>11973</v>
      </c>
      <c r="J131" s="288">
        <v>6328</v>
      </c>
      <c r="K131" s="288">
        <v>8938</v>
      </c>
      <c r="L131" s="288">
        <v>9000</v>
      </c>
      <c r="M131" s="141">
        <v>0</v>
      </c>
      <c r="N131" s="141">
        <v>5620</v>
      </c>
      <c r="O131" s="288">
        <v>23438</v>
      </c>
      <c r="P131" s="288">
        <v>30591</v>
      </c>
      <c r="Q131" s="59">
        <f>AVERAGE(C131:P131)</f>
        <v>12103.357142857143</v>
      </c>
    </row>
    <row r="132" spans="1:17">
      <c r="A132" s="275" t="s">
        <v>144</v>
      </c>
      <c r="B132" s="275"/>
      <c r="C132" s="276">
        <v>6838</v>
      </c>
      <c r="D132" s="288">
        <v>49294</v>
      </c>
      <c r="E132" s="288">
        <v>16498</v>
      </c>
      <c r="F132" s="288">
        <v>45622</v>
      </c>
      <c r="G132" s="288">
        <v>20155</v>
      </c>
      <c r="H132" s="288">
        <v>29463</v>
      </c>
      <c r="I132" s="288">
        <v>31770</v>
      </c>
      <c r="J132" s="288">
        <v>24584</v>
      </c>
      <c r="K132" s="288">
        <v>21439</v>
      </c>
      <c r="L132" s="288">
        <v>30154</v>
      </c>
      <c r="M132" s="141">
        <v>0</v>
      </c>
      <c r="N132" s="141">
        <v>17253</v>
      </c>
      <c r="O132" s="288">
        <v>50580</v>
      </c>
      <c r="P132" s="288">
        <v>65271</v>
      </c>
      <c r="Q132" s="59">
        <f>AVERAGE(C132:P132)</f>
        <v>29208.642857142859</v>
      </c>
    </row>
    <row r="135" spans="1:17" ht="12.75" customHeight="1">
      <c r="A135" s="341"/>
      <c r="B135" s="91"/>
      <c r="C135" s="233"/>
      <c r="D135" s="233"/>
      <c r="H135" s="87"/>
      <c r="I135" s="87"/>
      <c r="J135" s="87"/>
      <c r="K135" s="87"/>
      <c r="L135" s="87"/>
      <c r="M135" s="87"/>
      <c r="O135" s="87"/>
      <c r="P135" s="87"/>
    </row>
    <row r="136" spans="1:17" ht="12.75" customHeight="1">
      <c r="A136" s="341"/>
      <c r="B136" s="91"/>
      <c r="C136" s="233"/>
      <c r="D136" s="233"/>
      <c r="M136" s="87"/>
    </row>
  </sheetData>
  <mergeCells count="101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N118:N119"/>
    <mergeCell ref="O118:O119"/>
    <mergeCell ref="P118:P119"/>
    <mergeCell ref="G118:G119"/>
    <mergeCell ref="H118:H119"/>
    <mergeCell ref="I118:I119"/>
    <mergeCell ref="J118:J119"/>
    <mergeCell ref="K118:K119"/>
    <mergeCell ref="L121:L122"/>
    <mergeCell ref="M121:M122"/>
    <mergeCell ref="N121:N122"/>
    <mergeCell ref="O121:O122"/>
    <mergeCell ref="P121:P122"/>
    <mergeCell ref="G121:G122"/>
    <mergeCell ref="H121:H122"/>
    <mergeCell ref="I121:I122"/>
    <mergeCell ref="J121:J122"/>
    <mergeCell ref="K121:K122"/>
    <mergeCell ref="D123:D124"/>
    <mergeCell ref="E123:E124"/>
    <mergeCell ref="L114:L115"/>
    <mergeCell ref="M114:M115"/>
    <mergeCell ref="N114:N115"/>
    <mergeCell ref="O114:O115"/>
    <mergeCell ref="P114:P115"/>
    <mergeCell ref="G114:G115"/>
    <mergeCell ref="H114:H115"/>
    <mergeCell ref="I114:I115"/>
    <mergeCell ref="J114:J115"/>
    <mergeCell ref="K114:K115"/>
    <mergeCell ref="L116:L117"/>
    <mergeCell ref="M116:M117"/>
    <mergeCell ref="N116:N117"/>
    <mergeCell ref="O116:O117"/>
    <mergeCell ref="P116:P117"/>
    <mergeCell ref="G116:G117"/>
    <mergeCell ref="H116:H117"/>
    <mergeCell ref="I116:I117"/>
    <mergeCell ref="J116:J117"/>
    <mergeCell ref="K116:K117"/>
    <mergeCell ref="L118:L119"/>
    <mergeCell ref="M118:M119"/>
    <mergeCell ref="E114:E115"/>
    <mergeCell ref="F114:F115"/>
    <mergeCell ref="D116:D117"/>
    <mergeCell ref="E116:E117"/>
    <mergeCell ref="F116:F117"/>
    <mergeCell ref="D118:D119"/>
    <mergeCell ref="E118:E119"/>
    <mergeCell ref="F118:F119"/>
    <mergeCell ref="D121:D122"/>
    <mergeCell ref="E121:E122"/>
    <mergeCell ref="F121:F122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14:B114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F115 O114:P115 H114:M115">
    <cfRule type="cellIs" dxfId="27" priority="7" operator="lessThan">
      <formula>0</formula>
    </cfRule>
  </conditionalFormatting>
  <conditionalFormatting sqref="N114:N115">
    <cfRule type="cellIs" dxfId="26" priority="6" operator="lessThan">
      <formula>0</formula>
    </cfRule>
  </conditionalFormatting>
  <conditionalFormatting sqref="C63:F63 H63:P63">
    <cfRule type="cellIs" dxfId="25" priority="5" operator="lessThan">
      <formula>0</formula>
    </cfRule>
  </conditionalFormatting>
  <conditionalFormatting sqref="G63">
    <cfRule type="cellIs" dxfId="24" priority="2" operator="lessThan">
      <formula>0</formula>
    </cfRule>
  </conditionalFormatting>
  <conditionalFormatting sqref="G114:G115">
    <cfRule type="cellIs" dxfId="23" priority="1" operator="lessThan">
      <formula>0</formula>
    </cfRule>
  </conditionalFormatting>
  <printOptions horizontalCentered="1"/>
  <pageMargins left="0.5" right="0.5" top="0.75" bottom="0.35" header="0.5" footer="0.15"/>
  <pageSetup scale="69" fitToHeight="0" orientation="portrait" r:id="rId1"/>
  <headerFooter alignWithMargins="0">
    <oddHeader>&amp;C&amp;"Arial,Bold"&amp;14CLASS III FAIRS</oddHeader>
    <oddFooter>&amp;CFairs and Expositions</oddFooter>
  </headerFooter>
  <rowBreaks count="1" manualBreakCount="1">
    <brk id="74" max="15" man="1"/>
  </rowBreaks>
  <colBreaks count="2" manualBreakCount="2">
    <brk id="7" max="135" man="1"/>
    <brk id="10" max="13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6"/>
  <sheetViews>
    <sheetView view="pageBreakPreview" zoomScaleNormal="100" zoomScaleSheetLayoutView="100" workbookViewId="0">
      <pane xSplit="2" ySplit="3" topLeftCell="H4" activePane="bottomRight" state="frozen"/>
      <selection activeCell="B13" sqref="B13"/>
      <selection pane="topRight" activeCell="B13" sqref="B13"/>
      <selection pane="bottomLeft" activeCell="B13" sqref="B13"/>
      <selection pane="bottomRight" activeCell="O4" sqref="O4"/>
    </sheetView>
  </sheetViews>
  <sheetFormatPr defaultRowHeight="12.75"/>
  <cols>
    <col min="1" max="1" width="4.7109375" style="20" customWidth="1"/>
    <col min="2" max="2" width="50.7109375" style="20" customWidth="1"/>
    <col min="3" max="6" width="12.7109375" style="20" customWidth="1"/>
    <col min="7" max="7" width="12.7109375" style="87" customWidth="1"/>
    <col min="8" max="13" width="12.7109375" style="20" customWidth="1"/>
    <col min="14" max="15" width="12.7109375" style="87" customWidth="1"/>
    <col min="16" max="16" width="12.7109375" style="20" customWidth="1"/>
    <col min="17" max="17" width="13.140625" style="20" customWidth="1"/>
    <col min="18" max="18" width="12.5703125" style="20" customWidth="1"/>
    <col min="19" max="16384" width="9.140625" style="20"/>
  </cols>
  <sheetData>
    <row r="1" spans="1:18" ht="12" customHeight="1">
      <c r="A1" s="383"/>
      <c r="B1" s="384"/>
      <c r="C1" s="310"/>
      <c r="D1" s="310"/>
      <c r="E1" s="310"/>
      <c r="F1" s="310"/>
      <c r="G1" s="356"/>
      <c r="H1" s="310"/>
      <c r="I1" s="310"/>
      <c r="J1" s="310"/>
      <c r="K1" s="310"/>
      <c r="L1" s="310"/>
      <c r="M1" s="310"/>
      <c r="N1" s="310"/>
      <c r="O1" s="310"/>
      <c r="P1" s="311"/>
    </row>
    <row r="2" spans="1:18" ht="12" customHeight="1">
      <c r="A2" s="385"/>
      <c r="B2" s="386"/>
      <c r="C2" s="387" t="s">
        <v>173</v>
      </c>
      <c r="D2" s="387" t="s">
        <v>174</v>
      </c>
      <c r="E2" s="387" t="s">
        <v>175</v>
      </c>
      <c r="F2" s="387" t="s">
        <v>176</v>
      </c>
      <c r="G2" s="387" t="s">
        <v>232</v>
      </c>
      <c r="H2" s="387" t="s">
        <v>177</v>
      </c>
      <c r="I2" s="387" t="s">
        <v>178</v>
      </c>
      <c r="J2" s="387" t="s">
        <v>179</v>
      </c>
      <c r="K2" s="387" t="s">
        <v>234</v>
      </c>
      <c r="L2" s="387" t="s">
        <v>180</v>
      </c>
      <c r="M2" s="387" t="s">
        <v>181</v>
      </c>
      <c r="N2" s="387" t="s">
        <v>182</v>
      </c>
      <c r="O2" s="387" t="s">
        <v>236</v>
      </c>
      <c r="P2" s="389" t="s">
        <v>183</v>
      </c>
    </row>
    <row r="3" spans="1:18" ht="69" customHeight="1">
      <c r="A3" s="385"/>
      <c r="B3" s="386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409"/>
      <c r="R3" s="20" t="s">
        <v>44</v>
      </c>
    </row>
    <row r="4" spans="1:18" ht="13.5" customHeight="1">
      <c r="A4" s="22" t="s">
        <v>45</v>
      </c>
      <c r="B4" s="23"/>
      <c r="C4" s="65"/>
      <c r="D4" s="65"/>
      <c r="E4" s="65"/>
      <c r="F4" s="65"/>
      <c r="G4" s="66"/>
      <c r="H4" s="65"/>
      <c r="I4" s="65"/>
      <c r="J4" s="65"/>
      <c r="K4" s="65"/>
      <c r="L4" s="65"/>
      <c r="M4" s="64"/>
      <c r="N4" s="64"/>
      <c r="O4" s="64"/>
      <c r="P4" s="67"/>
    </row>
    <row r="5" spans="1:18" ht="13.5" customHeight="1">
      <c r="A5" s="22"/>
      <c r="B5" s="23" t="s">
        <v>46</v>
      </c>
      <c r="C5" s="177">
        <v>482296</v>
      </c>
      <c r="D5" s="177">
        <v>1472475.84</v>
      </c>
      <c r="E5" s="177">
        <v>84660</v>
      </c>
      <c r="F5" s="177">
        <v>1943416.84</v>
      </c>
      <c r="G5" s="361">
        <v>78069</v>
      </c>
      <c r="H5" s="177">
        <v>440069</v>
      </c>
      <c r="I5" s="177">
        <v>275668</v>
      </c>
      <c r="J5" s="177">
        <v>445963</v>
      </c>
      <c r="K5" s="177">
        <v>1389966</v>
      </c>
      <c r="L5" s="177">
        <v>431550</v>
      </c>
      <c r="M5" s="177">
        <v>231592</v>
      </c>
      <c r="N5" s="177">
        <v>875055</v>
      </c>
      <c r="O5" s="177">
        <v>61893</v>
      </c>
      <c r="P5" s="332">
        <v>20275</v>
      </c>
    </row>
    <row r="6" spans="1:18" ht="13.5" customHeight="1">
      <c r="A6" s="22"/>
      <c r="B6" s="31" t="s">
        <v>47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5">
        <v>21720</v>
      </c>
    </row>
    <row r="7" spans="1:18" ht="13.5" customHeight="1">
      <c r="A7" s="22"/>
      <c r="B7" s="23" t="s">
        <v>48</v>
      </c>
      <c r="C7" s="54">
        <v>3114077</v>
      </c>
      <c r="D7" s="54">
        <v>976608.76</v>
      </c>
      <c r="E7" s="29">
        <v>1926774</v>
      </c>
      <c r="F7" s="29">
        <v>5086352.66</v>
      </c>
      <c r="G7" s="29">
        <v>1778610</v>
      </c>
      <c r="H7" s="29">
        <v>2043763</v>
      </c>
      <c r="I7" s="29">
        <v>2774792</v>
      </c>
      <c r="J7" s="54">
        <v>798994</v>
      </c>
      <c r="K7" s="29">
        <v>986768</v>
      </c>
      <c r="L7" s="29">
        <v>1684070</v>
      </c>
      <c r="M7" s="28">
        <v>1105954</v>
      </c>
      <c r="N7" s="28">
        <v>5514846</v>
      </c>
      <c r="O7" s="28">
        <v>1334048</v>
      </c>
      <c r="P7" s="35">
        <v>813415</v>
      </c>
    </row>
    <row r="8" spans="1:18" ht="13.5" customHeight="1">
      <c r="A8" s="22"/>
      <c r="B8" s="23" t="s">
        <v>49</v>
      </c>
      <c r="C8" s="150">
        <v>0</v>
      </c>
      <c r="D8" s="150">
        <v>0</v>
      </c>
      <c r="E8" s="118">
        <v>0</v>
      </c>
      <c r="F8" s="118">
        <v>0</v>
      </c>
      <c r="G8" s="118">
        <v>98</v>
      </c>
      <c r="H8" s="118">
        <v>0</v>
      </c>
      <c r="I8" s="118">
        <v>0</v>
      </c>
      <c r="J8" s="150">
        <v>0</v>
      </c>
      <c r="K8" s="118">
        <v>0</v>
      </c>
      <c r="L8" s="118">
        <v>0</v>
      </c>
      <c r="M8" s="119">
        <v>-2761</v>
      </c>
      <c r="N8" s="119">
        <v>0</v>
      </c>
      <c r="O8" s="119">
        <v>-259</v>
      </c>
      <c r="P8" s="202"/>
      <c r="R8" s="59">
        <f>SUM(C8:K8)</f>
        <v>98</v>
      </c>
    </row>
    <row r="9" spans="1:18" s="40" customFormat="1" ht="13.5" customHeight="1" thickBot="1">
      <c r="A9" s="56"/>
      <c r="B9" s="153" t="s">
        <v>50</v>
      </c>
      <c r="C9" s="109">
        <f t="shared" ref="C9:L9" si="0">SUM(C5:C8)</f>
        <v>3596373</v>
      </c>
      <c r="D9" s="109">
        <f t="shared" si="0"/>
        <v>2449084.6</v>
      </c>
      <c r="E9" s="109">
        <f t="shared" si="0"/>
        <v>2011434</v>
      </c>
      <c r="F9" s="109">
        <f t="shared" si="0"/>
        <v>7029769.5</v>
      </c>
      <c r="G9" s="109">
        <f t="shared" ref="G9" si="1">SUM(G5:G8)</f>
        <v>1856777</v>
      </c>
      <c r="H9" s="109">
        <f t="shared" si="0"/>
        <v>2483832</v>
      </c>
      <c r="I9" s="109">
        <f t="shared" si="0"/>
        <v>3050460</v>
      </c>
      <c r="J9" s="109">
        <f t="shared" si="0"/>
        <v>1244957</v>
      </c>
      <c r="K9" s="109">
        <f t="shared" si="0"/>
        <v>2376734</v>
      </c>
      <c r="L9" s="109">
        <f t="shared" si="0"/>
        <v>2115620</v>
      </c>
      <c r="M9" s="109">
        <f>SUM(M5:M8)</f>
        <v>1334785</v>
      </c>
      <c r="N9" s="109">
        <f>SUM(N5:N8)</f>
        <v>6389901</v>
      </c>
      <c r="O9" s="109">
        <f>SUM(O5:O8)</f>
        <v>1395682</v>
      </c>
      <c r="P9" s="110">
        <f>SUM(P5:P8)</f>
        <v>855410</v>
      </c>
      <c r="R9" s="59">
        <f>SUM(C9:K9)</f>
        <v>26099421.100000001</v>
      </c>
    </row>
    <row r="10" spans="1:18" s="40" customFormat="1" ht="13.5" customHeight="1">
      <c r="A10" s="62" t="s">
        <v>51</v>
      </c>
      <c r="B10" s="63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1"/>
    </row>
    <row r="11" spans="1:18" s="40" customFormat="1" ht="13.5" customHeight="1">
      <c r="A11" s="41"/>
      <c r="B11" s="42" t="s">
        <v>52</v>
      </c>
      <c r="C11" s="43">
        <v>30000</v>
      </c>
      <c r="D11" s="43">
        <v>30000</v>
      </c>
      <c r="E11" s="43">
        <v>30000</v>
      </c>
      <c r="F11" s="43">
        <v>30000</v>
      </c>
      <c r="G11" s="43">
        <v>30000</v>
      </c>
      <c r="H11" s="43">
        <v>30000</v>
      </c>
      <c r="I11" s="43">
        <v>30000</v>
      </c>
      <c r="J11" s="43">
        <v>30000</v>
      </c>
      <c r="K11" s="43">
        <v>0</v>
      </c>
      <c r="L11" s="43">
        <v>30000</v>
      </c>
      <c r="M11" s="43">
        <v>30000</v>
      </c>
      <c r="N11" s="43">
        <v>30000</v>
      </c>
      <c r="O11" s="43">
        <v>30000</v>
      </c>
      <c r="P11" s="44">
        <v>0</v>
      </c>
      <c r="R11" s="59">
        <f>SUM(C11:K11)</f>
        <v>240000</v>
      </c>
    </row>
    <row r="12" spans="1:18" s="40" customFormat="1" ht="13.5" customHeight="1">
      <c r="A12" s="41"/>
      <c r="B12" s="42" t="s">
        <v>53</v>
      </c>
      <c r="C12" s="43">
        <v>0</v>
      </c>
      <c r="D12" s="43">
        <v>0</v>
      </c>
      <c r="E12" s="43">
        <v>128994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4">
        <v>0</v>
      </c>
      <c r="R12" s="59">
        <f>SUM(C12:K12)</f>
        <v>128994</v>
      </c>
    </row>
    <row r="13" spans="1:18" s="40" customFormat="1" ht="13.5" customHeight="1" thickBot="1">
      <c r="A13" s="292"/>
      <c r="B13" s="57" t="s">
        <v>54</v>
      </c>
      <c r="C13" s="58">
        <v>0</v>
      </c>
      <c r="D13" s="58">
        <v>2400</v>
      </c>
      <c r="E13" s="58">
        <v>58430</v>
      </c>
      <c r="F13" s="58">
        <v>0</v>
      </c>
      <c r="G13" s="58">
        <v>0</v>
      </c>
      <c r="H13" s="58">
        <v>217953</v>
      </c>
      <c r="I13" s="58">
        <v>0</v>
      </c>
      <c r="J13" s="58">
        <v>0</v>
      </c>
      <c r="K13" s="58">
        <v>0</v>
      </c>
      <c r="L13" s="58">
        <v>0</v>
      </c>
      <c r="M13" s="58">
        <v>12500</v>
      </c>
      <c r="N13" s="58">
        <v>749373</v>
      </c>
      <c r="O13" s="58">
        <v>0</v>
      </c>
      <c r="P13" s="152">
        <v>25000</v>
      </c>
      <c r="Q13" s="59"/>
      <c r="R13" s="59">
        <f>SUM(C13:K13)</f>
        <v>278783</v>
      </c>
    </row>
    <row r="14" spans="1:18" ht="13.5" customHeight="1">
      <c r="A14" s="45" t="s">
        <v>55</v>
      </c>
      <c r="B14" s="46"/>
      <c r="C14" s="48"/>
      <c r="D14" s="48"/>
      <c r="E14" s="48"/>
      <c r="F14" s="48"/>
      <c r="G14" s="49"/>
      <c r="H14" s="48"/>
      <c r="I14" s="48"/>
      <c r="J14" s="48"/>
      <c r="K14" s="48"/>
      <c r="L14" s="48"/>
      <c r="M14" s="47"/>
      <c r="N14" s="47"/>
      <c r="O14" s="47"/>
      <c r="P14" s="50"/>
    </row>
    <row r="15" spans="1:18" ht="13.5" customHeight="1">
      <c r="A15" s="51"/>
      <c r="B15" s="52" t="s">
        <v>56</v>
      </c>
      <c r="C15" s="53">
        <v>315143</v>
      </c>
      <c r="D15" s="53">
        <v>617805</v>
      </c>
      <c r="E15" s="53">
        <v>503577</v>
      </c>
      <c r="F15" s="53">
        <v>234058</v>
      </c>
      <c r="G15" s="34">
        <v>162351</v>
      </c>
      <c r="H15" s="53">
        <v>342283</v>
      </c>
      <c r="I15" s="53">
        <v>162470</v>
      </c>
      <c r="J15" s="53">
        <v>337339</v>
      </c>
      <c r="K15" s="53">
        <v>416062</v>
      </c>
      <c r="L15" s="53">
        <v>212410</v>
      </c>
      <c r="M15" s="33">
        <v>269471</v>
      </c>
      <c r="N15" s="33">
        <v>143086</v>
      </c>
      <c r="O15" s="33">
        <v>194390</v>
      </c>
      <c r="P15" s="30">
        <v>41214</v>
      </c>
    </row>
    <row r="16" spans="1:18" ht="13.5" customHeight="1">
      <c r="A16" s="51"/>
      <c r="B16" s="52" t="s">
        <v>57</v>
      </c>
      <c r="C16" s="53">
        <v>54599</v>
      </c>
      <c r="D16" s="53">
        <v>50250</v>
      </c>
      <c r="E16" s="53">
        <v>44073</v>
      </c>
      <c r="F16" s="53">
        <v>22975</v>
      </c>
      <c r="G16" s="34">
        <v>33420</v>
      </c>
      <c r="H16" s="53">
        <v>51987</v>
      </c>
      <c r="I16" s="53">
        <v>60107</v>
      </c>
      <c r="J16" s="53">
        <v>56555</v>
      </c>
      <c r="K16" s="53">
        <v>62842</v>
      </c>
      <c r="L16" s="53">
        <v>77882</v>
      </c>
      <c r="M16" s="33">
        <v>44150</v>
      </c>
      <c r="N16" s="33">
        <v>26667</v>
      </c>
      <c r="O16" s="33">
        <v>4385</v>
      </c>
      <c r="P16" s="30">
        <v>26860</v>
      </c>
    </row>
    <row r="17" spans="1:20" ht="13.5" customHeight="1">
      <c r="A17" s="51"/>
      <c r="B17" s="52" t="s">
        <v>58</v>
      </c>
      <c r="C17" s="53">
        <v>203738</v>
      </c>
      <c r="D17" s="53">
        <v>6220</v>
      </c>
      <c r="E17" s="53">
        <v>0</v>
      </c>
      <c r="F17" s="53">
        <v>137299.45000000001</v>
      </c>
      <c r="G17" s="34">
        <v>95394</v>
      </c>
      <c r="H17" s="53">
        <v>219911</v>
      </c>
      <c r="I17" s="53">
        <v>128165</v>
      </c>
      <c r="J17" s="53">
        <v>0</v>
      </c>
      <c r="K17" s="53">
        <v>317424</v>
      </c>
      <c r="L17" s="53">
        <v>0</v>
      </c>
      <c r="M17" s="33">
        <v>136750</v>
      </c>
      <c r="N17" s="33">
        <v>83519</v>
      </c>
      <c r="O17" s="33">
        <v>525</v>
      </c>
      <c r="P17" s="30">
        <v>35537</v>
      </c>
    </row>
    <row r="18" spans="1:20" ht="13.5" customHeight="1">
      <c r="A18" s="51"/>
      <c r="B18" s="52" t="s">
        <v>59</v>
      </c>
      <c r="C18" s="53">
        <v>120429</v>
      </c>
      <c r="D18" s="53">
        <v>127094.3</v>
      </c>
      <c r="E18" s="53">
        <v>255706</v>
      </c>
      <c r="F18" s="53">
        <v>103692.74</v>
      </c>
      <c r="G18" s="34">
        <v>58521</v>
      </c>
      <c r="H18" s="53">
        <v>8877</v>
      </c>
      <c r="I18" s="53">
        <v>76826</v>
      </c>
      <c r="J18" s="53">
        <v>228362</v>
      </c>
      <c r="K18" s="53">
        <v>199927</v>
      </c>
      <c r="L18" s="53">
        <v>216125</v>
      </c>
      <c r="M18" s="33">
        <v>166740</v>
      </c>
      <c r="N18" s="33">
        <v>68595</v>
      </c>
      <c r="O18" s="33">
        <v>53425</v>
      </c>
      <c r="P18" s="30">
        <v>51582</v>
      </c>
    </row>
    <row r="19" spans="1:20" ht="13.5" customHeight="1">
      <c r="A19" s="51"/>
      <c r="B19" s="52" t="s">
        <v>60</v>
      </c>
      <c r="C19" s="53">
        <v>12884</v>
      </c>
      <c r="D19" s="53">
        <v>55089.03</v>
      </c>
      <c r="E19" s="53">
        <v>9693</v>
      </c>
      <c r="F19" s="53">
        <v>13205</v>
      </c>
      <c r="G19" s="34">
        <v>14012</v>
      </c>
      <c r="H19" s="53"/>
      <c r="I19" s="53">
        <v>23025</v>
      </c>
      <c r="J19" s="53">
        <v>18957</v>
      </c>
      <c r="K19" s="53">
        <v>43601</v>
      </c>
      <c r="L19" s="53">
        <v>30096</v>
      </c>
      <c r="M19" s="33">
        <v>40737</v>
      </c>
      <c r="N19" s="33">
        <v>36876</v>
      </c>
      <c r="O19" s="33">
        <v>11955</v>
      </c>
      <c r="P19" s="30">
        <v>1826</v>
      </c>
    </row>
    <row r="20" spans="1:20" ht="13.5" customHeight="1">
      <c r="A20" s="51"/>
      <c r="B20" s="52" t="s">
        <v>61</v>
      </c>
      <c r="C20" s="53">
        <v>220</v>
      </c>
      <c r="D20" s="53">
        <v>0</v>
      </c>
      <c r="E20" s="53">
        <v>32499</v>
      </c>
      <c r="F20" s="53">
        <v>0</v>
      </c>
      <c r="G20" s="34">
        <v>0</v>
      </c>
      <c r="H20" s="53"/>
      <c r="I20" s="53">
        <v>3390</v>
      </c>
      <c r="J20" s="53">
        <v>680</v>
      </c>
      <c r="K20" s="53">
        <v>0</v>
      </c>
      <c r="L20" s="53">
        <v>25663</v>
      </c>
      <c r="M20" s="33">
        <v>0</v>
      </c>
      <c r="N20" s="33">
        <v>4639</v>
      </c>
      <c r="O20" s="33">
        <v>0</v>
      </c>
      <c r="P20" s="30">
        <v>0</v>
      </c>
    </row>
    <row r="21" spans="1:20" ht="13.5" customHeight="1">
      <c r="A21" s="51"/>
      <c r="B21" s="52" t="s">
        <v>62</v>
      </c>
      <c r="C21" s="54">
        <v>0</v>
      </c>
      <c r="D21" s="54">
        <v>0</v>
      </c>
      <c r="E21" s="54">
        <v>0</v>
      </c>
      <c r="F21" s="54">
        <v>0</v>
      </c>
      <c r="G21" s="29">
        <v>0</v>
      </c>
      <c r="H21" s="54"/>
      <c r="I21" s="54">
        <v>0</v>
      </c>
      <c r="J21" s="54"/>
      <c r="K21" s="54">
        <v>0</v>
      </c>
      <c r="L21" s="54">
        <v>0</v>
      </c>
      <c r="M21" s="28">
        <v>540315</v>
      </c>
      <c r="N21" s="28">
        <v>0</v>
      </c>
      <c r="O21" s="28">
        <v>0</v>
      </c>
      <c r="P21" s="30">
        <v>0</v>
      </c>
    </row>
    <row r="22" spans="1:20" ht="13.5" customHeight="1">
      <c r="A22" s="51"/>
      <c r="B22" s="52" t="s">
        <v>63</v>
      </c>
      <c r="C22" s="53">
        <v>0</v>
      </c>
      <c r="D22" s="53">
        <v>0</v>
      </c>
      <c r="E22" s="53">
        <v>0</v>
      </c>
      <c r="F22" s="53">
        <v>0</v>
      </c>
      <c r="G22" s="34">
        <v>0</v>
      </c>
      <c r="H22" s="53"/>
      <c r="I22" s="53">
        <v>54290</v>
      </c>
      <c r="J22" s="53"/>
      <c r="K22" s="53">
        <v>0</v>
      </c>
      <c r="L22" s="53">
        <v>0</v>
      </c>
      <c r="M22" s="33">
        <v>0</v>
      </c>
      <c r="N22" s="33">
        <v>0</v>
      </c>
      <c r="O22" s="33">
        <v>0</v>
      </c>
      <c r="P22" s="30">
        <v>0</v>
      </c>
    </row>
    <row r="23" spans="1:20" ht="13.5" customHeight="1">
      <c r="A23" s="51"/>
      <c r="B23" s="52" t="s">
        <v>64</v>
      </c>
      <c r="C23" s="53">
        <v>10235</v>
      </c>
      <c r="D23" s="53">
        <v>8874.7900000000009</v>
      </c>
      <c r="E23" s="53">
        <v>0</v>
      </c>
      <c r="F23" s="53">
        <v>73321.5</v>
      </c>
      <c r="G23" s="34">
        <v>0</v>
      </c>
      <c r="H23" s="53"/>
      <c r="I23" s="53">
        <v>0</v>
      </c>
      <c r="J23" s="53">
        <v>67355</v>
      </c>
      <c r="K23" s="53">
        <v>0</v>
      </c>
      <c r="L23" s="53">
        <v>0</v>
      </c>
      <c r="M23" s="33">
        <v>12500</v>
      </c>
      <c r="N23" s="33">
        <v>0</v>
      </c>
      <c r="O23" s="33">
        <v>0</v>
      </c>
      <c r="P23" s="30">
        <v>0</v>
      </c>
    </row>
    <row r="24" spans="1:20" ht="13.5" customHeight="1">
      <c r="A24" s="51"/>
      <c r="B24" s="52" t="s">
        <v>65</v>
      </c>
      <c r="C24" s="53">
        <v>0</v>
      </c>
      <c r="D24" s="53">
        <v>95489.65</v>
      </c>
      <c r="E24" s="53">
        <v>0</v>
      </c>
      <c r="F24" s="53">
        <v>0</v>
      </c>
      <c r="G24" s="34">
        <v>0</v>
      </c>
      <c r="H24" s="53"/>
      <c r="I24" s="53">
        <v>0</v>
      </c>
      <c r="J24" s="53">
        <v>0</v>
      </c>
      <c r="K24" s="53">
        <v>0</v>
      </c>
      <c r="L24" s="53">
        <v>0</v>
      </c>
      <c r="M24" s="33">
        <v>0</v>
      </c>
      <c r="N24" s="33">
        <v>0</v>
      </c>
      <c r="O24" s="33">
        <v>113732</v>
      </c>
      <c r="P24" s="30">
        <v>319628</v>
      </c>
    </row>
    <row r="25" spans="1:20" ht="13.5" customHeight="1">
      <c r="A25" s="51"/>
      <c r="B25" s="52" t="s">
        <v>66</v>
      </c>
      <c r="C25" s="53">
        <v>0</v>
      </c>
      <c r="D25" s="53">
        <v>0</v>
      </c>
      <c r="E25" s="53">
        <v>0</v>
      </c>
      <c r="F25" s="53">
        <v>0</v>
      </c>
      <c r="G25" s="34">
        <v>78886</v>
      </c>
      <c r="H25" s="53"/>
      <c r="I25" s="53">
        <v>24852</v>
      </c>
      <c r="J25" s="53">
        <v>0</v>
      </c>
      <c r="K25" s="53">
        <v>0</v>
      </c>
      <c r="L25" s="53">
        <v>73100</v>
      </c>
      <c r="M25" s="33">
        <v>0</v>
      </c>
      <c r="N25" s="33">
        <v>0</v>
      </c>
      <c r="O25" s="33">
        <v>0</v>
      </c>
      <c r="P25" s="30">
        <v>0</v>
      </c>
    </row>
    <row r="26" spans="1:20" ht="13.5" customHeight="1">
      <c r="A26" s="51"/>
      <c r="B26" s="52" t="s">
        <v>67</v>
      </c>
      <c r="C26" s="53">
        <v>175918</v>
      </c>
      <c r="D26" s="53">
        <v>97790.5</v>
      </c>
      <c r="E26" s="53">
        <v>120262</v>
      </c>
      <c r="F26" s="53">
        <v>128185</v>
      </c>
      <c r="G26" s="34">
        <v>38636</v>
      </c>
      <c r="H26" s="53">
        <v>108678</v>
      </c>
      <c r="I26" s="53">
        <v>72709</v>
      </c>
      <c r="J26" s="53">
        <v>90639</v>
      </c>
      <c r="K26" s="53">
        <v>194054</v>
      </c>
      <c r="L26" s="53">
        <v>101401</v>
      </c>
      <c r="M26" s="33">
        <v>357888</v>
      </c>
      <c r="N26" s="33">
        <v>442065</v>
      </c>
      <c r="O26" s="33">
        <v>81932</v>
      </c>
      <c r="P26" s="30">
        <v>36618</v>
      </c>
    </row>
    <row r="27" spans="1:20" ht="13.5" customHeight="1">
      <c r="A27" s="51"/>
      <c r="B27" s="52" t="s">
        <v>168</v>
      </c>
      <c r="C27" s="53">
        <v>36432</v>
      </c>
      <c r="D27" s="53">
        <v>2650</v>
      </c>
      <c r="E27" s="53">
        <v>0</v>
      </c>
      <c r="F27" s="53">
        <v>0</v>
      </c>
      <c r="G27" s="34">
        <v>8837</v>
      </c>
      <c r="H27" s="53"/>
      <c r="I27" s="53">
        <v>0</v>
      </c>
      <c r="J27" s="53">
        <v>0</v>
      </c>
      <c r="K27" s="53">
        <v>303</v>
      </c>
      <c r="L27" s="53">
        <v>90796</v>
      </c>
      <c r="M27" s="33">
        <v>0</v>
      </c>
      <c r="N27" s="33">
        <v>253842</v>
      </c>
      <c r="O27" s="33">
        <f>185847+437597+127260</f>
        <v>750704</v>
      </c>
      <c r="P27" s="30">
        <v>8538</v>
      </c>
    </row>
    <row r="28" spans="1:20" ht="13.5" customHeight="1">
      <c r="A28" s="51"/>
      <c r="B28" s="52" t="s">
        <v>69</v>
      </c>
      <c r="C28" s="53">
        <v>588930</v>
      </c>
      <c r="D28" s="53">
        <v>652880.27</v>
      </c>
      <c r="E28" s="53">
        <v>649617</v>
      </c>
      <c r="F28" s="53">
        <v>2013719.09</v>
      </c>
      <c r="G28" s="34">
        <v>510554</v>
      </c>
      <c r="H28" s="53">
        <v>1508981</v>
      </c>
      <c r="I28" s="53">
        <v>315297</v>
      </c>
      <c r="J28" s="53">
        <v>275459</v>
      </c>
      <c r="K28" s="53">
        <v>67210</v>
      </c>
      <c r="L28" s="53">
        <v>500015</v>
      </c>
      <c r="M28" s="33">
        <v>200675</v>
      </c>
      <c r="N28" s="33">
        <v>472979</v>
      </c>
      <c r="O28" s="33">
        <f>179071</f>
        <v>179071</v>
      </c>
      <c r="P28" s="30">
        <v>391118</v>
      </c>
      <c r="R28" s="59">
        <f>SUM(C28:K28)</f>
        <v>6582647.3600000003</v>
      </c>
    </row>
    <row r="29" spans="1:20" ht="13.5" customHeight="1">
      <c r="A29" s="51"/>
      <c r="B29" s="52" t="s">
        <v>70</v>
      </c>
      <c r="C29" s="53">
        <v>4073</v>
      </c>
      <c r="D29" s="53">
        <v>0</v>
      </c>
      <c r="E29" s="53">
        <v>4932</v>
      </c>
      <c r="F29" s="53">
        <v>5000</v>
      </c>
      <c r="G29" s="34">
        <v>14226</v>
      </c>
      <c r="H29" s="53">
        <v>139</v>
      </c>
      <c r="I29" s="53">
        <v>10870</v>
      </c>
      <c r="J29" s="53">
        <v>2873</v>
      </c>
      <c r="K29" s="53">
        <v>20</v>
      </c>
      <c r="L29" s="53">
        <v>-3213</v>
      </c>
      <c r="M29" s="33">
        <v>6125</v>
      </c>
      <c r="N29" s="33">
        <v>1019</v>
      </c>
      <c r="O29" s="33">
        <v>-1692</v>
      </c>
      <c r="P29" s="30">
        <v>0</v>
      </c>
      <c r="R29" s="59">
        <f>SUM(C29:K29)</f>
        <v>42133</v>
      </c>
    </row>
    <row r="30" spans="1:20" ht="13.5" customHeight="1">
      <c r="A30" s="51"/>
      <c r="B30" s="52" t="s">
        <v>71</v>
      </c>
      <c r="C30" s="54">
        <v>0</v>
      </c>
      <c r="D30" s="54">
        <v>21053.24</v>
      </c>
      <c r="E30" s="54">
        <v>2908</v>
      </c>
      <c r="F30" s="54">
        <v>18143.13</v>
      </c>
      <c r="G30" s="29">
        <v>12785</v>
      </c>
      <c r="H30" s="54">
        <v>20062</v>
      </c>
      <c r="I30" s="54">
        <v>5930</v>
      </c>
      <c r="J30" s="54">
        <v>1903</v>
      </c>
      <c r="K30" s="54">
        <v>4244</v>
      </c>
      <c r="L30" s="54">
        <v>2700</v>
      </c>
      <c r="M30" s="28">
        <v>0</v>
      </c>
      <c r="N30" s="28">
        <v>0</v>
      </c>
      <c r="O30" s="28">
        <v>59045</v>
      </c>
      <c r="P30" s="30">
        <v>7652</v>
      </c>
      <c r="R30" s="59">
        <f>SUM(C30:K30)</f>
        <v>87028.37</v>
      </c>
      <c r="S30" s="36">
        <f>SUM(R29:R30)+R8</f>
        <v>129259.37</v>
      </c>
      <c r="T30" s="20" t="s">
        <v>72</v>
      </c>
    </row>
    <row r="31" spans="1:20" s="40" customFormat="1" ht="13.5" customHeight="1" thickBot="1">
      <c r="A31" s="56" t="s">
        <v>73</v>
      </c>
      <c r="B31" s="57"/>
      <c r="C31" s="58">
        <f>SUM(C15:C30)</f>
        <v>1522601</v>
      </c>
      <c r="D31" s="58">
        <f t="shared" ref="D31:O31" si="2">SUM(D15:D30)</f>
        <v>1735196.78</v>
      </c>
      <c r="E31" s="58">
        <f t="shared" si="2"/>
        <v>1623267</v>
      </c>
      <c r="F31" s="58">
        <f t="shared" si="2"/>
        <v>2749598.91</v>
      </c>
      <c r="G31" s="58">
        <f t="shared" si="2"/>
        <v>1027622</v>
      </c>
      <c r="H31" s="58">
        <f t="shared" si="2"/>
        <v>2260918</v>
      </c>
      <c r="I31" s="58">
        <f t="shared" si="2"/>
        <v>937931</v>
      </c>
      <c r="J31" s="58">
        <f t="shared" si="2"/>
        <v>1080122</v>
      </c>
      <c r="K31" s="58">
        <f t="shared" si="2"/>
        <v>1305687</v>
      </c>
      <c r="L31" s="58">
        <f t="shared" si="2"/>
        <v>1326975</v>
      </c>
      <c r="M31" s="58">
        <f t="shared" si="2"/>
        <v>1775351</v>
      </c>
      <c r="N31" s="58">
        <f t="shared" si="2"/>
        <v>1533287</v>
      </c>
      <c r="O31" s="58">
        <f t="shared" si="2"/>
        <v>1447472</v>
      </c>
      <c r="P31" s="152">
        <f>SUM(P15:P30)</f>
        <v>920573</v>
      </c>
      <c r="Q31" s="59">
        <f>AVERAGE(C31:O31)</f>
        <v>1563540.6684615386</v>
      </c>
      <c r="R31" s="59">
        <f>SUM(C31:K31)+SUM(C11:K13)</f>
        <v>14890720.690000001</v>
      </c>
    </row>
    <row r="32" spans="1:20" ht="13.5" customHeight="1">
      <c r="A32" s="45" t="s">
        <v>75</v>
      </c>
      <c r="B32" s="46"/>
      <c r="C32" s="48"/>
      <c r="D32" s="48"/>
      <c r="E32" s="48"/>
      <c r="F32" s="48"/>
      <c r="G32" s="49"/>
      <c r="H32" s="48"/>
      <c r="I32" s="48"/>
      <c r="J32" s="48"/>
      <c r="K32" s="48"/>
      <c r="L32" s="48"/>
      <c r="M32" s="47"/>
      <c r="N32" s="47"/>
      <c r="O32" s="47"/>
      <c r="P32" s="50"/>
    </row>
    <row r="33" spans="1:18" ht="13.5" customHeight="1">
      <c r="A33" s="51"/>
      <c r="B33" s="52" t="s">
        <v>76</v>
      </c>
      <c r="C33" s="53">
        <v>484449</v>
      </c>
      <c r="D33" s="53">
        <v>371971.72</v>
      </c>
      <c r="E33" s="53">
        <v>368966</v>
      </c>
      <c r="F33" s="53">
        <v>417160.85</v>
      </c>
      <c r="G33" s="34">
        <v>356200</v>
      </c>
      <c r="H33" s="53">
        <v>433074</v>
      </c>
      <c r="I33" s="53">
        <v>290200</v>
      </c>
      <c r="J33" s="53">
        <v>305121</v>
      </c>
      <c r="K33" s="53">
        <v>389238</v>
      </c>
      <c r="L33" s="53">
        <v>504908</v>
      </c>
      <c r="M33" s="33">
        <v>270770</v>
      </c>
      <c r="N33" s="33">
        <v>470564</v>
      </c>
      <c r="O33" s="33">
        <v>205986</v>
      </c>
      <c r="P33" s="30">
        <v>162592</v>
      </c>
      <c r="R33" s="59">
        <f>SUM(C33:K33)</f>
        <v>3416380.57</v>
      </c>
    </row>
    <row r="34" spans="1:18" ht="13.5" customHeight="1">
      <c r="A34" s="51"/>
      <c r="B34" s="52" t="s">
        <v>77</v>
      </c>
      <c r="C34" s="53">
        <v>469827</v>
      </c>
      <c r="D34" s="53">
        <v>286329.90999999997</v>
      </c>
      <c r="E34" s="53">
        <v>547150</v>
      </c>
      <c r="F34" s="53">
        <v>619202.80000000005</v>
      </c>
      <c r="G34" s="34">
        <v>425888</v>
      </c>
      <c r="H34" s="53">
        <v>1070085</v>
      </c>
      <c r="I34" s="53">
        <v>322266</v>
      </c>
      <c r="J34" s="53">
        <v>335906</v>
      </c>
      <c r="K34" s="53">
        <v>424089</v>
      </c>
      <c r="L34" s="53">
        <v>450099</v>
      </c>
      <c r="M34" s="33">
        <v>332503</v>
      </c>
      <c r="N34" s="33">
        <v>325532</v>
      </c>
      <c r="O34" s="33">
        <v>124806</v>
      </c>
      <c r="P34" s="30">
        <v>108292</v>
      </c>
      <c r="R34" s="59">
        <f>SUM(C34:K34)</f>
        <v>4500743.71</v>
      </c>
    </row>
    <row r="35" spans="1:18" ht="13.5" customHeight="1">
      <c r="A35" s="51"/>
      <c r="B35" s="52" t="s">
        <v>78</v>
      </c>
      <c r="C35" s="53">
        <v>28707</v>
      </c>
      <c r="D35" s="53">
        <v>80546.38</v>
      </c>
      <c r="E35" s="53">
        <v>101906</v>
      </c>
      <c r="F35" s="53">
        <v>80137.63</v>
      </c>
      <c r="G35" s="34">
        <v>45996</v>
      </c>
      <c r="H35" s="53">
        <v>50988</v>
      </c>
      <c r="I35" s="53">
        <v>24341</v>
      </c>
      <c r="J35" s="53">
        <v>47514</v>
      </c>
      <c r="K35" s="53">
        <v>36738</v>
      </c>
      <c r="L35" s="53">
        <v>44699</v>
      </c>
      <c r="M35" s="33">
        <v>64540</v>
      </c>
      <c r="N35" s="33">
        <v>32657</v>
      </c>
      <c r="O35" s="33">
        <v>43220</v>
      </c>
      <c r="P35" s="30">
        <v>28763</v>
      </c>
    </row>
    <row r="36" spans="1:18" ht="13.5" customHeight="1">
      <c r="A36" s="51"/>
      <c r="B36" s="52" t="s">
        <v>79</v>
      </c>
      <c r="C36" s="53">
        <v>62475</v>
      </c>
      <c r="D36" s="53">
        <v>94342.31</v>
      </c>
      <c r="E36" s="53">
        <v>102480</v>
      </c>
      <c r="F36" s="53">
        <v>114983.63</v>
      </c>
      <c r="G36" s="34">
        <v>64694</v>
      </c>
      <c r="H36" s="53">
        <v>105924</v>
      </c>
      <c r="I36" s="53">
        <v>62066</v>
      </c>
      <c r="J36" s="53">
        <v>93717</v>
      </c>
      <c r="K36" s="53">
        <v>167221</v>
      </c>
      <c r="L36" s="53">
        <v>56954</v>
      </c>
      <c r="M36" s="33">
        <v>119610</v>
      </c>
      <c r="N36" s="33">
        <v>63652</v>
      </c>
      <c r="O36" s="33">
        <v>6027</v>
      </c>
      <c r="P36" s="30">
        <v>75118</v>
      </c>
    </row>
    <row r="37" spans="1:18" ht="13.5" customHeight="1">
      <c r="A37" s="51"/>
      <c r="B37" s="52" t="s">
        <v>67</v>
      </c>
      <c r="C37" s="53">
        <v>12554</v>
      </c>
      <c r="D37" s="53">
        <v>10804.95</v>
      </c>
      <c r="E37" s="53">
        <v>41094</v>
      </c>
      <c r="F37" s="53">
        <v>43089.77</v>
      </c>
      <c r="G37" s="34">
        <v>13380</v>
      </c>
      <c r="H37" s="53">
        <v>16497</v>
      </c>
      <c r="I37" s="53">
        <v>10648</v>
      </c>
      <c r="J37" s="53">
        <v>15876</v>
      </c>
      <c r="K37" s="53">
        <v>58571</v>
      </c>
      <c r="L37" s="53">
        <v>17861</v>
      </c>
      <c r="M37" s="33">
        <v>220395</v>
      </c>
      <c r="N37" s="33">
        <v>104056</v>
      </c>
      <c r="O37" s="33">
        <v>217113</v>
      </c>
      <c r="P37" s="30">
        <v>58215</v>
      </c>
    </row>
    <row r="38" spans="1:18" ht="13.5" customHeight="1">
      <c r="A38" s="51"/>
      <c r="B38" s="52" t="s">
        <v>80</v>
      </c>
      <c r="C38" s="53">
        <v>229</v>
      </c>
      <c r="D38" s="53">
        <v>53222.559999999998</v>
      </c>
      <c r="E38" s="53">
        <v>0</v>
      </c>
      <c r="F38" s="53">
        <v>0</v>
      </c>
      <c r="G38" s="34">
        <v>6560</v>
      </c>
      <c r="H38" s="53">
        <v>0</v>
      </c>
      <c r="I38" s="53">
        <v>0</v>
      </c>
      <c r="J38" s="53">
        <v>0</v>
      </c>
      <c r="K38" s="53">
        <v>558</v>
      </c>
      <c r="L38" s="53">
        <v>44931</v>
      </c>
      <c r="M38" s="33">
        <v>0</v>
      </c>
      <c r="N38" s="33">
        <v>0</v>
      </c>
      <c r="O38" s="33">
        <f>204385+128250+118191</f>
        <v>450826</v>
      </c>
      <c r="P38" s="30">
        <v>0</v>
      </c>
    </row>
    <row r="39" spans="1:18" ht="13.5" customHeight="1">
      <c r="A39" s="51"/>
      <c r="B39" s="52" t="s">
        <v>81</v>
      </c>
      <c r="C39" s="53">
        <v>37987</v>
      </c>
      <c r="D39" s="53">
        <v>56049.03</v>
      </c>
      <c r="E39" s="53">
        <v>16665</v>
      </c>
      <c r="F39" s="53">
        <v>18946.189999999999</v>
      </c>
      <c r="G39" s="34">
        <v>15633</v>
      </c>
      <c r="H39" s="53">
        <v>19460</v>
      </c>
      <c r="I39" s="53">
        <v>22104</v>
      </c>
      <c r="J39" s="53">
        <v>20835</v>
      </c>
      <c r="K39" s="53">
        <v>11669</v>
      </c>
      <c r="L39" s="53">
        <v>10198</v>
      </c>
      <c r="M39" s="33">
        <v>52092</v>
      </c>
      <c r="N39" s="33">
        <v>21159</v>
      </c>
      <c r="O39" s="33">
        <v>5805</v>
      </c>
      <c r="P39" s="30">
        <v>6496</v>
      </c>
    </row>
    <row r="40" spans="1:18" ht="13.5" customHeight="1">
      <c r="A40" s="51"/>
      <c r="B40" s="52" t="s">
        <v>60</v>
      </c>
      <c r="C40" s="53">
        <v>77734</v>
      </c>
      <c r="D40" s="53">
        <v>84965.92</v>
      </c>
      <c r="E40" s="53">
        <v>74952</v>
      </c>
      <c r="F40" s="53">
        <v>35885.64</v>
      </c>
      <c r="G40" s="34">
        <v>28577</v>
      </c>
      <c r="H40" s="53">
        <v>64640</v>
      </c>
      <c r="I40" s="53">
        <v>31714</v>
      </c>
      <c r="J40" s="53">
        <v>47222</v>
      </c>
      <c r="K40" s="53">
        <v>73583</v>
      </c>
      <c r="L40" s="53">
        <v>39252</v>
      </c>
      <c r="M40" s="33">
        <v>93820</v>
      </c>
      <c r="N40" s="33">
        <v>39898</v>
      </c>
      <c r="O40" s="33">
        <v>20664</v>
      </c>
      <c r="P40" s="30">
        <v>0</v>
      </c>
    </row>
    <row r="41" spans="1:18" ht="13.5" customHeight="1">
      <c r="A41" s="51"/>
      <c r="B41" s="52" t="s">
        <v>61</v>
      </c>
      <c r="C41" s="53">
        <v>540</v>
      </c>
      <c r="D41" s="53">
        <v>0</v>
      </c>
      <c r="E41" s="53">
        <v>18118</v>
      </c>
      <c r="F41" s="53">
        <v>0</v>
      </c>
      <c r="G41" s="34">
        <v>0</v>
      </c>
      <c r="H41" s="53">
        <v>0</v>
      </c>
      <c r="I41" s="53">
        <v>6640</v>
      </c>
      <c r="J41" s="53">
        <v>268</v>
      </c>
      <c r="K41" s="53">
        <v>0</v>
      </c>
      <c r="L41" s="53">
        <v>18416</v>
      </c>
      <c r="M41" s="33">
        <v>0</v>
      </c>
      <c r="N41" s="33">
        <v>4432</v>
      </c>
      <c r="O41" s="33">
        <v>0</v>
      </c>
      <c r="P41" s="30">
        <v>0</v>
      </c>
    </row>
    <row r="42" spans="1:18" ht="13.5" customHeight="1">
      <c r="A42" s="51"/>
      <c r="B42" s="52" t="s">
        <v>62</v>
      </c>
      <c r="C42" s="53">
        <v>0</v>
      </c>
      <c r="D42" s="53">
        <v>0</v>
      </c>
      <c r="E42" s="53">
        <v>0</v>
      </c>
      <c r="F42" s="53">
        <v>0</v>
      </c>
      <c r="G42" s="34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33">
        <v>494427</v>
      </c>
      <c r="N42" s="33">
        <v>0</v>
      </c>
      <c r="O42" s="33">
        <v>0</v>
      </c>
      <c r="P42" s="30">
        <v>0</v>
      </c>
    </row>
    <row r="43" spans="1:18" ht="13.5" customHeight="1">
      <c r="A43" s="51"/>
      <c r="B43" s="52" t="s">
        <v>63</v>
      </c>
      <c r="C43" s="53">
        <v>0</v>
      </c>
      <c r="D43" s="53">
        <v>0</v>
      </c>
      <c r="E43" s="53">
        <v>0</v>
      </c>
      <c r="F43" s="53">
        <v>0</v>
      </c>
      <c r="G43" s="34">
        <v>0</v>
      </c>
      <c r="H43" s="53">
        <v>0</v>
      </c>
      <c r="I43" s="53">
        <v>48296</v>
      </c>
      <c r="J43" s="53">
        <v>0</v>
      </c>
      <c r="K43" s="53">
        <v>0</v>
      </c>
      <c r="L43" s="53">
        <v>0</v>
      </c>
      <c r="M43" s="33">
        <v>0</v>
      </c>
      <c r="N43" s="33">
        <v>0</v>
      </c>
      <c r="O43" s="33">
        <v>0</v>
      </c>
      <c r="P43" s="30">
        <v>0</v>
      </c>
    </row>
    <row r="44" spans="1:18" ht="13.5" customHeight="1">
      <c r="A44" s="51"/>
      <c r="B44" s="52" t="s">
        <v>82</v>
      </c>
      <c r="C44" s="53">
        <v>152082</v>
      </c>
      <c r="D44" s="53">
        <v>498898.85</v>
      </c>
      <c r="E44" s="53">
        <v>134860</v>
      </c>
      <c r="F44" s="53">
        <v>395417.55</v>
      </c>
      <c r="G44" s="34">
        <v>83502</v>
      </c>
      <c r="H44" s="53">
        <v>287238</v>
      </c>
      <c r="I44" s="53">
        <v>67882</v>
      </c>
      <c r="J44" s="53">
        <v>137406</v>
      </c>
      <c r="K44" s="53">
        <v>149223</v>
      </c>
      <c r="L44" s="53">
        <v>96065</v>
      </c>
      <c r="M44" s="33">
        <v>104187</v>
      </c>
      <c r="N44" s="33">
        <v>130955</v>
      </c>
      <c r="O44" s="33">
        <v>118295</v>
      </c>
      <c r="P44" s="30">
        <v>30300</v>
      </c>
    </row>
    <row r="45" spans="1:18" ht="13.5" customHeight="1">
      <c r="A45" s="51"/>
      <c r="B45" s="52" t="s">
        <v>65</v>
      </c>
      <c r="C45" s="53">
        <v>0</v>
      </c>
      <c r="D45" s="53">
        <v>4343.63</v>
      </c>
      <c r="E45" s="53">
        <v>0</v>
      </c>
      <c r="F45" s="53">
        <v>0</v>
      </c>
      <c r="G45" s="34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33">
        <v>0</v>
      </c>
      <c r="N45" s="33">
        <v>0</v>
      </c>
      <c r="O45" s="33">
        <v>67966</v>
      </c>
      <c r="P45" s="30">
        <v>311394</v>
      </c>
    </row>
    <row r="46" spans="1:18" ht="13.5" customHeight="1">
      <c r="A46" s="51"/>
      <c r="B46" s="52" t="s">
        <v>83</v>
      </c>
      <c r="C46" s="53">
        <v>0</v>
      </c>
      <c r="D46" s="53">
        <v>0</v>
      </c>
      <c r="E46" s="53">
        <v>57546</v>
      </c>
      <c r="F46" s="53">
        <v>0</v>
      </c>
      <c r="G46" s="34">
        <v>6517</v>
      </c>
      <c r="H46" s="53">
        <v>0</v>
      </c>
      <c r="I46" s="53">
        <v>0</v>
      </c>
      <c r="J46" s="53">
        <v>0</v>
      </c>
      <c r="K46" s="53">
        <v>3100</v>
      </c>
      <c r="L46" s="53">
        <v>12307</v>
      </c>
      <c r="M46" s="33">
        <v>0</v>
      </c>
      <c r="N46" s="33">
        <v>201317</v>
      </c>
      <c r="O46" s="33">
        <v>161850</v>
      </c>
      <c r="P46" s="30">
        <v>0</v>
      </c>
    </row>
    <row r="47" spans="1:18" ht="13.5" customHeight="1">
      <c r="A47" s="51"/>
      <c r="B47" s="52" t="s">
        <v>84</v>
      </c>
      <c r="C47" s="53">
        <v>0</v>
      </c>
      <c r="D47" s="53">
        <v>3119.72</v>
      </c>
      <c r="E47" s="53">
        <v>10188</v>
      </c>
      <c r="F47" s="53">
        <v>22505.34</v>
      </c>
      <c r="G47" s="34">
        <v>0</v>
      </c>
      <c r="H47" s="53">
        <v>0</v>
      </c>
      <c r="I47" s="53">
        <v>0</v>
      </c>
      <c r="J47" s="53">
        <v>0</v>
      </c>
      <c r="K47" s="53">
        <v>0</v>
      </c>
      <c r="L47" s="53">
        <v>1392</v>
      </c>
      <c r="M47" s="33">
        <v>0</v>
      </c>
      <c r="N47" s="33">
        <v>3600</v>
      </c>
      <c r="O47" s="33">
        <v>9160</v>
      </c>
      <c r="P47" s="30">
        <v>0</v>
      </c>
    </row>
    <row r="48" spans="1:18" ht="13.5" customHeight="1">
      <c r="A48" s="51"/>
      <c r="B48" s="52" t="s">
        <v>85</v>
      </c>
      <c r="C48" s="53">
        <v>-4195</v>
      </c>
      <c r="D48" s="53">
        <v>7900.19</v>
      </c>
      <c r="E48" s="53">
        <v>25577</v>
      </c>
      <c r="F48" s="53">
        <v>33695.300000000003</v>
      </c>
      <c r="G48" s="34">
        <v>595</v>
      </c>
      <c r="H48" s="53">
        <v>152</v>
      </c>
      <c r="I48" s="53">
        <v>0</v>
      </c>
      <c r="J48" s="53">
        <v>10</v>
      </c>
      <c r="K48" s="53">
        <v>17016</v>
      </c>
      <c r="L48" s="53">
        <v>-954</v>
      </c>
      <c r="M48" s="33">
        <v>3299</v>
      </c>
      <c r="N48" s="33">
        <v>30227</v>
      </c>
      <c r="O48" s="33">
        <v>682</v>
      </c>
      <c r="P48" s="30">
        <v>0</v>
      </c>
    </row>
    <row r="49" spans="1:18" ht="13.5" customHeight="1">
      <c r="A49" s="51"/>
      <c r="B49" s="52" t="s">
        <v>86</v>
      </c>
      <c r="C49" s="53">
        <v>232</v>
      </c>
      <c r="D49" s="53">
        <v>1987.25</v>
      </c>
      <c r="E49" s="53">
        <v>46</v>
      </c>
      <c r="F49" s="53">
        <v>130.69</v>
      </c>
      <c r="G49" s="34">
        <v>-1328</v>
      </c>
      <c r="H49" s="53">
        <v>483</v>
      </c>
      <c r="I49" s="53">
        <v>-149</v>
      </c>
      <c r="J49" s="53">
        <v>216</v>
      </c>
      <c r="K49" s="53">
        <v>488</v>
      </c>
      <c r="L49" s="53">
        <v>254</v>
      </c>
      <c r="M49" s="33">
        <v>-2155</v>
      </c>
      <c r="N49" s="33">
        <v>214</v>
      </c>
      <c r="O49" s="33">
        <v>11707</v>
      </c>
      <c r="P49" s="30">
        <v>463</v>
      </c>
    </row>
    <row r="50" spans="1:18" ht="13.5" customHeight="1">
      <c r="A50" s="51"/>
      <c r="B50" s="52" t="s">
        <v>87</v>
      </c>
      <c r="C50" s="53"/>
      <c r="D50" s="53">
        <v>0</v>
      </c>
      <c r="E50" s="53">
        <v>0</v>
      </c>
      <c r="F50" s="53">
        <v>79734.600000000006</v>
      </c>
      <c r="G50" s="34">
        <v>360</v>
      </c>
      <c r="H50" s="53"/>
      <c r="I50" s="53">
        <v>1398</v>
      </c>
      <c r="J50" s="53">
        <v>0</v>
      </c>
      <c r="K50" s="53">
        <v>0</v>
      </c>
      <c r="L50" s="53"/>
      <c r="M50" s="33"/>
      <c r="N50" s="33">
        <v>0</v>
      </c>
      <c r="O50" s="33">
        <v>0</v>
      </c>
      <c r="P50" s="30">
        <v>183640</v>
      </c>
    </row>
    <row r="51" spans="1:18" s="40" customFormat="1" ht="13.5" customHeight="1" thickBot="1">
      <c r="A51" s="56" t="s">
        <v>88</v>
      </c>
      <c r="B51" s="153"/>
      <c r="C51" s="58">
        <f t="shared" ref="C51:O51" si="3">SUM(C33:C50)</f>
        <v>1322621</v>
      </c>
      <c r="D51" s="58">
        <f t="shared" si="3"/>
        <v>1554482.4199999997</v>
      </c>
      <c r="E51" s="58">
        <f t="shared" si="3"/>
        <v>1499548</v>
      </c>
      <c r="F51" s="58">
        <f t="shared" si="3"/>
        <v>1860889.9900000002</v>
      </c>
      <c r="G51" s="58">
        <f t="shared" si="3"/>
        <v>1046574</v>
      </c>
      <c r="H51" s="58">
        <f t="shared" si="3"/>
        <v>2048541</v>
      </c>
      <c r="I51" s="58">
        <f t="shared" si="3"/>
        <v>887406</v>
      </c>
      <c r="J51" s="58">
        <f t="shared" si="3"/>
        <v>1004091</v>
      </c>
      <c r="K51" s="58">
        <f t="shared" si="3"/>
        <v>1331494</v>
      </c>
      <c r="L51" s="58">
        <f t="shared" si="3"/>
        <v>1296382</v>
      </c>
      <c r="M51" s="58">
        <f t="shared" si="3"/>
        <v>1753488</v>
      </c>
      <c r="N51" s="58">
        <f t="shared" si="3"/>
        <v>1428263</v>
      </c>
      <c r="O51" s="58">
        <f t="shared" si="3"/>
        <v>1444107</v>
      </c>
      <c r="P51" s="152">
        <f>SUM(P33:P50)</f>
        <v>965273</v>
      </c>
      <c r="Q51" s="59">
        <f>AVERAGE(C51:O51)</f>
        <v>1421375.9546153846</v>
      </c>
      <c r="R51" s="59">
        <f>+SUM(C51:K51)+SUM(C53:K53)</f>
        <v>13761891.220000001</v>
      </c>
    </row>
    <row r="52" spans="1:18" ht="13.5" customHeight="1">
      <c r="A52" s="45" t="s">
        <v>89</v>
      </c>
      <c r="B52" s="154"/>
      <c r="C52" s="54"/>
      <c r="D52" s="54"/>
      <c r="E52" s="54"/>
      <c r="F52" s="54"/>
      <c r="G52" s="29"/>
      <c r="H52" s="54"/>
      <c r="I52" s="54"/>
      <c r="J52" s="54"/>
      <c r="K52" s="54"/>
      <c r="L52" s="54"/>
      <c r="M52" s="28"/>
      <c r="N52" s="28"/>
      <c r="O52" s="28"/>
      <c r="P52" s="55"/>
    </row>
    <row r="53" spans="1:18" s="40" customFormat="1" ht="13.5" customHeight="1">
      <c r="A53" s="41"/>
      <c r="B53" s="42" t="s">
        <v>90</v>
      </c>
      <c r="C53" s="43">
        <v>238350</v>
      </c>
      <c r="D53" s="43">
        <v>84120.39</v>
      </c>
      <c r="E53" s="43">
        <v>111837</v>
      </c>
      <c r="F53" s="43">
        <v>233952.42</v>
      </c>
      <c r="G53" s="43">
        <v>96259</v>
      </c>
      <c r="H53" s="43">
        <v>115641</v>
      </c>
      <c r="I53" s="43">
        <v>168891</v>
      </c>
      <c r="J53" s="43">
        <v>62328</v>
      </c>
      <c r="K53" s="43">
        <v>94865</v>
      </c>
      <c r="L53" s="43">
        <v>123844</v>
      </c>
      <c r="M53" s="43">
        <v>72973</v>
      </c>
      <c r="N53" s="43">
        <v>306731</v>
      </c>
      <c r="O53" s="43">
        <v>111738</v>
      </c>
      <c r="P53" s="44">
        <v>59276</v>
      </c>
      <c r="R53" s="59">
        <f>SUM(C53:K53)</f>
        <v>1206243.81</v>
      </c>
    </row>
    <row r="54" spans="1:18" s="40" customFormat="1" ht="13.5" customHeight="1">
      <c r="A54" s="62" t="s">
        <v>91</v>
      </c>
      <c r="B54" s="63"/>
      <c r="C54" s="70">
        <f t="shared" ref="C54:P54" si="4">+C31-C51</f>
        <v>199980</v>
      </c>
      <c r="D54" s="70">
        <f t="shared" si="4"/>
        <v>180714.36000000034</v>
      </c>
      <c r="E54" s="70">
        <f t="shared" si="4"/>
        <v>123719</v>
      </c>
      <c r="F54" s="70">
        <f t="shared" si="4"/>
        <v>888708.91999999993</v>
      </c>
      <c r="G54" s="70">
        <f t="shared" ref="G54" si="5">+G31-G51</f>
        <v>-18952</v>
      </c>
      <c r="H54" s="70">
        <f t="shared" si="4"/>
        <v>212377</v>
      </c>
      <c r="I54" s="70">
        <f t="shared" si="4"/>
        <v>50525</v>
      </c>
      <c r="J54" s="70">
        <f t="shared" si="4"/>
        <v>76031</v>
      </c>
      <c r="K54" s="70">
        <f t="shared" si="4"/>
        <v>-25807</v>
      </c>
      <c r="L54" s="70">
        <f t="shared" si="4"/>
        <v>30593</v>
      </c>
      <c r="M54" s="70">
        <f t="shared" si="4"/>
        <v>21863</v>
      </c>
      <c r="N54" s="70">
        <f t="shared" si="4"/>
        <v>105024</v>
      </c>
      <c r="O54" s="70">
        <f t="shared" ref="O54" si="6">+O31-O51</f>
        <v>3365</v>
      </c>
      <c r="P54" s="71">
        <f t="shared" si="4"/>
        <v>-44700</v>
      </c>
      <c r="Q54" s="59">
        <f>AVERAGE(C54:P54)</f>
        <v>128817.23428571431</v>
      </c>
    </row>
    <row r="55" spans="1:18" s="40" customFormat="1" ht="13.5" customHeight="1">
      <c r="A55" s="62" t="s">
        <v>92</v>
      </c>
      <c r="B55" s="63"/>
      <c r="C55" s="70">
        <f t="shared" ref="C55:P55" si="7">+C54-C53</f>
        <v>-38370</v>
      </c>
      <c r="D55" s="70">
        <f t="shared" si="7"/>
        <v>96593.970000000336</v>
      </c>
      <c r="E55" s="70">
        <f t="shared" si="7"/>
        <v>11882</v>
      </c>
      <c r="F55" s="70">
        <f t="shared" si="7"/>
        <v>654756.49999999988</v>
      </c>
      <c r="G55" s="70">
        <f t="shared" ref="G55" si="8">+G54-G53</f>
        <v>-115211</v>
      </c>
      <c r="H55" s="70">
        <f t="shared" si="7"/>
        <v>96736</v>
      </c>
      <c r="I55" s="70">
        <f t="shared" si="7"/>
        <v>-118366</v>
      </c>
      <c r="J55" s="70">
        <f t="shared" si="7"/>
        <v>13703</v>
      </c>
      <c r="K55" s="70">
        <f t="shared" si="7"/>
        <v>-120672</v>
      </c>
      <c r="L55" s="70">
        <f t="shared" si="7"/>
        <v>-93251</v>
      </c>
      <c r="M55" s="70">
        <f t="shared" si="7"/>
        <v>-51110</v>
      </c>
      <c r="N55" s="70">
        <f t="shared" si="7"/>
        <v>-201707</v>
      </c>
      <c r="O55" s="70">
        <f t="shared" ref="O55" si="9">+O54-O53</f>
        <v>-108373</v>
      </c>
      <c r="P55" s="71">
        <f t="shared" si="7"/>
        <v>-103976</v>
      </c>
      <c r="Q55" s="59">
        <f>AVERAGE(C55:P55)</f>
        <v>-5526.0378571428428</v>
      </c>
    </row>
    <row r="56" spans="1:18" s="40" customFormat="1" ht="13.5" customHeight="1">
      <c r="A56" s="62" t="s">
        <v>93</v>
      </c>
      <c r="B56" s="63"/>
      <c r="C56" s="70">
        <f>C11+C12+C13+C31-C51</f>
        <v>229980</v>
      </c>
      <c r="D56" s="70">
        <f t="shared" ref="D56:N56" si="10">D11+D12+D13+D31-D51</f>
        <v>213114.36000000034</v>
      </c>
      <c r="E56" s="70">
        <f t="shared" si="10"/>
        <v>341143</v>
      </c>
      <c r="F56" s="70">
        <f t="shared" si="10"/>
        <v>918708.91999999993</v>
      </c>
      <c r="G56" s="70">
        <f t="shared" ref="G56" si="11">G11+G12+G13+G31-G51</f>
        <v>11048</v>
      </c>
      <c r="H56" s="70">
        <f t="shared" si="10"/>
        <v>460330</v>
      </c>
      <c r="I56" s="70">
        <f t="shared" si="10"/>
        <v>80525</v>
      </c>
      <c r="J56" s="70">
        <f t="shared" si="10"/>
        <v>106031</v>
      </c>
      <c r="K56" s="70">
        <f t="shared" si="10"/>
        <v>-25807</v>
      </c>
      <c r="L56" s="70">
        <f t="shared" si="10"/>
        <v>60593</v>
      </c>
      <c r="M56" s="70">
        <f t="shared" si="10"/>
        <v>64363</v>
      </c>
      <c r="N56" s="70">
        <f t="shared" si="10"/>
        <v>884397</v>
      </c>
      <c r="O56" s="70">
        <f t="shared" ref="O56" si="12">O11+O12+O13+O31-O51</f>
        <v>33365</v>
      </c>
      <c r="P56" s="71">
        <f>P11+P12+P13+P31-P51</f>
        <v>-19700</v>
      </c>
      <c r="Q56" s="59">
        <f>AVERAGE(D56:P56)</f>
        <v>240623.94461538462</v>
      </c>
    </row>
    <row r="57" spans="1:18" s="40" customFormat="1" ht="13.5" customHeight="1">
      <c r="A57" s="62" t="s">
        <v>94</v>
      </c>
      <c r="B57" s="63"/>
      <c r="C57" s="70">
        <f t="shared" ref="C57:N57" si="13">+C11+C12+C13+C31-C51-C53</f>
        <v>-8370</v>
      </c>
      <c r="D57" s="70">
        <f t="shared" si="13"/>
        <v>128993.97000000034</v>
      </c>
      <c r="E57" s="70">
        <f t="shared" si="13"/>
        <v>229306</v>
      </c>
      <c r="F57" s="70">
        <f t="shared" si="13"/>
        <v>684756.49999999988</v>
      </c>
      <c r="G57" s="70">
        <f t="shared" ref="G57" si="14">+G11+G12+G13+G31-G51-G53</f>
        <v>-85211</v>
      </c>
      <c r="H57" s="70">
        <f>+H11+H12+H13+H31-H51-H53</f>
        <v>344689</v>
      </c>
      <c r="I57" s="70">
        <f t="shared" si="13"/>
        <v>-88366</v>
      </c>
      <c r="J57" s="70">
        <f t="shared" si="13"/>
        <v>43703</v>
      </c>
      <c r="K57" s="70">
        <f t="shared" si="13"/>
        <v>-120672</v>
      </c>
      <c r="L57" s="70">
        <f t="shared" si="13"/>
        <v>-63251</v>
      </c>
      <c r="M57" s="70">
        <f t="shared" si="13"/>
        <v>-8610</v>
      </c>
      <c r="N57" s="70">
        <f t="shared" si="13"/>
        <v>577666</v>
      </c>
      <c r="O57" s="70">
        <f t="shared" ref="O57" si="15">+O11+O12+O13+O31-O51-O53</f>
        <v>-78373</v>
      </c>
      <c r="P57" s="71">
        <f>+P11+P12+P13+P31-P51-P53</f>
        <v>-78976</v>
      </c>
      <c r="Q57" s="59">
        <f>AVERAGE(C57:P57)</f>
        <v>105520.39071428574</v>
      </c>
      <c r="R57" s="59">
        <f>SUM(C57:K57)</f>
        <v>1128829.4700000002</v>
      </c>
    </row>
    <row r="58" spans="1:18" ht="13.5" customHeight="1">
      <c r="A58" s="22" t="s">
        <v>95</v>
      </c>
      <c r="B58" s="23"/>
      <c r="C58" s="65"/>
      <c r="D58" s="65"/>
      <c r="E58" s="65"/>
      <c r="F58" s="65"/>
      <c r="G58" s="66"/>
      <c r="H58" s="65"/>
      <c r="I58" s="65"/>
      <c r="J58" s="65"/>
      <c r="K58" s="65"/>
      <c r="L58" s="65"/>
      <c r="M58" s="64"/>
      <c r="N58" s="64"/>
      <c r="O58" s="64"/>
      <c r="P58" s="67"/>
    </row>
    <row r="59" spans="1:18" ht="13.5" customHeight="1">
      <c r="A59" s="45"/>
      <c r="B59" s="46" t="s">
        <v>46</v>
      </c>
      <c r="C59" s="54">
        <v>447287</v>
      </c>
      <c r="D59" s="54">
        <v>1690755.96</v>
      </c>
      <c r="E59" s="29">
        <v>260466</v>
      </c>
      <c r="F59" s="29">
        <v>2023230.42</v>
      </c>
      <c r="G59" s="29">
        <v>64485</v>
      </c>
      <c r="H59" s="29">
        <v>-23244</v>
      </c>
      <c r="I59" s="28">
        <v>316221</v>
      </c>
      <c r="J59" s="54">
        <v>539452</v>
      </c>
      <c r="K59" s="28">
        <v>1081585</v>
      </c>
      <c r="L59" s="29">
        <v>460269</v>
      </c>
      <c r="M59" s="28">
        <v>253355</v>
      </c>
      <c r="N59" s="28">
        <v>940289</v>
      </c>
      <c r="O59" s="28">
        <f>12882+9069</f>
        <v>21951</v>
      </c>
      <c r="P59" s="35">
        <v>-29723</v>
      </c>
      <c r="Q59" s="147">
        <f>SUM(C59:P59)/13</f>
        <v>618952.26</v>
      </c>
    </row>
    <row r="60" spans="1:18" ht="13.5" customHeight="1">
      <c r="A60" s="45"/>
      <c r="B60" s="46" t="s">
        <v>47</v>
      </c>
      <c r="C60" s="54">
        <v>0</v>
      </c>
      <c r="D60" s="54">
        <v>0</v>
      </c>
      <c r="E60" s="29">
        <v>0</v>
      </c>
      <c r="F60" s="29">
        <v>0</v>
      </c>
      <c r="G60" s="29">
        <v>0</v>
      </c>
      <c r="H60" s="29">
        <v>0</v>
      </c>
      <c r="I60" s="28">
        <v>0</v>
      </c>
      <c r="J60" s="54">
        <v>0</v>
      </c>
      <c r="K60" s="28">
        <v>0</v>
      </c>
      <c r="L60" s="29">
        <v>0</v>
      </c>
      <c r="M60" s="28">
        <v>12500</v>
      </c>
      <c r="N60" s="28">
        <v>0</v>
      </c>
      <c r="O60" s="28">
        <v>0</v>
      </c>
      <c r="P60" s="35">
        <v>29724</v>
      </c>
      <c r="Q60" s="36">
        <f>MAX(C59:O59)</f>
        <v>2023230.42</v>
      </c>
    </row>
    <row r="61" spans="1:18" s="68" customFormat="1" ht="13.5" customHeight="1">
      <c r="A61" s="45"/>
      <c r="B61" s="46" t="s">
        <v>48</v>
      </c>
      <c r="C61" s="54">
        <v>3140716</v>
      </c>
      <c r="D61" s="54">
        <v>887322.61</v>
      </c>
      <c r="E61" s="29">
        <v>1980275</v>
      </c>
      <c r="F61" s="29">
        <v>5691295.5800000001</v>
      </c>
      <c r="G61" s="29">
        <v>1707084</v>
      </c>
      <c r="H61" s="29">
        <v>2851763</v>
      </c>
      <c r="I61" s="28">
        <v>2645874</v>
      </c>
      <c r="J61" s="54">
        <v>749210</v>
      </c>
      <c r="K61" s="28">
        <v>1174480</v>
      </c>
      <c r="L61" s="29">
        <v>1592101</v>
      </c>
      <c r="M61" s="28">
        <v>1060320</v>
      </c>
      <c r="N61" s="28">
        <v>6027277</v>
      </c>
      <c r="O61" s="28">
        <v>1295356</v>
      </c>
      <c r="P61" s="35">
        <v>776433</v>
      </c>
      <c r="Q61" s="156">
        <f>MIN(C59:O59)</f>
        <v>-23244</v>
      </c>
    </row>
    <row r="62" spans="1:18" s="40" customFormat="1" ht="13.5" customHeight="1">
      <c r="A62" s="62"/>
      <c r="B62" s="69" t="s">
        <v>50</v>
      </c>
      <c r="C62" s="97">
        <f t="shared" ref="C62:N62" si="16">SUM(C59:C61)</f>
        <v>3588003</v>
      </c>
      <c r="D62" s="97">
        <f t="shared" si="16"/>
        <v>2578078.5699999998</v>
      </c>
      <c r="E62" s="97">
        <f t="shared" si="16"/>
        <v>2240741</v>
      </c>
      <c r="F62" s="97">
        <f t="shared" si="16"/>
        <v>7714526</v>
      </c>
      <c r="G62" s="97">
        <f t="shared" ref="G62" si="17">SUM(G59:G61)</f>
        <v>1771569</v>
      </c>
      <c r="H62" s="97">
        <f t="shared" si="16"/>
        <v>2828519</v>
      </c>
      <c r="I62" s="97">
        <f t="shared" si="16"/>
        <v>2962095</v>
      </c>
      <c r="J62" s="97">
        <f t="shared" si="16"/>
        <v>1288662</v>
      </c>
      <c r="K62" s="97">
        <f t="shared" si="16"/>
        <v>2256065</v>
      </c>
      <c r="L62" s="97">
        <f t="shared" si="16"/>
        <v>2052370</v>
      </c>
      <c r="M62" s="97">
        <f t="shared" si="16"/>
        <v>1326175</v>
      </c>
      <c r="N62" s="97">
        <f t="shared" si="16"/>
        <v>6967566</v>
      </c>
      <c r="O62" s="97">
        <f t="shared" ref="O62" si="18">SUM(O59:O61)</f>
        <v>1317307</v>
      </c>
      <c r="P62" s="98">
        <f>SUM(P59:P61)</f>
        <v>776434</v>
      </c>
    </row>
    <row r="63" spans="1:18" s="163" customFormat="1" ht="13.5" thickBot="1">
      <c r="A63" s="128" t="s">
        <v>96</v>
      </c>
      <c r="B63" s="129"/>
      <c r="C63" s="159">
        <f>C59/(C51)</f>
        <v>0.33818229107204556</v>
      </c>
      <c r="D63" s="159">
        <f t="shared" ref="D63:N63" si="19">D59/(D51)</f>
        <v>1.087664896203844</v>
      </c>
      <c r="E63" s="159">
        <f t="shared" si="19"/>
        <v>0.17369634049726984</v>
      </c>
      <c r="F63" s="159">
        <f t="shared" si="19"/>
        <v>1.0872380586022712</v>
      </c>
      <c r="G63" s="159">
        <f t="shared" ref="G63" si="20">G59/(G51)</f>
        <v>6.1615327726467502E-2</v>
      </c>
      <c r="H63" s="159">
        <f>H59/(H51)</f>
        <v>-1.1346612052187385E-2</v>
      </c>
      <c r="I63" s="159">
        <f t="shared" si="19"/>
        <v>0.35634309436717804</v>
      </c>
      <c r="J63" s="159">
        <f t="shared" si="19"/>
        <v>0.5372540935034773</v>
      </c>
      <c r="K63" s="159">
        <f t="shared" si="19"/>
        <v>0.81230933072173062</v>
      </c>
      <c r="L63" s="159">
        <f t="shared" si="19"/>
        <v>0.35504118384858785</v>
      </c>
      <c r="M63" s="159">
        <f t="shared" si="19"/>
        <v>0.14448630386977271</v>
      </c>
      <c r="N63" s="159">
        <f t="shared" si="19"/>
        <v>0.65834443656385411</v>
      </c>
      <c r="O63" s="159">
        <f t="shared" ref="O63" si="21">O59/(O51)</f>
        <v>1.5200397200484451E-2</v>
      </c>
      <c r="P63" s="333">
        <f>P59/(P51)</f>
        <v>-3.0792325072803238E-2</v>
      </c>
      <c r="Q63" s="178">
        <f>AVERAGE(C63:O63)</f>
        <v>0.43200224170190737</v>
      </c>
    </row>
    <row r="64" spans="1:18" s="137" customFormat="1" ht="12.75" hidden="1" customHeight="1">
      <c r="A64" s="135"/>
      <c r="B64" s="179" t="s">
        <v>97</v>
      </c>
      <c r="C64" s="83">
        <f>+C9+C11+C12+C13+C31-C51-C53-C62</f>
        <v>0</v>
      </c>
      <c r="D64" s="135">
        <f t="shared" ref="D64:N64" si="22">+D9+D11+D12+D13+D31-D51-D53-D62</f>
        <v>0</v>
      </c>
      <c r="E64" s="135">
        <f t="shared" si="22"/>
        <v>-1</v>
      </c>
      <c r="F64" s="135">
        <f t="shared" si="22"/>
        <v>0</v>
      </c>
      <c r="G64" s="113"/>
      <c r="H64" s="135">
        <f t="shared" si="22"/>
        <v>2</v>
      </c>
      <c r="I64" s="135">
        <f t="shared" si="22"/>
        <v>-1</v>
      </c>
      <c r="J64" s="135">
        <f t="shared" si="22"/>
        <v>-2</v>
      </c>
      <c r="K64" s="112">
        <f t="shared" si="22"/>
        <v>-3</v>
      </c>
      <c r="L64" s="135">
        <f t="shared" si="22"/>
        <v>-1</v>
      </c>
      <c r="M64" s="135">
        <f t="shared" si="22"/>
        <v>0</v>
      </c>
      <c r="N64" s="135">
        <f t="shared" si="22"/>
        <v>1</v>
      </c>
      <c r="O64" s="135"/>
      <c r="P64" s="112">
        <f>+P9+P11+P12+P13+P31-P51-P53-P62</f>
        <v>0</v>
      </c>
      <c r="Q64" s="136">
        <f>MAX(C63:O63)</f>
        <v>1.087664896203844</v>
      </c>
    </row>
    <row r="65" spans="1:18" s="137" customFormat="1" ht="12.75" hidden="1" customHeight="1">
      <c r="A65" s="244"/>
      <c r="B65" s="245"/>
      <c r="C65" s="235">
        <f t="shared" ref="C65:P65" si="23">+C9+C57-C62</f>
        <v>0</v>
      </c>
      <c r="D65" s="235">
        <f t="shared" si="23"/>
        <v>0</v>
      </c>
      <c r="E65" s="135">
        <f t="shared" si="23"/>
        <v>-1</v>
      </c>
      <c r="F65" s="135">
        <f t="shared" si="23"/>
        <v>0</v>
      </c>
      <c r="G65" s="135">
        <f t="shared" si="23"/>
        <v>-3</v>
      </c>
      <c r="H65" s="135">
        <f>+H9+H57-H62</f>
        <v>2</v>
      </c>
      <c r="I65" s="135">
        <f t="shared" si="23"/>
        <v>-1</v>
      </c>
      <c r="J65" s="135">
        <f t="shared" si="23"/>
        <v>-2</v>
      </c>
      <c r="K65" s="135">
        <f t="shared" si="23"/>
        <v>-3</v>
      </c>
      <c r="L65" s="135">
        <f t="shared" si="23"/>
        <v>-1</v>
      </c>
      <c r="M65" s="135">
        <f t="shared" si="23"/>
        <v>0</v>
      </c>
      <c r="N65" s="135">
        <f t="shared" si="23"/>
        <v>1</v>
      </c>
      <c r="O65" s="135"/>
      <c r="P65" s="135">
        <f t="shared" si="23"/>
        <v>0</v>
      </c>
      <c r="Q65" s="136"/>
    </row>
    <row r="66" spans="1:18" s="137" customFormat="1" ht="13.5" customHeight="1">
      <c r="A66" s="244"/>
      <c r="B66" s="245"/>
      <c r="C66" s="235"/>
      <c r="D66" s="235"/>
      <c r="E66" s="135"/>
      <c r="F66" s="135"/>
      <c r="G66" s="113"/>
      <c r="H66" s="135"/>
      <c r="I66" s="135"/>
      <c r="J66" s="135"/>
      <c r="K66" s="135"/>
      <c r="L66" s="135"/>
      <c r="M66" s="135"/>
      <c r="N66" s="135"/>
      <c r="O66" s="135"/>
      <c r="P66" s="135"/>
      <c r="Q66" s="136"/>
    </row>
    <row r="67" spans="1:18" s="68" customFormat="1" ht="13.5" customHeight="1">
      <c r="A67" s="323" t="s">
        <v>225</v>
      </c>
      <c r="B67" s="230"/>
      <c r="C67" s="230"/>
      <c r="D67" s="230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6"/>
    </row>
    <row r="68" spans="1:18" s="68" customFormat="1" ht="13.5" customHeight="1">
      <c r="A68" s="320" t="s">
        <v>226</v>
      </c>
      <c r="B68" s="230"/>
      <c r="C68" s="230"/>
      <c r="D68" s="230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6"/>
    </row>
    <row r="69" spans="1:18" s="68" customFormat="1" ht="13.5" customHeight="1">
      <c r="A69" s="321" t="s">
        <v>98</v>
      </c>
      <c r="B69" s="230"/>
      <c r="C69" s="230"/>
      <c r="D69" s="230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6"/>
    </row>
    <row r="70" spans="1:18" s="68" customFormat="1" ht="13.5" customHeight="1">
      <c r="A70" s="322"/>
      <c r="B70" s="91"/>
      <c r="C70" s="91"/>
      <c r="D70" s="91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6"/>
    </row>
    <row r="71" spans="1:18" s="68" customFormat="1" ht="13.5" customHeight="1">
      <c r="A71" s="320" t="s">
        <v>227</v>
      </c>
      <c r="B71" s="230"/>
      <c r="C71" s="230"/>
      <c r="D71" s="230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6"/>
    </row>
    <row r="72" spans="1:18" s="68" customFormat="1" ht="13.5" customHeight="1">
      <c r="A72" s="320" t="s">
        <v>99</v>
      </c>
      <c r="B72" s="230"/>
      <c r="C72" s="230"/>
      <c r="D72" s="230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6"/>
    </row>
    <row r="73" spans="1:18" ht="12.75" customHeight="1">
      <c r="A73" s="320" t="s">
        <v>100</v>
      </c>
      <c r="B73" s="8"/>
      <c r="C73" s="238"/>
      <c r="D73" s="238"/>
      <c r="E73" s="87"/>
      <c r="F73" s="87"/>
      <c r="H73" s="87"/>
      <c r="I73" s="87"/>
      <c r="J73" s="87"/>
      <c r="K73" s="87"/>
      <c r="L73" s="87"/>
      <c r="M73" s="87"/>
      <c r="P73" s="87"/>
    </row>
    <row r="74" spans="1:18" ht="13.5" thickBot="1">
      <c r="A74" s="239"/>
      <c r="B74" s="239"/>
      <c r="C74" s="239"/>
      <c r="D74" s="239"/>
      <c r="E74" s="87"/>
      <c r="F74" s="87"/>
      <c r="H74" s="87"/>
      <c r="I74" s="87"/>
      <c r="J74" s="87"/>
      <c r="K74" s="87"/>
      <c r="L74" s="87"/>
      <c r="M74" s="87"/>
      <c r="P74" s="87"/>
    </row>
    <row r="75" spans="1:18">
      <c r="A75" s="403"/>
      <c r="B75" s="404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1"/>
    </row>
    <row r="76" spans="1:18" ht="72.75" customHeight="1">
      <c r="A76" s="405"/>
      <c r="B76" s="406"/>
      <c r="C76" s="326" t="str">
        <f t="shared" ref="C76:P76" si="24">C2</f>
        <v>3rd DAA,     Silver Dollar Fair</v>
      </c>
      <c r="D76" s="326" t="str">
        <f t="shared" si="24"/>
        <v>4th DAA, Sonoma Marin Fair</v>
      </c>
      <c r="E76" s="326" t="str">
        <f t="shared" si="24"/>
        <v>14th DAA,     Santa Cruz County Fair</v>
      </c>
      <c r="F76" s="326" t="str">
        <f t="shared" si="24"/>
        <v>21-A DAA, Madera District Fair</v>
      </c>
      <c r="G76" s="360" t="str">
        <f t="shared" ref="G76" si="25">G2</f>
        <v>23rd DAA, Contra Costa County Fair</v>
      </c>
      <c r="H76" s="326" t="str">
        <f t="shared" si="24"/>
        <v>25th DAA,     Napa Town &amp; Country Fair</v>
      </c>
      <c r="I76" s="326" t="str">
        <f t="shared" si="24"/>
        <v>27th DAA, Shasta District Fair</v>
      </c>
      <c r="J76" s="326" t="str">
        <f t="shared" si="24"/>
        <v>36th DAA,    Dixon May Fair</v>
      </c>
      <c r="K76" s="326" t="str">
        <f t="shared" si="24"/>
        <v>45th DAA, California Mid-Winter Fair</v>
      </c>
      <c r="L76" s="326" t="str">
        <f t="shared" si="24"/>
        <v>El Dorado County Fair</v>
      </c>
      <c r="M76" s="326" t="str">
        <f t="shared" si="24"/>
        <v>Humboldt County Fair</v>
      </c>
      <c r="N76" s="326" t="str">
        <f t="shared" si="24"/>
        <v>Salinas Valley Fair</v>
      </c>
      <c r="O76" s="374" t="str">
        <f t="shared" si="24"/>
        <v>Napa County Fair</v>
      </c>
      <c r="P76" s="327" t="str">
        <f t="shared" si="24"/>
        <v xml:space="preserve">Placer County Fair    </v>
      </c>
    </row>
    <row r="77" spans="1:18" ht="13.5" customHeight="1">
      <c r="A77" s="22" t="s">
        <v>101</v>
      </c>
      <c r="B77" s="52"/>
      <c r="C77" s="93"/>
      <c r="D77" s="93"/>
      <c r="E77" s="93"/>
      <c r="F77" s="93"/>
      <c r="G77" s="94"/>
      <c r="H77" s="93"/>
      <c r="I77" s="93"/>
      <c r="J77" s="93"/>
      <c r="K77" s="93"/>
      <c r="L77" s="93"/>
      <c r="M77" s="92"/>
      <c r="N77" s="92"/>
      <c r="O77" s="92"/>
      <c r="P77" s="95"/>
    </row>
    <row r="78" spans="1:18" ht="13.5" customHeight="1">
      <c r="A78" s="22" t="s">
        <v>102</v>
      </c>
      <c r="B78" s="52"/>
      <c r="C78" s="93"/>
      <c r="D78" s="93"/>
      <c r="E78" s="93"/>
      <c r="F78" s="93"/>
      <c r="G78" s="94"/>
      <c r="H78" s="93"/>
      <c r="I78" s="93"/>
      <c r="J78" s="93"/>
      <c r="K78" s="93"/>
      <c r="L78" s="93"/>
      <c r="M78" s="92"/>
      <c r="N78" s="92"/>
      <c r="O78" s="92"/>
      <c r="P78" s="95"/>
    </row>
    <row r="79" spans="1:18" ht="13.5" customHeight="1">
      <c r="A79" s="51"/>
      <c r="B79" s="52" t="s">
        <v>103</v>
      </c>
      <c r="C79" s="53"/>
      <c r="D79" s="53"/>
      <c r="E79" s="53"/>
      <c r="F79" s="53"/>
      <c r="G79" s="34"/>
      <c r="H79" s="53"/>
      <c r="I79" s="53"/>
      <c r="J79" s="53"/>
      <c r="K79" s="53"/>
      <c r="L79" s="53"/>
      <c r="M79" s="33"/>
      <c r="N79" s="33"/>
      <c r="O79" s="33"/>
      <c r="P79" s="30"/>
    </row>
    <row r="80" spans="1:18" ht="13.5" customHeight="1">
      <c r="A80" s="51"/>
      <c r="B80" s="52" t="s">
        <v>104</v>
      </c>
      <c r="C80" s="25">
        <v>0</v>
      </c>
      <c r="D80" s="25">
        <v>0</v>
      </c>
      <c r="E80" s="25">
        <v>0</v>
      </c>
      <c r="F80" s="25">
        <v>0</v>
      </c>
      <c r="G80" s="26">
        <v>0</v>
      </c>
      <c r="H80" s="25">
        <v>107831</v>
      </c>
      <c r="I80" s="25">
        <v>0</v>
      </c>
      <c r="J80" s="25">
        <v>0</v>
      </c>
      <c r="K80" s="25">
        <v>0</v>
      </c>
      <c r="L80" s="25">
        <v>0</v>
      </c>
      <c r="M80" s="24">
        <v>6931</v>
      </c>
      <c r="N80" s="24">
        <v>0</v>
      </c>
      <c r="O80" s="24">
        <v>0</v>
      </c>
      <c r="P80" s="27">
        <v>29724</v>
      </c>
      <c r="R80" s="96">
        <f t="shared" ref="R80:R87" si="26">SUM(C80:K80)</f>
        <v>107831</v>
      </c>
    </row>
    <row r="81" spans="1:21" ht="13.5" customHeight="1">
      <c r="A81" s="51"/>
      <c r="B81" s="52" t="s">
        <v>105</v>
      </c>
      <c r="C81" s="53">
        <v>469847</v>
      </c>
      <c r="D81" s="53">
        <v>1904798.74</v>
      </c>
      <c r="E81" s="53">
        <f>393215.81+40778.13</f>
        <v>433993.94</v>
      </c>
      <c r="F81" s="53">
        <v>1825585.21</v>
      </c>
      <c r="G81" s="34">
        <v>112923</v>
      </c>
      <c r="H81" s="53">
        <v>545127</v>
      </c>
      <c r="I81" s="25">
        <v>406354</v>
      </c>
      <c r="J81" s="53">
        <f>722042+2300</f>
        <v>724342</v>
      </c>
      <c r="K81" s="53">
        <v>1336320</v>
      </c>
      <c r="L81" s="53">
        <v>566571</v>
      </c>
      <c r="M81" s="33">
        <v>186754</v>
      </c>
      <c r="N81" s="33">
        <v>965051</v>
      </c>
      <c r="O81" s="33">
        <v>278313</v>
      </c>
      <c r="P81" s="30">
        <v>29688</v>
      </c>
      <c r="R81" s="96">
        <f t="shared" si="26"/>
        <v>7759290.8900000006</v>
      </c>
    </row>
    <row r="82" spans="1:21" ht="13.5" customHeight="1">
      <c r="A82" s="51"/>
      <c r="B82" s="52" t="s">
        <v>106</v>
      </c>
      <c r="C82" s="53">
        <v>21652</v>
      </c>
      <c r="D82" s="53">
        <v>6869.95</v>
      </c>
      <c r="E82" s="53">
        <f>2902.98+7297.13</f>
        <v>10200.11</v>
      </c>
      <c r="F82" s="53">
        <v>643009.93999999994</v>
      </c>
      <c r="G82" s="34">
        <v>55584</v>
      </c>
      <c r="H82" s="53">
        <v>38905</v>
      </c>
      <c r="I82" s="25">
        <v>76178</v>
      </c>
      <c r="J82" s="53">
        <f>1700+1333</f>
        <v>3033</v>
      </c>
      <c r="K82" s="53">
        <v>60</v>
      </c>
      <c r="L82" s="53">
        <v>15385</v>
      </c>
      <c r="M82" s="33">
        <v>164064</v>
      </c>
      <c r="N82" s="33">
        <v>11382</v>
      </c>
      <c r="O82" s="33">
        <v>38699</v>
      </c>
      <c r="P82" s="30">
        <v>28661</v>
      </c>
      <c r="R82" s="96">
        <f t="shared" si="26"/>
        <v>855492</v>
      </c>
    </row>
    <row r="83" spans="1:21" ht="13.5" customHeight="1">
      <c r="A83" s="51"/>
      <c r="B83" s="52" t="s">
        <v>107</v>
      </c>
      <c r="C83" s="53">
        <v>0</v>
      </c>
      <c r="D83" s="53">
        <v>8198.15</v>
      </c>
      <c r="E83" s="53">
        <v>6554.01</v>
      </c>
      <c r="F83" s="53">
        <v>0</v>
      </c>
      <c r="G83" s="34">
        <v>8842</v>
      </c>
      <c r="H83" s="53">
        <v>20590</v>
      </c>
      <c r="I83" s="53">
        <v>2389</v>
      </c>
      <c r="J83" s="53">
        <v>8664</v>
      </c>
      <c r="K83" s="53">
        <v>19543</v>
      </c>
      <c r="L83" s="53">
        <v>11392</v>
      </c>
      <c r="M83" s="33">
        <v>27241</v>
      </c>
      <c r="N83" s="33">
        <v>0</v>
      </c>
      <c r="O83" s="33">
        <v>8569</v>
      </c>
      <c r="P83" s="30">
        <v>0</v>
      </c>
      <c r="R83" s="96">
        <f t="shared" si="26"/>
        <v>74780.160000000003</v>
      </c>
    </row>
    <row r="84" spans="1:21" ht="13.5" customHeight="1">
      <c r="A84" s="51"/>
      <c r="B84" s="52" t="s">
        <v>108</v>
      </c>
      <c r="C84" s="53">
        <v>0</v>
      </c>
      <c r="D84" s="53">
        <v>1422.94</v>
      </c>
      <c r="E84" s="53">
        <v>0</v>
      </c>
      <c r="F84" s="53">
        <v>0</v>
      </c>
      <c r="G84" s="34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33">
        <v>5509</v>
      </c>
      <c r="N84" s="33">
        <v>10525</v>
      </c>
      <c r="O84" s="33">
        <v>4326</v>
      </c>
      <c r="P84" s="30">
        <v>2541</v>
      </c>
      <c r="R84" s="96">
        <f t="shared" si="26"/>
        <v>1422.94</v>
      </c>
    </row>
    <row r="85" spans="1:21" ht="13.5" customHeight="1">
      <c r="A85" s="51"/>
      <c r="B85" s="52" t="s">
        <v>171</v>
      </c>
      <c r="C85" s="53">
        <v>0</v>
      </c>
      <c r="D85" s="53">
        <v>10485</v>
      </c>
      <c r="E85" s="53">
        <v>178016.46</v>
      </c>
      <c r="F85" s="53">
        <v>0</v>
      </c>
      <c r="G85" s="34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33">
        <v>1800</v>
      </c>
      <c r="N85" s="33">
        <v>0</v>
      </c>
      <c r="O85" s="33">
        <v>12005</v>
      </c>
      <c r="P85" s="30">
        <v>1897</v>
      </c>
      <c r="R85" s="36">
        <f t="shared" si="26"/>
        <v>188501.46</v>
      </c>
    </row>
    <row r="86" spans="1:21" ht="13.5" customHeight="1">
      <c r="A86" s="51"/>
      <c r="B86" s="52" t="s">
        <v>110</v>
      </c>
      <c r="C86" s="53">
        <v>15523</v>
      </c>
      <c r="D86" s="53">
        <v>0</v>
      </c>
      <c r="E86" s="53">
        <v>8500</v>
      </c>
      <c r="F86" s="53">
        <v>1816740.3</v>
      </c>
      <c r="G86" s="34">
        <v>97504</v>
      </c>
      <c r="H86" s="53">
        <v>231900</v>
      </c>
      <c r="I86" s="53">
        <v>111973</v>
      </c>
      <c r="J86" s="53">
        <v>35602</v>
      </c>
      <c r="K86" s="53">
        <v>0</v>
      </c>
      <c r="L86" s="53">
        <v>90987</v>
      </c>
      <c r="M86" s="33">
        <v>0</v>
      </c>
      <c r="N86" s="33">
        <v>0</v>
      </c>
      <c r="O86" s="33">
        <v>0</v>
      </c>
      <c r="P86" s="30">
        <v>0</v>
      </c>
      <c r="R86" s="20">
        <f t="shared" si="26"/>
        <v>2317742.2999999998</v>
      </c>
    </row>
    <row r="87" spans="1:21" ht="13.5" customHeight="1">
      <c r="A87" s="51"/>
      <c r="B87" s="52" t="s">
        <v>111</v>
      </c>
      <c r="C87" s="53">
        <v>8236618</v>
      </c>
      <c r="D87" s="53">
        <v>4364640.26</v>
      </c>
      <c r="E87" s="53">
        <v>4425527.6399999997</v>
      </c>
      <c r="F87" s="53">
        <v>6200034.6699999999</v>
      </c>
      <c r="G87" s="34">
        <v>3691227</v>
      </c>
      <c r="H87" s="53">
        <v>5424550</v>
      </c>
      <c r="I87" s="53">
        <v>6795004</v>
      </c>
      <c r="J87" s="53">
        <v>3190426</v>
      </c>
      <c r="K87" s="53">
        <v>0</v>
      </c>
      <c r="L87" s="53">
        <v>4716335</v>
      </c>
      <c r="M87" s="33">
        <v>4459452</v>
      </c>
      <c r="N87" s="33">
        <v>8603774</v>
      </c>
      <c r="O87" s="33">
        <v>2921846</v>
      </c>
      <c r="P87" s="30">
        <v>0</v>
      </c>
      <c r="R87" s="20">
        <f t="shared" si="26"/>
        <v>42328027.57</v>
      </c>
    </row>
    <row r="88" spans="1:21" ht="13.5" customHeight="1">
      <c r="A88" s="51"/>
      <c r="B88" s="52" t="s">
        <v>112</v>
      </c>
      <c r="C88" s="53">
        <v>393158</v>
      </c>
      <c r="D88" s="53">
        <v>269954.31</v>
      </c>
      <c r="E88" s="53">
        <v>294651.52000000002</v>
      </c>
      <c r="F88" s="53">
        <v>377323.62</v>
      </c>
      <c r="G88" s="34">
        <v>237645</v>
      </c>
      <c r="H88" s="53">
        <v>940534</v>
      </c>
      <c r="I88" s="53">
        <v>256629</v>
      </c>
      <c r="J88" s="53">
        <v>144555</v>
      </c>
      <c r="K88" s="53">
        <v>317556</v>
      </c>
      <c r="L88" s="53">
        <v>163466</v>
      </c>
      <c r="M88" s="33">
        <v>242422</v>
      </c>
      <c r="N88" s="33">
        <v>399839</v>
      </c>
      <c r="O88" s="33">
        <v>467478</v>
      </c>
      <c r="P88" s="30">
        <v>343780</v>
      </c>
    </row>
    <row r="89" spans="1:21" ht="13.5" customHeight="1">
      <c r="A89" s="51"/>
      <c r="B89" s="52" t="s">
        <v>113</v>
      </c>
      <c r="C89" s="53">
        <v>0</v>
      </c>
      <c r="D89" s="53">
        <v>0</v>
      </c>
      <c r="E89" s="53">
        <v>0</v>
      </c>
      <c r="F89" s="53">
        <v>0</v>
      </c>
      <c r="G89" s="34">
        <v>740573</v>
      </c>
      <c r="H89" s="53">
        <v>0</v>
      </c>
      <c r="I89" s="53">
        <v>0</v>
      </c>
      <c r="J89" s="53">
        <v>0</v>
      </c>
      <c r="K89" s="53">
        <v>3386669</v>
      </c>
      <c r="L89" s="53">
        <v>0</v>
      </c>
      <c r="M89" s="33">
        <v>90148</v>
      </c>
      <c r="N89" s="33">
        <v>0</v>
      </c>
      <c r="O89" s="33">
        <v>0</v>
      </c>
      <c r="P89" s="30">
        <v>3141966</v>
      </c>
    </row>
    <row r="90" spans="1:21" ht="13.5" customHeight="1">
      <c r="A90" s="51"/>
      <c r="B90" s="52" t="s">
        <v>209</v>
      </c>
      <c r="C90" s="53">
        <v>0</v>
      </c>
      <c r="D90" s="53">
        <v>0</v>
      </c>
      <c r="E90" s="53">
        <v>0</v>
      </c>
      <c r="F90" s="53">
        <v>0</v>
      </c>
      <c r="G90" s="34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33">
        <v>0</v>
      </c>
      <c r="N90" s="33">
        <v>0</v>
      </c>
      <c r="O90" s="33">
        <v>0</v>
      </c>
      <c r="P90" s="30">
        <v>0</v>
      </c>
      <c r="R90" s="20">
        <f t="shared" ref="R90" si="27">SUM(C90:K90)</f>
        <v>0</v>
      </c>
    </row>
    <row r="91" spans="1:21" ht="13.5" customHeight="1">
      <c r="A91" s="51"/>
      <c r="B91" s="52" t="s">
        <v>114</v>
      </c>
      <c r="C91" s="53">
        <f>-5175415-329168</f>
        <v>-5504583</v>
      </c>
      <c r="D91" s="53">
        <f>-3487802.65-269954.31</f>
        <v>-3757756.96</v>
      </c>
      <c r="E91" s="53">
        <f>-2631769.32-294651.52</f>
        <v>-2926420.84</v>
      </c>
      <c r="F91" s="53">
        <f>-2400809.57-301993.45</f>
        <v>-2702803.02</v>
      </c>
      <c r="G91" s="34">
        <f>-2501305-237645-320914</f>
        <v>-3059864</v>
      </c>
      <c r="H91" s="53">
        <f>-2840068-905153</f>
        <v>-3745221</v>
      </c>
      <c r="I91" s="53">
        <f>-4113744-256629</f>
        <v>-4370373</v>
      </c>
      <c r="J91" s="53">
        <f>-2399682-144555</f>
        <v>-2544237</v>
      </c>
      <c r="K91" s="53">
        <f>-314104-1974551</f>
        <v>-2288655</v>
      </c>
      <c r="L91" s="53">
        <f>-3190690-140227</f>
        <v>-3330917</v>
      </c>
      <c r="M91" s="33">
        <f>-3494265-231399-7837</f>
        <v>-3733501</v>
      </c>
      <c r="N91" s="33">
        <f>-2641539-334797</f>
        <v>-2976336</v>
      </c>
      <c r="O91" s="33">
        <f>-1730012-267308</f>
        <v>-1997320</v>
      </c>
      <c r="P91" s="30">
        <f>-342051.93-2339160.54</f>
        <v>-2681212.4700000002</v>
      </c>
      <c r="R91" s="36">
        <f>SUM(C85:K91)</f>
        <v>21293605.960000001</v>
      </c>
    </row>
    <row r="92" spans="1:21" ht="13.5" customHeight="1">
      <c r="A92" s="51"/>
      <c r="B92" s="52" t="s">
        <v>115</v>
      </c>
      <c r="C92" s="53">
        <v>-1</v>
      </c>
      <c r="D92" s="53">
        <v>0</v>
      </c>
      <c r="E92" s="53">
        <v>0</v>
      </c>
      <c r="F92" s="53">
        <v>0</v>
      </c>
      <c r="G92" s="34">
        <v>-1</v>
      </c>
      <c r="H92" s="53">
        <v>-1</v>
      </c>
      <c r="I92" s="53">
        <v>0</v>
      </c>
      <c r="J92" s="53">
        <v>0</v>
      </c>
      <c r="K92" s="53">
        <v>0</v>
      </c>
      <c r="L92" s="53">
        <v>-1</v>
      </c>
      <c r="M92" s="33">
        <v>-2</v>
      </c>
      <c r="N92" s="33">
        <v>0</v>
      </c>
      <c r="O92" s="33">
        <v>1</v>
      </c>
      <c r="P92" s="30">
        <v>0</v>
      </c>
    </row>
    <row r="93" spans="1:21" s="40" customFormat="1" ht="13.5" customHeight="1">
      <c r="A93" s="37" t="s">
        <v>116</v>
      </c>
      <c r="B93" s="42"/>
      <c r="C93" s="97">
        <f t="shared" ref="C93:I93" si="28">SUM(C79:C92)</f>
        <v>3632214</v>
      </c>
      <c r="D93" s="97">
        <f t="shared" si="28"/>
        <v>2808612.3899999987</v>
      </c>
      <c r="E93" s="97">
        <f t="shared" si="28"/>
        <v>2431022.84</v>
      </c>
      <c r="F93" s="97">
        <f t="shared" si="28"/>
        <v>8159890.7200000007</v>
      </c>
      <c r="G93" s="97">
        <f t="shared" si="28"/>
        <v>1884433</v>
      </c>
      <c r="H93" s="97">
        <f t="shared" si="28"/>
        <v>3564215</v>
      </c>
      <c r="I93" s="97">
        <f t="shared" si="28"/>
        <v>3278154</v>
      </c>
      <c r="J93" s="97">
        <f t="shared" ref="J93:O93" si="29">SUM(J79:J92)</f>
        <v>1562385</v>
      </c>
      <c r="K93" s="97">
        <f t="shared" si="29"/>
        <v>2771493</v>
      </c>
      <c r="L93" s="97">
        <f t="shared" si="29"/>
        <v>2233218</v>
      </c>
      <c r="M93" s="97">
        <f t="shared" si="29"/>
        <v>1450818</v>
      </c>
      <c r="N93" s="97">
        <f t="shared" si="29"/>
        <v>7014235</v>
      </c>
      <c r="O93" s="97">
        <f t="shared" si="29"/>
        <v>1733917</v>
      </c>
      <c r="P93" s="334">
        <f>SUM(P79:P92)</f>
        <v>897044.5299999998</v>
      </c>
      <c r="R93" s="99">
        <f>SUM(C93:K93)</f>
        <v>30092419.949999999</v>
      </c>
    </row>
    <row r="94" spans="1:21" ht="13.5" customHeight="1">
      <c r="A94" s="22" t="s">
        <v>184</v>
      </c>
      <c r="B94" s="52"/>
      <c r="C94" s="93"/>
      <c r="D94" s="93"/>
      <c r="E94" s="93"/>
      <c r="F94" s="93"/>
      <c r="G94" s="94"/>
      <c r="H94" s="93"/>
      <c r="I94" s="93"/>
      <c r="J94" s="93"/>
      <c r="K94" s="93"/>
      <c r="L94" s="93"/>
      <c r="M94" s="92"/>
      <c r="N94" s="92"/>
      <c r="O94" s="92"/>
      <c r="P94" s="95"/>
    </row>
    <row r="95" spans="1:21" ht="13.5" customHeight="1">
      <c r="A95" s="51"/>
      <c r="B95" s="52" t="s">
        <v>118</v>
      </c>
      <c r="C95" s="53">
        <v>0</v>
      </c>
      <c r="D95" s="53">
        <v>95</v>
      </c>
      <c r="E95" s="53">
        <v>560</v>
      </c>
      <c r="F95" s="53">
        <v>0</v>
      </c>
      <c r="G95" s="34">
        <v>95</v>
      </c>
      <c r="H95" s="53">
        <v>0</v>
      </c>
      <c r="I95" s="53">
        <v>0</v>
      </c>
      <c r="J95" s="53">
        <v>0</v>
      </c>
      <c r="K95" s="53">
        <v>-1249</v>
      </c>
      <c r="L95" s="53">
        <v>0</v>
      </c>
      <c r="M95" s="33">
        <v>-1840</v>
      </c>
      <c r="N95" s="33">
        <v>4355</v>
      </c>
      <c r="O95" s="33">
        <v>0</v>
      </c>
      <c r="P95" s="30">
        <v>1889</v>
      </c>
      <c r="R95" s="96">
        <f t="shared" ref="R95:R111" si="30">SUM(C95:K95)</f>
        <v>-499</v>
      </c>
    </row>
    <row r="96" spans="1:21" ht="13.5" customHeight="1">
      <c r="A96" s="51"/>
      <c r="B96" s="52" t="s">
        <v>119</v>
      </c>
      <c r="C96" s="53">
        <v>8673</v>
      </c>
      <c r="D96" s="53">
        <v>19030.95</v>
      </c>
      <c r="E96" s="53">
        <v>37069.54</v>
      </c>
      <c r="F96" s="53">
        <v>216875.3</v>
      </c>
      <c r="G96" s="34">
        <v>46937</v>
      </c>
      <c r="H96" s="53">
        <v>36672</v>
      </c>
      <c r="I96" s="53">
        <v>39973</v>
      </c>
      <c r="J96" s="53">
        <f>1974+10851</f>
        <v>12825</v>
      </c>
      <c r="K96" s="53">
        <v>11044</v>
      </c>
      <c r="L96" s="53">
        <v>52545</v>
      </c>
      <c r="M96" s="33">
        <v>71323</v>
      </c>
      <c r="N96" s="33">
        <v>2328</v>
      </c>
      <c r="O96" s="33">
        <v>77115</v>
      </c>
      <c r="P96" s="30">
        <v>30947</v>
      </c>
      <c r="R96" s="96">
        <f t="shared" si="30"/>
        <v>429099.79</v>
      </c>
      <c r="U96" s="180"/>
    </row>
    <row r="97" spans="1:18" ht="13.5" customHeight="1">
      <c r="A97" s="51"/>
      <c r="B97" s="52" t="s">
        <v>120</v>
      </c>
      <c r="C97" s="53">
        <v>1080</v>
      </c>
      <c r="D97" s="53">
        <v>19.41</v>
      </c>
      <c r="E97" s="53">
        <v>1737.72</v>
      </c>
      <c r="F97" s="53">
        <v>18848.78</v>
      </c>
      <c r="G97" s="34">
        <v>4166</v>
      </c>
      <c r="H97" s="53">
        <v>9414</v>
      </c>
      <c r="I97" s="53">
        <v>616</v>
      </c>
      <c r="J97" s="53">
        <v>4831</v>
      </c>
      <c r="K97" s="53">
        <v>0</v>
      </c>
      <c r="L97" s="53">
        <v>8697</v>
      </c>
      <c r="M97" s="33">
        <v>0</v>
      </c>
      <c r="N97" s="33">
        <v>0</v>
      </c>
      <c r="O97" s="33">
        <v>-2082</v>
      </c>
      <c r="P97" s="30">
        <v>110</v>
      </c>
      <c r="R97" s="96">
        <f t="shared" si="30"/>
        <v>40712.910000000003</v>
      </c>
    </row>
    <row r="98" spans="1:18" ht="13.5" customHeight="1">
      <c r="A98" s="51"/>
      <c r="B98" s="52" t="s">
        <v>121</v>
      </c>
      <c r="C98" s="53">
        <v>7585</v>
      </c>
      <c r="D98" s="53">
        <v>155465.22</v>
      </c>
      <c r="E98" s="53">
        <v>19655</v>
      </c>
      <c r="F98" s="53">
        <v>138889.17000000001</v>
      </c>
      <c r="G98" s="34">
        <v>0</v>
      </c>
      <c r="H98" s="53">
        <v>102613</v>
      </c>
      <c r="I98" s="53">
        <v>12278</v>
      </c>
      <c r="J98" s="53">
        <v>42974</v>
      </c>
      <c r="K98" s="53">
        <v>95628</v>
      </c>
      <c r="L98" s="53">
        <v>48114</v>
      </c>
      <c r="M98" s="33">
        <v>580</v>
      </c>
      <c r="N98" s="33">
        <v>652</v>
      </c>
      <c r="O98" s="33">
        <v>167172</v>
      </c>
      <c r="P98" s="30">
        <v>0</v>
      </c>
      <c r="R98" s="96">
        <f t="shared" si="30"/>
        <v>575087.39</v>
      </c>
    </row>
    <row r="99" spans="1:18" ht="13.5" customHeight="1">
      <c r="A99" s="51"/>
      <c r="B99" s="52" t="s">
        <v>122</v>
      </c>
      <c r="C99" s="53">
        <v>0</v>
      </c>
      <c r="D99" s="53">
        <v>0</v>
      </c>
      <c r="E99" s="53">
        <v>0</v>
      </c>
      <c r="F99" s="53">
        <v>2345.6799999999998</v>
      </c>
      <c r="G99" s="34">
        <v>-6481</v>
      </c>
      <c r="H99" s="53"/>
      <c r="I99" s="53">
        <v>575</v>
      </c>
      <c r="J99" s="53">
        <v>0</v>
      </c>
      <c r="K99" s="53">
        <v>0</v>
      </c>
      <c r="L99" s="53">
        <v>1497</v>
      </c>
      <c r="M99" s="33">
        <v>0</v>
      </c>
      <c r="N99" s="33">
        <v>203</v>
      </c>
      <c r="O99" s="33">
        <v>192</v>
      </c>
      <c r="P99" s="30">
        <v>9750</v>
      </c>
      <c r="R99" s="96">
        <f t="shared" si="30"/>
        <v>-3560.3199999999997</v>
      </c>
    </row>
    <row r="100" spans="1:18" ht="13.5" customHeight="1">
      <c r="A100" s="51"/>
      <c r="B100" s="52" t="s">
        <v>123</v>
      </c>
      <c r="C100" s="53">
        <v>2600</v>
      </c>
      <c r="D100" s="53">
        <v>30407</v>
      </c>
      <c r="E100" s="53">
        <v>5720</v>
      </c>
      <c r="F100" s="53">
        <v>8728.89</v>
      </c>
      <c r="G100" s="34">
        <v>10000</v>
      </c>
      <c r="H100" s="53">
        <v>3000</v>
      </c>
      <c r="I100" s="53">
        <v>22000</v>
      </c>
      <c r="J100" s="53">
        <v>20535</v>
      </c>
      <c r="K100" s="53">
        <v>1700</v>
      </c>
      <c r="L100" s="53">
        <v>1100</v>
      </c>
      <c r="M100" s="33">
        <v>5900</v>
      </c>
      <c r="N100" s="33">
        <v>29581</v>
      </c>
      <c r="O100" s="33">
        <v>429</v>
      </c>
      <c r="P100" s="30">
        <v>17323</v>
      </c>
      <c r="R100" s="96">
        <f t="shared" si="30"/>
        <v>104690.89</v>
      </c>
    </row>
    <row r="101" spans="1:18" ht="13.5" customHeight="1">
      <c r="A101" s="51"/>
      <c r="B101" s="52" t="s">
        <v>124</v>
      </c>
      <c r="C101" s="53">
        <v>23774</v>
      </c>
      <c r="D101" s="53">
        <v>24398.67</v>
      </c>
      <c r="E101" s="53">
        <v>3513.92</v>
      </c>
      <c r="F101" s="53">
        <v>25625.81</v>
      </c>
      <c r="G101" s="34">
        <v>30272</v>
      </c>
      <c r="H101" s="53">
        <v>119160</v>
      </c>
      <c r="I101" s="53">
        <v>30227</v>
      </c>
      <c r="J101" s="53">
        <v>39379</v>
      </c>
      <c r="K101" s="53">
        <v>32156</v>
      </c>
      <c r="L101" s="53">
        <v>21126</v>
      </c>
      <c r="M101" s="33">
        <v>0</v>
      </c>
      <c r="N101" s="33">
        <v>9550</v>
      </c>
      <c r="O101" s="33">
        <v>8130</v>
      </c>
      <c r="P101" s="30">
        <v>0</v>
      </c>
      <c r="R101" s="96">
        <f t="shared" si="30"/>
        <v>328506.40000000002</v>
      </c>
    </row>
    <row r="102" spans="1:18" ht="13.5" customHeight="1">
      <c r="A102" s="51"/>
      <c r="B102" s="52" t="s">
        <v>125</v>
      </c>
      <c r="C102" s="53">
        <v>0</v>
      </c>
      <c r="D102" s="53">
        <v>1117.57</v>
      </c>
      <c r="E102" s="53">
        <f>75000+10000</f>
        <v>85000</v>
      </c>
      <c r="F102" s="53">
        <v>0</v>
      </c>
      <c r="G102" s="34">
        <v>0</v>
      </c>
      <c r="H102" s="53">
        <v>426561</v>
      </c>
      <c r="I102" s="53">
        <v>147358</v>
      </c>
      <c r="J102" s="53">
        <v>87455</v>
      </c>
      <c r="K102" s="53">
        <v>241090</v>
      </c>
      <c r="L102" s="53">
        <v>47770</v>
      </c>
      <c r="M102" s="33">
        <v>26679</v>
      </c>
      <c r="N102" s="33">
        <v>0</v>
      </c>
      <c r="O102" s="33">
        <v>165654</v>
      </c>
      <c r="P102" s="30">
        <v>29998</v>
      </c>
      <c r="R102" s="96">
        <f t="shared" si="30"/>
        <v>988581.57000000007</v>
      </c>
    </row>
    <row r="103" spans="1:18" s="40" customFormat="1" ht="13.5" customHeight="1">
      <c r="A103" s="37" t="s">
        <v>126</v>
      </c>
      <c r="B103" s="42"/>
      <c r="C103" s="43">
        <f t="shared" ref="C103:O103" si="31">SUM(C95:C102)</f>
        <v>43712</v>
      </c>
      <c r="D103" s="43">
        <f t="shared" si="31"/>
        <v>230533.82</v>
      </c>
      <c r="E103" s="43">
        <f t="shared" si="31"/>
        <v>153256.18</v>
      </c>
      <c r="F103" s="43">
        <f t="shared" si="31"/>
        <v>411313.63</v>
      </c>
      <c r="G103" s="43">
        <f t="shared" si="31"/>
        <v>84989</v>
      </c>
      <c r="H103" s="43">
        <f t="shared" si="31"/>
        <v>697420</v>
      </c>
      <c r="I103" s="43">
        <f t="shared" si="31"/>
        <v>253027</v>
      </c>
      <c r="J103" s="43">
        <f t="shared" si="31"/>
        <v>207999</v>
      </c>
      <c r="K103" s="43">
        <f t="shared" si="31"/>
        <v>380369</v>
      </c>
      <c r="L103" s="43">
        <f t="shared" si="31"/>
        <v>180849</v>
      </c>
      <c r="M103" s="43">
        <f t="shared" si="31"/>
        <v>102642</v>
      </c>
      <c r="N103" s="43">
        <f t="shared" si="31"/>
        <v>46669</v>
      </c>
      <c r="O103" s="43">
        <f t="shared" si="31"/>
        <v>416610</v>
      </c>
      <c r="P103" s="44">
        <f>SUM(P95:P102)</f>
        <v>90017</v>
      </c>
      <c r="R103" s="99">
        <f t="shared" si="30"/>
        <v>2462619.63</v>
      </c>
    </row>
    <row r="104" spans="1:18" ht="13.5" customHeight="1">
      <c r="A104" s="22" t="s">
        <v>127</v>
      </c>
      <c r="B104" s="52"/>
      <c r="C104" s="93"/>
      <c r="D104" s="93"/>
      <c r="E104" s="93"/>
      <c r="F104" s="93"/>
      <c r="G104" s="94"/>
      <c r="H104" s="93"/>
      <c r="I104" s="93"/>
      <c r="J104" s="93"/>
      <c r="K104" s="93"/>
      <c r="L104" s="93"/>
      <c r="M104" s="92"/>
      <c r="N104" s="92"/>
      <c r="O104" s="92"/>
      <c r="P104" s="95"/>
      <c r="R104" s="96">
        <f t="shared" si="30"/>
        <v>0</v>
      </c>
    </row>
    <row r="105" spans="1:18" ht="13.5" customHeight="1">
      <c r="A105" s="51"/>
      <c r="B105" s="52" t="s">
        <v>128</v>
      </c>
      <c r="C105" s="53">
        <v>500</v>
      </c>
      <c r="D105" s="53">
        <v>0</v>
      </c>
      <c r="E105" s="53">
        <v>37025</v>
      </c>
      <c r="F105" s="53">
        <v>34051.089999999997</v>
      </c>
      <c r="G105" s="34">
        <v>27875</v>
      </c>
      <c r="H105" s="53">
        <v>38278</v>
      </c>
      <c r="I105" s="53">
        <v>63032</v>
      </c>
      <c r="J105" s="53">
        <v>65723</v>
      </c>
      <c r="K105" s="53">
        <v>135061</v>
      </c>
      <c r="L105" s="53">
        <v>0</v>
      </c>
      <c r="M105" s="33">
        <v>22001</v>
      </c>
      <c r="N105" s="33">
        <v>0</v>
      </c>
      <c r="O105" s="33">
        <v>0</v>
      </c>
      <c r="P105" s="30">
        <v>30594</v>
      </c>
      <c r="R105" s="96">
        <f>SUM(C105:K105)</f>
        <v>401545.08999999997</v>
      </c>
    </row>
    <row r="106" spans="1:18" ht="13.5" customHeight="1">
      <c r="A106" s="51"/>
      <c r="B106" s="52" t="s">
        <v>46</v>
      </c>
      <c r="C106" s="53">
        <f t="shared" ref="C106:P106" si="32">C59</f>
        <v>447287</v>
      </c>
      <c r="D106" s="53">
        <f t="shared" si="32"/>
        <v>1690755.96</v>
      </c>
      <c r="E106" s="53">
        <f t="shared" si="32"/>
        <v>260466</v>
      </c>
      <c r="F106" s="53">
        <f t="shared" si="32"/>
        <v>2023230.42</v>
      </c>
      <c r="G106" s="34">
        <v>64485</v>
      </c>
      <c r="H106" s="53">
        <f t="shared" si="32"/>
        <v>-23244</v>
      </c>
      <c r="I106" s="53">
        <f t="shared" si="32"/>
        <v>316221</v>
      </c>
      <c r="J106" s="53">
        <f t="shared" si="32"/>
        <v>539452</v>
      </c>
      <c r="K106" s="53">
        <f t="shared" si="32"/>
        <v>1081585</v>
      </c>
      <c r="L106" s="53">
        <f t="shared" si="32"/>
        <v>460269</v>
      </c>
      <c r="M106" s="53">
        <f t="shared" si="32"/>
        <v>253355</v>
      </c>
      <c r="N106" s="53">
        <f t="shared" si="32"/>
        <v>940289</v>
      </c>
      <c r="O106" s="53">
        <f>12882+9069</f>
        <v>21951</v>
      </c>
      <c r="P106" s="30">
        <f t="shared" si="32"/>
        <v>-29723</v>
      </c>
      <c r="R106" s="96">
        <f>SUM(C106:K106)</f>
        <v>6400238.3799999999</v>
      </c>
    </row>
    <row r="107" spans="1:18" ht="13.5" customHeight="1">
      <c r="A107" s="51"/>
      <c r="B107" s="52" t="s">
        <v>155</v>
      </c>
      <c r="C107" s="53">
        <f t="shared" ref="C107:P107" si="33">C60</f>
        <v>0</v>
      </c>
      <c r="D107" s="53">
        <f t="shared" si="33"/>
        <v>0</v>
      </c>
      <c r="E107" s="53">
        <f t="shared" si="33"/>
        <v>0</v>
      </c>
      <c r="F107" s="53">
        <f t="shared" si="33"/>
        <v>0</v>
      </c>
      <c r="G107" s="34">
        <v>0</v>
      </c>
      <c r="H107" s="53">
        <f t="shared" si="33"/>
        <v>0</v>
      </c>
      <c r="I107" s="53">
        <f t="shared" si="33"/>
        <v>0</v>
      </c>
      <c r="J107" s="53">
        <f t="shared" si="33"/>
        <v>0</v>
      </c>
      <c r="K107" s="53">
        <f t="shared" si="33"/>
        <v>0</v>
      </c>
      <c r="L107" s="53">
        <f t="shared" si="33"/>
        <v>0</v>
      </c>
      <c r="M107" s="53">
        <f t="shared" si="33"/>
        <v>12500</v>
      </c>
      <c r="N107" s="53">
        <f t="shared" si="33"/>
        <v>0</v>
      </c>
      <c r="O107" s="53">
        <v>0</v>
      </c>
      <c r="P107" s="30">
        <f t="shared" si="33"/>
        <v>29724</v>
      </c>
      <c r="R107" s="96">
        <f t="shared" si="30"/>
        <v>0</v>
      </c>
    </row>
    <row r="108" spans="1:18" ht="13.5" customHeight="1">
      <c r="A108" s="51"/>
      <c r="B108" s="52" t="s">
        <v>129</v>
      </c>
      <c r="C108" s="53">
        <f t="shared" ref="C108:P108" si="34">C61</f>
        <v>3140716</v>
      </c>
      <c r="D108" s="53">
        <f t="shared" si="34"/>
        <v>887322.61</v>
      </c>
      <c r="E108" s="53">
        <f t="shared" si="34"/>
        <v>1980275</v>
      </c>
      <c r="F108" s="53">
        <f t="shared" si="34"/>
        <v>5691295.5800000001</v>
      </c>
      <c r="G108" s="34">
        <v>1707084</v>
      </c>
      <c r="H108" s="53">
        <f t="shared" si="34"/>
        <v>2851763</v>
      </c>
      <c r="I108" s="53">
        <f t="shared" si="34"/>
        <v>2645874</v>
      </c>
      <c r="J108" s="53">
        <f t="shared" si="34"/>
        <v>749210</v>
      </c>
      <c r="K108" s="53">
        <f t="shared" si="34"/>
        <v>1174480</v>
      </c>
      <c r="L108" s="53">
        <f t="shared" si="34"/>
        <v>1592101</v>
      </c>
      <c r="M108" s="53">
        <f t="shared" si="34"/>
        <v>1060320</v>
      </c>
      <c r="N108" s="53">
        <f t="shared" si="34"/>
        <v>6027277</v>
      </c>
      <c r="O108" s="53">
        <v>1295356</v>
      </c>
      <c r="P108" s="30">
        <f t="shared" si="34"/>
        <v>776433</v>
      </c>
      <c r="R108" s="96">
        <f t="shared" si="30"/>
        <v>20828020.189999998</v>
      </c>
    </row>
    <row r="109" spans="1:18" ht="13.5" customHeight="1">
      <c r="A109" s="101"/>
      <c r="B109" s="102" t="s">
        <v>185</v>
      </c>
      <c r="C109" s="104">
        <v>-1</v>
      </c>
      <c r="D109" s="104">
        <v>0</v>
      </c>
      <c r="E109" s="105">
        <v>0</v>
      </c>
      <c r="F109" s="104">
        <v>0</v>
      </c>
      <c r="G109" s="105">
        <v>0</v>
      </c>
      <c r="H109" s="104">
        <v>-2</v>
      </c>
      <c r="I109" s="105">
        <v>0</v>
      </c>
      <c r="J109" s="104">
        <v>0</v>
      </c>
      <c r="K109" s="104">
        <v>0</v>
      </c>
      <c r="L109" s="104">
        <v>-1</v>
      </c>
      <c r="M109" s="103">
        <v>0</v>
      </c>
      <c r="N109" s="103">
        <v>0</v>
      </c>
      <c r="O109" s="103">
        <v>0</v>
      </c>
      <c r="P109" s="172">
        <v>0</v>
      </c>
      <c r="R109" s="96">
        <f t="shared" si="30"/>
        <v>-3</v>
      </c>
    </row>
    <row r="110" spans="1:18" s="40" customFormat="1" ht="13.5" customHeight="1">
      <c r="A110" s="37" t="s">
        <v>50</v>
      </c>
      <c r="B110" s="106"/>
      <c r="C110" s="107">
        <f>SUM(C105:C109)</f>
        <v>3588502</v>
      </c>
      <c r="D110" s="107">
        <f t="shared" ref="D110:N110" si="35">SUM(D105:D109)</f>
        <v>2578078.5699999998</v>
      </c>
      <c r="E110" s="107">
        <f t="shared" si="35"/>
        <v>2277766</v>
      </c>
      <c r="F110" s="107">
        <f t="shared" si="35"/>
        <v>7748577.0899999999</v>
      </c>
      <c r="G110" s="107">
        <f t="shared" ref="G110" si="36">SUM(G105:G109)</f>
        <v>1799444</v>
      </c>
      <c r="H110" s="107">
        <f t="shared" si="35"/>
        <v>2866795</v>
      </c>
      <c r="I110" s="107">
        <f t="shared" si="35"/>
        <v>3025127</v>
      </c>
      <c r="J110" s="107">
        <f t="shared" si="35"/>
        <v>1354385</v>
      </c>
      <c r="K110" s="107">
        <f t="shared" si="35"/>
        <v>2391126</v>
      </c>
      <c r="L110" s="107">
        <f t="shared" si="35"/>
        <v>2052369</v>
      </c>
      <c r="M110" s="107">
        <f t="shared" si="35"/>
        <v>1348176</v>
      </c>
      <c r="N110" s="107">
        <f t="shared" si="35"/>
        <v>6967566</v>
      </c>
      <c r="O110" s="107">
        <f t="shared" ref="O110" si="37">SUM(O105:O109)</f>
        <v>1317307</v>
      </c>
      <c r="P110" s="173">
        <f>SUM(P105:P109)</f>
        <v>807028</v>
      </c>
      <c r="R110" s="99">
        <f t="shared" si="30"/>
        <v>27629800.66</v>
      </c>
    </row>
    <row r="111" spans="1:18" s="40" customFormat="1" ht="13.5" customHeight="1" thickBot="1">
      <c r="A111" s="56" t="s">
        <v>130</v>
      </c>
      <c r="B111" s="57"/>
      <c r="C111" s="109">
        <f t="shared" ref="C111:I111" si="38">SUM(C103:C109)</f>
        <v>3632214</v>
      </c>
      <c r="D111" s="109">
        <f t="shared" si="38"/>
        <v>2808612.39</v>
      </c>
      <c r="E111" s="109">
        <f t="shared" si="38"/>
        <v>2431022.1800000002</v>
      </c>
      <c r="F111" s="109">
        <f t="shared" si="38"/>
        <v>8159890.7199999997</v>
      </c>
      <c r="G111" s="109">
        <f t="shared" ref="G111" si="39">SUM(G103:G109)</f>
        <v>1884433</v>
      </c>
      <c r="H111" s="109">
        <f t="shared" si="38"/>
        <v>3564215</v>
      </c>
      <c r="I111" s="109">
        <f t="shared" si="38"/>
        <v>3278154</v>
      </c>
      <c r="J111" s="109">
        <f t="shared" ref="J111:N111" si="40">SUM(J103:J109)</f>
        <v>1562384</v>
      </c>
      <c r="K111" s="109">
        <f t="shared" si="40"/>
        <v>2771495</v>
      </c>
      <c r="L111" s="109">
        <f t="shared" si="40"/>
        <v>2233218</v>
      </c>
      <c r="M111" s="109">
        <f t="shared" si="40"/>
        <v>1450818</v>
      </c>
      <c r="N111" s="109">
        <f t="shared" si="40"/>
        <v>7014235</v>
      </c>
      <c r="O111" s="109">
        <f t="shared" ref="O111" si="41">SUM(O103:O109)</f>
        <v>1733917</v>
      </c>
      <c r="P111" s="110">
        <f>SUM(P103:P109)</f>
        <v>897045</v>
      </c>
      <c r="R111" s="99">
        <f t="shared" si="30"/>
        <v>30092420.289999999</v>
      </c>
    </row>
    <row r="112" spans="1:18" ht="12.75" hidden="1" customHeight="1">
      <c r="A112" s="111"/>
      <c r="B112" s="100" t="s">
        <v>97</v>
      </c>
      <c r="C112" s="164">
        <f>+C93-C111</f>
        <v>0</v>
      </c>
      <c r="D112" s="164">
        <f>+D93-D111</f>
        <v>0</v>
      </c>
      <c r="E112" s="164">
        <f t="shared" ref="E112:P112" si="42">+E93-E111</f>
        <v>0.65999999968335032</v>
      </c>
      <c r="F112" s="164">
        <f t="shared" si="42"/>
        <v>0</v>
      </c>
      <c r="G112" s="211"/>
      <c r="H112" s="164">
        <f t="shared" si="42"/>
        <v>0</v>
      </c>
      <c r="I112" s="164">
        <f t="shared" si="42"/>
        <v>0</v>
      </c>
      <c r="J112" s="164">
        <f t="shared" si="42"/>
        <v>1</v>
      </c>
      <c r="K112" s="165">
        <f t="shared" si="42"/>
        <v>-2</v>
      </c>
      <c r="L112" s="164">
        <f t="shared" si="42"/>
        <v>0</v>
      </c>
      <c r="M112" s="164">
        <f t="shared" si="42"/>
        <v>0</v>
      </c>
      <c r="N112" s="164">
        <f t="shared" si="42"/>
        <v>0</v>
      </c>
      <c r="O112" s="164"/>
      <c r="P112" s="165">
        <f t="shared" si="42"/>
        <v>-0.47000000020489097</v>
      </c>
    </row>
    <row r="113" spans="1:17" ht="13.5" customHeight="1">
      <c r="A113" s="100"/>
      <c r="B113" s="142"/>
      <c r="C113" s="143"/>
      <c r="D113" s="143"/>
      <c r="E113" s="143"/>
      <c r="F113" s="143"/>
      <c r="G113" s="362"/>
      <c r="H113" s="143"/>
      <c r="I113" s="143"/>
      <c r="J113" s="143"/>
      <c r="K113" s="143"/>
      <c r="L113" s="143"/>
      <c r="M113" s="143"/>
      <c r="N113" s="143"/>
      <c r="O113" s="143"/>
      <c r="P113" s="143"/>
    </row>
    <row r="114" spans="1:17" ht="40.5" customHeight="1">
      <c r="A114" s="395" t="s">
        <v>131</v>
      </c>
      <c r="B114" s="396"/>
      <c r="C114" s="400">
        <f t="shared" ref="C114:P114" si="43">C54/(C31)</f>
        <v>0.13134104075854411</v>
      </c>
      <c r="D114" s="400">
        <f t="shared" si="43"/>
        <v>0.10414632051126808</v>
      </c>
      <c r="E114" s="400">
        <f t="shared" si="43"/>
        <v>7.6216050717472852E-2</v>
      </c>
      <c r="F114" s="400">
        <f t="shared" si="43"/>
        <v>0.32321402105880231</v>
      </c>
      <c r="G114" s="400">
        <f t="shared" ref="G114" si="44">G54/(G31)</f>
        <v>-1.8442579080634708E-2</v>
      </c>
      <c r="H114" s="400">
        <f t="shared" si="43"/>
        <v>9.3933968414599736E-2</v>
      </c>
      <c r="I114" s="400">
        <f t="shared" si="43"/>
        <v>5.3868568156932653E-2</v>
      </c>
      <c r="J114" s="400">
        <f t="shared" si="43"/>
        <v>7.0391122484311952E-2</v>
      </c>
      <c r="K114" s="400">
        <f t="shared" si="43"/>
        <v>-1.9765073865329132E-2</v>
      </c>
      <c r="L114" s="400">
        <f t="shared" si="43"/>
        <v>2.3054692062774357E-2</v>
      </c>
      <c r="M114" s="400">
        <f t="shared" si="43"/>
        <v>1.2314747900556002E-2</v>
      </c>
      <c r="N114" s="400">
        <f t="shared" si="43"/>
        <v>6.849598281339371E-2</v>
      </c>
      <c r="O114" s="400">
        <f t="shared" ref="O114" si="45">O54/(O31)</f>
        <v>2.3247427238661613E-3</v>
      </c>
      <c r="P114" s="400">
        <f t="shared" si="43"/>
        <v>-4.8556714133479909E-2</v>
      </c>
    </row>
    <row r="115" spans="1:17" ht="24">
      <c r="A115" s="257"/>
      <c r="B115" s="258" t="s">
        <v>132</v>
      </c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0"/>
      <c r="P115" s="400"/>
    </row>
    <row r="116" spans="1:17" ht="14.25">
      <c r="A116" s="251" t="s">
        <v>220</v>
      </c>
      <c r="B116" s="252"/>
      <c r="C116" s="401">
        <f t="shared" ref="C116:P116" si="46">(SUM(C81:C82))/SUM(C95:C100)</f>
        <v>24.65136924465844</v>
      </c>
      <c r="D116" s="401">
        <f t="shared" si="46"/>
        <v>9.3244134966377015</v>
      </c>
      <c r="E116" s="401">
        <f t="shared" si="46"/>
        <v>6.8609599047052106</v>
      </c>
      <c r="F116" s="401">
        <f t="shared" si="46"/>
        <v>6.400500669168137</v>
      </c>
      <c r="G116" s="401">
        <f t="shared" ref="G116" si="47">(SUM(G81:G82))/SUM(G95:G100)</f>
        <v>3.079609627720818</v>
      </c>
      <c r="H116" s="401">
        <f t="shared" si="46"/>
        <v>3.8499396831884192</v>
      </c>
      <c r="I116" s="401">
        <f t="shared" si="46"/>
        <v>6.396065851912728</v>
      </c>
      <c r="J116" s="401">
        <f t="shared" si="46"/>
        <v>8.9616829914371952</v>
      </c>
      <c r="K116" s="401">
        <f t="shared" si="46"/>
        <v>12.475192068930108</v>
      </c>
      <c r="L116" s="401">
        <f t="shared" si="46"/>
        <v>5.1982171089653697</v>
      </c>
      <c r="M116" s="401">
        <f t="shared" si="46"/>
        <v>4.6182746863604649</v>
      </c>
      <c r="N116" s="401">
        <f t="shared" si="46"/>
        <v>26.305476979444489</v>
      </c>
      <c r="O116" s="401">
        <f t="shared" ref="O116" si="48">(SUM(O81:O82))/SUM(O95:O100)</f>
        <v>1.3055109419913848</v>
      </c>
      <c r="P116" s="401">
        <f t="shared" si="46"/>
        <v>0.97217547776537427</v>
      </c>
    </row>
    <row r="117" spans="1:17" ht="36">
      <c r="A117" s="253"/>
      <c r="B117" s="254" t="s">
        <v>221</v>
      </c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02"/>
      <c r="O117" s="402"/>
      <c r="P117" s="402"/>
    </row>
    <row r="118" spans="1:17" ht="14.25">
      <c r="A118" s="251" t="s">
        <v>222</v>
      </c>
      <c r="B118" s="252"/>
      <c r="C118" s="401">
        <f t="shared" ref="C118:P118" si="49">(SUM(C81:C82))/SUM(C95:C101)</f>
        <v>11.244029099560761</v>
      </c>
      <c r="D118" s="401">
        <f t="shared" si="49"/>
        <v>8.3327518865817041</v>
      </c>
      <c r="E118" s="401">
        <f t="shared" si="49"/>
        <v>6.5077484558907335</v>
      </c>
      <c r="F118" s="401">
        <f t="shared" si="49"/>
        <v>6.001734369950249</v>
      </c>
      <c r="G118" s="401">
        <f t="shared" ref="G118" si="50">(SUM(G81:G82))/SUM(G95:G101)</f>
        <v>1.9826918777724176</v>
      </c>
      <c r="H118" s="401">
        <f t="shared" si="49"/>
        <v>2.1562215027006673</v>
      </c>
      <c r="I118" s="401">
        <f t="shared" si="49"/>
        <v>4.5664480595065724</v>
      </c>
      <c r="J118" s="401">
        <f t="shared" si="49"/>
        <v>6.0341037297584288</v>
      </c>
      <c r="K118" s="401">
        <f t="shared" si="49"/>
        <v>9.5949856044342656</v>
      </c>
      <c r="L118" s="401">
        <f t="shared" si="49"/>
        <v>4.3730115194733958</v>
      </c>
      <c r="M118" s="401">
        <f t="shared" si="49"/>
        <v>4.6182746863604649</v>
      </c>
      <c r="N118" s="401">
        <f t="shared" si="49"/>
        <v>20.922518159806295</v>
      </c>
      <c r="O118" s="401">
        <f t="shared" ref="O118" si="51">(SUM(O81:O82))/SUM(O95:O101)</f>
        <v>1.2632174564465484</v>
      </c>
      <c r="P118" s="401">
        <f t="shared" si="49"/>
        <v>0.97217547776537427</v>
      </c>
    </row>
    <row r="119" spans="1:17" ht="36">
      <c r="A119" s="253"/>
      <c r="B119" s="254" t="s">
        <v>223</v>
      </c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</row>
    <row r="120" spans="1:17" s="256" customFormat="1" ht="8.1" customHeight="1">
      <c r="A120" s="263"/>
      <c r="B120" s="264"/>
      <c r="C120" s="265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265"/>
      <c r="P120" s="266"/>
    </row>
    <row r="121" spans="1:17" ht="13.5" customHeight="1">
      <c r="A121" s="259" t="s">
        <v>133</v>
      </c>
      <c r="B121" s="260"/>
      <c r="C121" s="399">
        <f t="shared" ref="C121:P121" si="52">C103/C93</f>
        <v>1.2034533207569819E-2</v>
      </c>
      <c r="D121" s="399">
        <f t="shared" si="52"/>
        <v>8.2081037889318753E-2</v>
      </c>
      <c r="E121" s="399">
        <f t="shared" si="52"/>
        <v>6.3041851141143537E-2</v>
      </c>
      <c r="F121" s="399">
        <f t="shared" si="52"/>
        <v>5.0406757163042E-2</v>
      </c>
      <c r="G121" s="399">
        <f t="shared" ref="G121" si="53">G103/G93</f>
        <v>4.5100568712180267E-2</v>
      </c>
      <c r="H121" s="399">
        <f t="shared" si="52"/>
        <v>0.19567281996175875</v>
      </c>
      <c r="I121" s="399">
        <f t="shared" si="52"/>
        <v>7.7185818604007014E-2</v>
      </c>
      <c r="J121" s="399">
        <f t="shared" si="52"/>
        <v>0.13312915830605132</v>
      </c>
      <c r="K121" s="399">
        <f t="shared" si="52"/>
        <v>0.13724335583744934</v>
      </c>
      <c r="L121" s="399">
        <f t="shared" si="52"/>
        <v>8.0981346200863502E-2</v>
      </c>
      <c r="M121" s="399">
        <f t="shared" si="52"/>
        <v>7.0747674760031923E-2</v>
      </c>
      <c r="N121" s="399">
        <f t="shared" si="52"/>
        <v>6.653469694129153E-3</v>
      </c>
      <c r="O121" s="399">
        <f t="shared" ref="O121" si="54">O103/O93</f>
        <v>0.24027101643273582</v>
      </c>
      <c r="P121" s="399">
        <f t="shared" si="52"/>
        <v>0.10034841860080237</v>
      </c>
    </row>
    <row r="122" spans="1:17" ht="25.5">
      <c r="A122" s="257"/>
      <c r="B122" s="261" t="s">
        <v>134</v>
      </c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</row>
    <row r="123" spans="1:17" ht="13.5" customHeight="1">
      <c r="A123" s="259" t="s">
        <v>135</v>
      </c>
      <c r="B123" s="262"/>
      <c r="C123" s="399">
        <f t="shared" ref="C123:P123" si="55">C110/C93</f>
        <v>0.98796546679243014</v>
      </c>
      <c r="D123" s="399">
        <f t="shared" si="55"/>
        <v>0.91791896211068169</v>
      </c>
      <c r="E123" s="399">
        <f t="shared" si="55"/>
        <v>0.93695787736819458</v>
      </c>
      <c r="F123" s="399">
        <f t="shared" si="55"/>
        <v>0.9495932428369579</v>
      </c>
      <c r="G123" s="399">
        <f t="shared" ref="G123" si="56">G110/G93</f>
        <v>0.95489943128781973</v>
      </c>
      <c r="H123" s="399">
        <f t="shared" si="55"/>
        <v>0.80432718003824122</v>
      </c>
      <c r="I123" s="399">
        <f t="shared" si="55"/>
        <v>0.92281418139599303</v>
      </c>
      <c r="J123" s="399">
        <f t="shared" si="55"/>
        <v>0.86687020164684125</v>
      </c>
      <c r="K123" s="399">
        <f t="shared" si="55"/>
        <v>0.86275736579525908</v>
      </c>
      <c r="L123" s="399">
        <f t="shared" si="55"/>
        <v>0.9190186537991365</v>
      </c>
      <c r="M123" s="399">
        <f t="shared" si="55"/>
        <v>0.92925232523996804</v>
      </c>
      <c r="N123" s="399">
        <f t="shared" si="55"/>
        <v>0.99334653030587083</v>
      </c>
      <c r="O123" s="399">
        <f t="shared" ref="O123" si="57">O110/O93</f>
        <v>0.75972898356726415</v>
      </c>
      <c r="P123" s="399">
        <f t="shared" si="55"/>
        <v>0.89965210534197249</v>
      </c>
    </row>
    <row r="124" spans="1:17" ht="24">
      <c r="A124" s="257"/>
      <c r="B124" s="258" t="s">
        <v>136</v>
      </c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</row>
    <row r="125" spans="1:17" ht="13.5" customHeight="1">
      <c r="A125" s="397" t="s">
        <v>137</v>
      </c>
      <c r="B125" s="398"/>
      <c r="C125" s="399">
        <f t="shared" ref="C125:P125" si="58">C103/C110</f>
        <v>1.2181127389646154E-2</v>
      </c>
      <c r="D125" s="399">
        <f t="shared" si="58"/>
        <v>8.9420789064624986E-2</v>
      </c>
      <c r="E125" s="399">
        <f t="shared" si="58"/>
        <v>6.7283548880789329E-2</v>
      </c>
      <c r="F125" s="399">
        <f t="shared" si="58"/>
        <v>5.3082472462050452E-2</v>
      </c>
      <c r="G125" s="399">
        <f t="shared" ref="G125" si="59">G103/G110</f>
        <v>4.7230700149601769E-2</v>
      </c>
      <c r="H125" s="399">
        <f t="shared" si="58"/>
        <v>0.24327515570523878</v>
      </c>
      <c r="I125" s="399">
        <f t="shared" si="58"/>
        <v>8.3641777684044336E-2</v>
      </c>
      <c r="J125" s="399">
        <f t="shared" si="58"/>
        <v>0.15357450060359498</v>
      </c>
      <c r="K125" s="399">
        <f t="shared" si="58"/>
        <v>0.15907526412242601</v>
      </c>
      <c r="L125" s="399">
        <f t="shared" si="58"/>
        <v>8.8117195299675641E-2</v>
      </c>
      <c r="M125" s="399">
        <f t="shared" si="58"/>
        <v>7.6133976572791681E-2</v>
      </c>
      <c r="N125" s="399">
        <f t="shared" si="58"/>
        <v>6.69803486612111E-3</v>
      </c>
      <c r="O125" s="399">
        <f t="shared" ref="O125" si="60">O103/O110</f>
        <v>0.31625885234041873</v>
      </c>
      <c r="P125" s="399">
        <f t="shared" si="58"/>
        <v>0.11154135915978132</v>
      </c>
    </row>
    <row r="126" spans="1:17">
      <c r="A126" s="257"/>
      <c r="B126" s="258" t="s">
        <v>138</v>
      </c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399"/>
      <c r="P126" s="399"/>
    </row>
    <row r="127" spans="1:17" s="256" customFormat="1" ht="8.1" customHeight="1">
      <c r="A127" s="267"/>
      <c r="B127" s="268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6"/>
    </row>
    <row r="128" spans="1:17" ht="13.5" customHeight="1">
      <c r="A128" s="277" t="s">
        <v>139</v>
      </c>
      <c r="B128" s="278"/>
      <c r="C128" s="141">
        <v>4</v>
      </c>
      <c r="D128" s="141">
        <v>4</v>
      </c>
      <c r="E128" s="141">
        <v>1</v>
      </c>
      <c r="F128" s="141">
        <v>4</v>
      </c>
      <c r="G128" s="141">
        <v>5</v>
      </c>
      <c r="H128" s="141">
        <v>8</v>
      </c>
      <c r="I128" s="141">
        <v>4</v>
      </c>
      <c r="J128" s="141">
        <v>3</v>
      </c>
      <c r="K128" s="141">
        <v>3</v>
      </c>
      <c r="L128" s="141">
        <v>7</v>
      </c>
      <c r="M128" s="141">
        <v>1</v>
      </c>
      <c r="N128" s="141">
        <v>7</v>
      </c>
      <c r="O128" s="141">
        <v>4</v>
      </c>
      <c r="P128" s="88">
        <v>6</v>
      </c>
      <c r="Q128" s="181">
        <f>AVERAGE(C128:P128)</f>
        <v>4.3571428571428568</v>
      </c>
    </row>
    <row r="129" spans="1:17" s="256" customFormat="1" ht="8.1" customHeight="1">
      <c r="A129" s="273"/>
      <c r="B129" s="268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6"/>
    </row>
    <row r="130" spans="1:17">
      <c r="A130" s="283" t="s">
        <v>140</v>
      </c>
      <c r="B130" s="283"/>
      <c r="C130" s="276">
        <v>45379</v>
      </c>
      <c r="D130" s="276">
        <v>47686</v>
      </c>
      <c r="E130" s="276">
        <v>43835</v>
      </c>
      <c r="F130" s="276">
        <v>33157</v>
      </c>
      <c r="G130" s="276">
        <v>22090</v>
      </c>
      <c r="H130" s="276">
        <v>30230</v>
      </c>
      <c r="I130" s="276">
        <v>21666</v>
      </c>
      <c r="J130" s="276">
        <v>36318</v>
      </c>
      <c r="K130" s="276">
        <v>63840</v>
      </c>
      <c r="L130" s="276">
        <v>26498</v>
      </c>
      <c r="M130" s="114">
        <v>43792</v>
      </c>
      <c r="N130" s="276">
        <v>16242</v>
      </c>
      <c r="O130" s="276">
        <v>7935</v>
      </c>
      <c r="P130" s="114">
        <v>9477</v>
      </c>
      <c r="Q130" s="59">
        <f>AVERAGE(C130:P130)</f>
        <v>32010.357142857141</v>
      </c>
    </row>
    <row r="131" spans="1:17">
      <c r="A131" s="275" t="s">
        <v>143</v>
      </c>
      <c r="B131" s="275"/>
      <c r="C131" s="276">
        <v>22849</v>
      </c>
      <c r="D131" s="276">
        <v>16050</v>
      </c>
      <c r="E131" s="276">
        <v>21399</v>
      </c>
      <c r="F131" s="276">
        <v>15288</v>
      </c>
      <c r="G131" s="276">
        <v>24122</v>
      </c>
      <c r="H131" s="276">
        <v>8982</v>
      </c>
      <c r="I131" s="276">
        <v>19027</v>
      </c>
      <c r="J131" s="276">
        <v>22479</v>
      </c>
      <c r="K131" s="276">
        <v>38516</v>
      </c>
      <c r="L131" s="276">
        <v>30081</v>
      </c>
      <c r="M131" s="114">
        <v>12093</v>
      </c>
      <c r="N131" s="276">
        <v>10227</v>
      </c>
      <c r="O131" s="276">
        <v>416</v>
      </c>
      <c r="P131" s="114">
        <v>3759</v>
      </c>
      <c r="Q131" s="59">
        <f>AVERAGE(C131:P131)</f>
        <v>17520.571428571428</v>
      </c>
    </row>
    <row r="132" spans="1:17">
      <c r="A132" s="275" t="s">
        <v>144</v>
      </c>
      <c r="B132" s="275"/>
      <c r="C132" s="276">
        <v>68228</v>
      </c>
      <c r="D132" s="276">
        <v>63736</v>
      </c>
      <c r="E132" s="276">
        <v>65234</v>
      </c>
      <c r="F132" s="276">
        <v>48445</v>
      </c>
      <c r="G132" s="276">
        <v>46212</v>
      </c>
      <c r="H132" s="276">
        <v>39212</v>
      </c>
      <c r="I132" s="276">
        <v>40693</v>
      </c>
      <c r="J132" s="276">
        <v>58797</v>
      </c>
      <c r="K132" s="276">
        <v>102356</v>
      </c>
      <c r="L132" s="276">
        <v>56579</v>
      </c>
      <c r="M132" s="114">
        <v>55885</v>
      </c>
      <c r="N132" s="276">
        <v>26469</v>
      </c>
      <c r="O132" s="276">
        <v>8351</v>
      </c>
      <c r="P132" s="114">
        <v>13236</v>
      </c>
      <c r="Q132" s="59">
        <f>AVERAGE(C132:P132)</f>
        <v>49530.928571428572</v>
      </c>
    </row>
    <row r="135" spans="1:17">
      <c r="A135" s="341"/>
      <c r="B135" s="91"/>
    </row>
    <row r="136" spans="1:17">
      <c r="A136" s="341"/>
      <c r="B136" s="91"/>
    </row>
  </sheetData>
  <mergeCells count="102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O114:O115"/>
    <mergeCell ref="F114:F115"/>
    <mergeCell ref="G114:G115"/>
    <mergeCell ref="H114:H115"/>
    <mergeCell ref="I114:I115"/>
    <mergeCell ref="J114:J115"/>
    <mergeCell ref="O118:O119"/>
    <mergeCell ref="F118:F119"/>
    <mergeCell ref="G118:G119"/>
    <mergeCell ref="H118:H119"/>
    <mergeCell ref="I118:I119"/>
    <mergeCell ref="J118:J119"/>
    <mergeCell ref="P118:P119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K118:K119"/>
    <mergeCell ref="L118:L119"/>
    <mergeCell ref="M118:M119"/>
    <mergeCell ref="N118:N119"/>
    <mergeCell ref="D114:D115"/>
    <mergeCell ref="E114:E115"/>
    <mergeCell ref="D118:D119"/>
    <mergeCell ref="E118:E119"/>
    <mergeCell ref="D123:D124"/>
    <mergeCell ref="E123:E124"/>
    <mergeCell ref="P114:P115"/>
    <mergeCell ref="D116:D117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K114:K115"/>
    <mergeCell ref="L114:L115"/>
    <mergeCell ref="M114:M115"/>
    <mergeCell ref="N114:N115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5:B76"/>
    <mergeCell ref="A114:B114"/>
    <mergeCell ref="C114:C115"/>
    <mergeCell ref="C116:C117"/>
    <mergeCell ref="C118:C119"/>
    <mergeCell ref="C121:C122"/>
    <mergeCell ref="C123:C124"/>
    <mergeCell ref="C125:C126"/>
  </mergeCells>
  <conditionalFormatting sqref="C114:F115 H114:N115 P114:P115">
    <cfRule type="cellIs" dxfId="22" priority="8" operator="lessThan">
      <formula>0</formula>
    </cfRule>
  </conditionalFormatting>
  <conditionalFormatting sqref="C63:F63 H63:N63 P63">
    <cfRule type="cellIs" dxfId="21" priority="7" operator="lessThan">
      <formula>0</formula>
    </cfRule>
  </conditionalFormatting>
  <conditionalFormatting sqref="G114:G115">
    <cfRule type="cellIs" dxfId="20" priority="6" operator="lessThan">
      <formula>0</formula>
    </cfRule>
  </conditionalFormatting>
  <conditionalFormatting sqref="G63">
    <cfRule type="cellIs" dxfId="19" priority="5" operator="lessThan">
      <formula>0</formula>
    </cfRule>
  </conditionalFormatting>
  <conditionalFormatting sqref="O63">
    <cfRule type="cellIs" dxfId="18" priority="2" operator="lessThan">
      <formula>0</formula>
    </cfRule>
  </conditionalFormatting>
  <conditionalFormatting sqref="O114:O115">
    <cfRule type="cellIs" dxfId="17" priority="1" operator="lessThan">
      <formula>0</formula>
    </cfRule>
  </conditionalFormatting>
  <printOptions horizontalCentered="1"/>
  <pageMargins left="0.5" right="0.5" top="0.75" bottom="0.35" header="0.5" footer="0.15"/>
  <pageSetup scale="63" fitToHeight="0" orientation="portrait" r:id="rId1"/>
  <headerFooter alignWithMargins="0">
    <oddHeader>&amp;C&amp;"Arial,Bold"&amp;14CLASS III+ FAIRS</oddHeader>
    <oddFooter>&amp;CFairs and Expositions</oddFooter>
  </headerFooter>
  <rowBreaks count="1" manualBreakCount="1">
    <brk id="74" max="1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sqref="A1:B3"/>
    </sheetView>
  </sheetViews>
  <sheetFormatPr defaultRowHeight="12.75"/>
  <cols>
    <col min="1" max="1" width="4.7109375" style="20" customWidth="1"/>
    <col min="2" max="2" width="50.7109375" style="20" customWidth="1"/>
    <col min="3" max="4" width="12.7109375" style="20" customWidth="1"/>
    <col min="5" max="6" width="12.7109375" style="87" customWidth="1"/>
    <col min="7" max="8" width="12.7109375" style="20" customWidth="1"/>
    <col min="9" max="10" width="12.7109375" style="87" customWidth="1"/>
    <col min="11" max="11" width="14.42578125" style="147" customWidth="1"/>
    <col min="12" max="12" width="13.28515625" style="20" customWidth="1"/>
    <col min="13" max="13" width="10.7109375" style="20" bestFit="1" customWidth="1"/>
    <col min="14" max="16384" width="9.140625" style="20"/>
  </cols>
  <sheetData>
    <row r="1" spans="1:12" ht="12" customHeight="1">
      <c r="A1" s="383"/>
      <c r="B1" s="384"/>
      <c r="C1" s="310"/>
      <c r="D1" s="310"/>
      <c r="E1" s="310"/>
      <c r="F1" s="310"/>
      <c r="G1" s="310"/>
      <c r="H1" s="310"/>
      <c r="I1" s="310"/>
      <c r="J1" s="366"/>
    </row>
    <row r="2" spans="1:12" ht="12" customHeight="1">
      <c r="A2" s="385"/>
      <c r="B2" s="386"/>
      <c r="C2" s="387" t="s">
        <v>186</v>
      </c>
      <c r="D2" s="387" t="s">
        <v>187</v>
      </c>
      <c r="E2" s="387" t="s">
        <v>188</v>
      </c>
      <c r="F2" s="387" t="s">
        <v>189</v>
      </c>
      <c r="G2" s="387" t="s">
        <v>190</v>
      </c>
      <c r="H2" s="387" t="s">
        <v>191</v>
      </c>
      <c r="I2" s="387" t="s">
        <v>192</v>
      </c>
      <c r="J2" s="389" t="s">
        <v>233</v>
      </c>
    </row>
    <row r="3" spans="1:12" ht="69" customHeight="1">
      <c r="A3" s="385"/>
      <c r="B3" s="386"/>
      <c r="C3" s="387"/>
      <c r="D3" s="387"/>
      <c r="E3" s="387"/>
      <c r="F3" s="387"/>
      <c r="G3" s="387"/>
      <c r="H3" s="387"/>
      <c r="I3" s="387"/>
      <c r="J3" s="409"/>
      <c r="L3" s="20" t="s">
        <v>44</v>
      </c>
    </row>
    <row r="4" spans="1:12" ht="13.5" customHeight="1">
      <c r="A4" s="22" t="s">
        <v>45</v>
      </c>
      <c r="B4" s="23"/>
      <c r="C4" s="65"/>
      <c r="D4" s="65"/>
      <c r="E4" s="66"/>
      <c r="F4" s="66"/>
      <c r="G4" s="65"/>
      <c r="H4" s="65"/>
      <c r="I4" s="66"/>
      <c r="J4" s="191"/>
    </row>
    <row r="5" spans="1:12" ht="13.5" customHeight="1">
      <c r="A5" s="22"/>
      <c r="B5" s="23" t="s">
        <v>46</v>
      </c>
      <c r="C5" s="25">
        <v>-233599</v>
      </c>
      <c r="D5" s="25">
        <v>796920</v>
      </c>
      <c r="E5" s="25">
        <v>-68466</v>
      </c>
      <c r="F5" s="25">
        <v>250077</v>
      </c>
      <c r="G5" s="25">
        <v>-60787</v>
      </c>
      <c r="H5" s="25">
        <v>47290</v>
      </c>
      <c r="I5" s="25">
        <v>841495</v>
      </c>
      <c r="J5" s="27">
        <v>105522</v>
      </c>
    </row>
    <row r="6" spans="1:12" ht="13.5" customHeight="1">
      <c r="A6" s="22"/>
      <c r="B6" s="31" t="s">
        <v>47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5">
        <v>0</v>
      </c>
    </row>
    <row r="7" spans="1:12" ht="13.5" customHeight="1">
      <c r="A7" s="22"/>
      <c r="B7" s="23" t="s">
        <v>48</v>
      </c>
      <c r="C7" s="53">
        <v>1782989</v>
      </c>
      <c r="D7" s="53">
        <v>3539947</v>
      </c>
      <c r="E7" s="53">
        <v>2333355</v>
      </c>
      <c r="F7" s="34">
        <v>1571476</v>
      </c>
      <c r="G7" s="34">
        <v>2014211</v>
      </c>
      <c r="H7" s="34">
        <v>978171</v>
      </c>
      <c r="I7" s="34">
        <v>4236467</v>
      </c>
      <c r="J7" s="35">
        <v>2551978</v>
      </c>
    </row>
    <row r="8" spans="1:12" ht="13.5" customHeight="1">
      <c r="A8" s="22"/>
      <c r="B8" s="23" t="s">
        <v>49</v>
      </c>
      <c r="C8" s="53">
        <v>0</v>
      </c>
      <c r="D8" s="53"/>
      <c r="E8" s="53">
        <v>0</v>
      </c>
      <c r="F8" s="34">
        <v>0</v>
      </c>
      <c r="G8" s="34">
        <v>-21361</v>
      </c>
      <c r="H8" s="34">
        <v>0</v>
      </c>
      <c r="I8" s="34">
        <v>0</v>
      </c>
      <c r="J8" s="35">
        <v>0</v>
      </c>
      <c r="L8" s="36">
        <f>SUM(C8:J8)</f>
        <v>-21361</v>
      </c>
    </row>
    <row r="9" spans="1:12" s="40" customFormat="1" ht="13.5" customHeight="1" thickBot="1">
      <c r="A9" s="56"/>
      <c r="B9" s="153" t="s">
        <v>50</v>
      </c>
      <c r="C9" s="109">
        <f>SUM(C5:C8)</f>
        <v>1549390</v>
      </c>
      <c r="D9" s="109">
        <f t="shared" ref="D9:I9" si="0">SUM(D5:D8)</f>
        <v>4336867</v>
      </c>
      <c r="E9" s="109">
        <f t="shared" si="0"/>
        <v>2264889</v>
      </c>
      <c r="F9" s="109">
        <f t="shared" si="0"/>
        <v>1821553</v>
      </c>
      <c r="G9" s="109">
        <f t="shared" si="0"/>
        <v>1932063</v>
      </c>
      <c r="H9" s="109">
        <f t="shared" si="0"/>
        <v>1025461</v>
      </c>
      <c r="I9" s="109">
        <f t="shared" si="0"/>
        <v>5077962</v>
      </c>
      <c r="J9" s="110">
        <f t="shared" ref="J9" si="1">SUM(J5:J8)</f>
        <v>2657500</v>
      </c>
      <c r="K9" s="125"/>
      <c r="L9" s="36">
        <f>SUM(C9:J9)</f>
        <v>20665685</v>
      </c>
    </row>
    <row r="10" spans="1:12" s="40" customFormat="1" ht="13.5" customHeight="1">
      <c r="A10" s="62" t="s">
        <v>51</v>
      </c>
      <c r="B10" s="63"/>
      <c r="C10" s="70"/>
      <c r="D10" s="70"/>
      <c r="E10" s="70"/>
      <c r="F10" s="70"/>
      <c r="G10" s="70"/>
      <c r="H10" s="70"/>
      <c r="I10" s="70"/>
      <c r="J10" s="71"/>
      <c r="K10" s="125"/>
    </row>
    <row r="11" spans="1:12" s="40" customFormat="1" ht="13.5" customHeight="1">
      <c r="A11" s="41"/>
      <c r="B11" s="42" t="s">
        <v>52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4">
        <v>35644</v>
      </c>
      <c r="K11" s="125"/>
      <c r="L11" s="36">
        <f>SUM(C11:J11)</f>
        <v>35644</v>
      </c>
    </row>
    <row r="12" spans="1:12" s="40" customFormat="1" ht="13.5" customHeight="1">
      <c r="A12" s="41"/>
      <c r="B12" s="42" t="s">
        <v>53</v>
      </c>
      <c r="C12" s="43">
        <v>122437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4">
        <v>0</v>
      </c>
      <c r="K12" s="125"/>
      <c r="L12" s="36">
        <f>SUM(C12:J12)</f>
        <v>122437</v>
      </c>
    </row>
    <row r="13" spans="1:12" s="40" customFormat="1" ht="13.5" customHeight="1" thickBot="1">
      <c r="A13" s="292"/>
      <c r="B13" s="57" t="s">
        <v>54</v>
      </c>
      <c r="C13" s="58">
        <v>21680</v>
      </c>
      <c r="D13" s="58">
        <v>0</v>
      </c>
      <c r="E13" s="58">
        <v>0</v>
      </c>
      <c r="F13" s="58">
        <v>165000</v>
      </c>
      <c r="G13" s="58">
        <v>0</v>
      </c>
      <c r="H13" s="58">
        <v>0</v>
      </c>
      <c r="I13" s="58">
        <v>13000</v>
      </c>
      <c r="J13" s="152">
        <f>260572-J11</f>
        <v>224928</v>
      </c>
      <c r="K13" s="125"/>
      <c r="L13" s="36">
        <f>SUM(C13:J13)</f>
        <v>424608</v>
      </c>
    </row>
    <row r="14" spans="1:12" ht="13.5" customHeight="1">
      <c r="A14" s="120" t="s">
        <v>55</v>
      </c>
      <c r="B14" s="121"/>
      <c r="C14" s="342"/>
      <c r="D14" s="342"/>
      <c r="E14" s="369"/>
      <c r="F14" s="369"/>
      <c r="G14" s="342"/>
      <c r="H14" s="342"/>
      <c r="I14" s="369"/>
      <c r="J14" s="344"/>
    </row>
    <row r="15" spans="1:12" ht="13.5" customHeight="1">
      <c r="A15" s="51"/>
      <c r="B15" s="52" t="s">
        <v>56</v>
      </c>
      <c r="C15" s="53">
        <v>276744</v>
      </c>
      <c r="D15" s="53">
        <v>412593</v>
      </c>
      <c r="E15" s="34">
        <v>180854</v>
      </c>
      <c r="F15" s="34">
        <v>448259</v>
      </c>
      <c r="G15" s="53">
        <v>319581</v>
      </c>
      <c r="H15" s="53">
        <v>243032</v>
      </c>
      <c r="I15" s="34">
        <v>395112</v>
      </c>
      <c r="J15" s="35">
        <v>1391667</v>
      </c>
    </row>
    <row r="16" spans="1:12" ht="13.5" customHeight="1">
      <c r="A16" s="51"/>
      <c r="B16" s="52" t="s">
        <v>57</v>
      </c>
      <c r="C16" s="53">
        <v>49658</v>
      </c>
      <c r="D16" s="53">
        <v>92961</v>
      </c>
      <c r="E16" s="34">
        <v>13250</v>
      </c>
      <c r="F16" s="34">
        <v>81549</v>
      </c>
      <c r="G16" s="53">
        <v>156891</v>
      </c>
      <c r="H16" s="53">
        <v>49490</v>
      </c>
      <c r="I16" s="34">
        <v>80244</v>
      </c>
      <c r="J16" s="35">
        <v>149985</v>
      </c>
    </row>
    <row r="17" spans="1:14" ht="13.5" customHeight="1">
      <c r="A17" s="51"/>
      <c r="B17" s="52" t="s">
        <v>58</v>
      </c>
      <c r="C17" s="53">
        <v>198552</v>
      </c>
      <c r="D17" s="53">
        <v>271651</v>
      </c>
      <c r="E17" s="34">
        <v>349983</v>
      </c>
      <c r="F17" s="34">
        <v>294975</v>
      </c>
      <c r="G17" s="53">
        <v>388819</v>
      </c>
      <c r="H17" s="53">
        <v>201886</v>
      </c>
      <c r="I17" s="34">
        <v>291548</v>
      </c>
      <c r="J17" s="35">
        <v>0</v>
      </c>
    </row>
    <row r="18" spans="1:14" ht="13.5" customHeight="1">
      <c r="A18" s="51"/>
      <c r="B18" s="52" t="s">
        <v>59</v>
      </c>
      <c r="C18" s="53">
        <v>178795</v>
      </c>
      <c r="D18" s="53">
        <v>179083</v>
      </c>
      <c r="E18" s="34">
        <v>0</v>
      </c>
      <c r="F18" s="34">
        <v>199837</v>
      </c>
      <c r="G18" s="53">
        <v>13951</v>
      </c>
      <c r="H18" s="53">
        <v>132388</v>
      </c>
      <c r="I18" s="34">
        <v>189709</v>
      </c>
      <c r="J18" s="35">
        <v>249164</v>
      </c>
    </row>
    <row r="19" spans="1:14" ht="13.5" customHeight="1">
      <c r="A19" s="51"/>
      <c r="B19" s="52" t="s">
        <v>60</v>
      </c>
      <c r="C19" s="53">
        <v>19045</v>
      </c>
      <c r="D19" s="53">
        <v>15905</v>
      </c>
      <c r="E19" s="34">
        <v>16174</v>
      </c>
      <c r="F19" s="34">
        <v>52686</v>
      </c>
      <c r="G19" s="53">
        <v>22296</v>
      </c>
      <c r="H19" s="53">
        <v>33845</v>
      </c>
      <c r="I19" s="34">
        <v>71403</v>
      </c>
      <c r="J19" s="35">
        <v>67791</v>
      </c>
    </row>
    <row r="20" spans="1:14" ht="13.5" customHeight="1">
      <c r="A20" s="51"/>
      <c r="B20" s="52" t="s">
        <v>61</v>
      </c>
      <c r="C20" s="53">
        <v>0</v>
      </c>
      <c r="D20" s="53">
        <v>0</v>
      </c>
      <c r="E20" s="34">
        <f>247690+43524</f>
        <v>291214</v>
      </c>
      <c r="F20" s="34">
        <v>0</v>
      </c>
      <c r="G20" s="53">
        <v>916</v>
      </c>
      <c r="H20" s="53">
        <v>905</v>
      </c>
      <c r="I20" s="34">
        <v>0</v>
      </c>
      <c r="J20" s="35">
        <v>0</v>
      </c>
    </row>
    <row r="21" spans="1:14" ht="13.5" customHeight="1">
      <c r="A21" s="51"/>
      <c r="B21" s="52" t="s">
        <v>62</v>
      </c>
      <c r="C21" s="54">
        <v>0</v>
      </c>
      <c r="D21" s="54">
        <v>92032</v>
      </c>
      <c r="E21" s="29">
        <v>0</v>
      </c>
      <c r="F21" s="29">
        <v>0</v>
      </c>
      <c r="G21" s="54">
        <v>0</v>
      </c>
      <c r="H21" s="54">
        <v>0</v>
      </c>
      <c r="I21" s="29">
        <v>0</v>
      </c>
      <c r="J21" s="32">
        <v>0</v>
      </c>
    </row>
    <row r="22" spans="1:14" ht="13.5" customHeight="1">
      <c r="A22" s="51"/>
      <c r="B22" s="52" t="s">
        <v>63</v>
      </c>
      <c r="C22" s="53">
        <v>300099</v>
      </c>
      <c r="D22" s="53">
        <v>0</v>
      </c>
      <c r="E22" s="34">
        <v>0</v>
      </c>
      <c r="F22" s="34">
        <v>0</v>
      </c>
      <c r="G22" s="53">
        <v>343347</v>
      </c>
      <c r="H22" s="53">
        <v>0</v>
      </c>
      <c r="I22" s="34">
        <v>0</v>
      </c>
      <c r="J22" s="35">
        <v>0</v>
      </c>
    </row>
    <row r="23" spans="1:14" ht="13.5" customHeight="1">
      <c r="A23" s="51"/>
      <c r="B23" s="52" t="s">
        <v>64</v>
      </c>
      <c r="C23" s="53">
        <v>0</v>
      </c>
      <c r="D23" s="53">
        <v>390761</v>
      </c>
      <c r="E23" s="34">
        <v>0</v>
      </c>
      <c r="F23" s="34">
        <v>105393</v>
      </c>
      <c r="G23" s="53">
        <v>33945</v>
      </c>
      <c r="H23" s="53">
        <v>15725</v>
      </c>
      <c r="I23" s="34">
        <v>22347</v>
      </c>
      <c r="J23" s="35">
        <v>0</v>
      </c>
    </row>
    <row r="24" spans="1:14" ht="13.5" customHeight="1">
      <c r="A24" s="51"/>
      <c r="B24" s="52" t="s">
        <v>65</v>
      </c>
      <c r="C24" s="53">
        <v>0</v>
      </c>
      <c r="D24" s="53">
        <v>0</v>
      </c>
      <c r="E24" s="34">
        <v>0</v>
      </c>
      <c r="F24" s="34">
        <v>0</v>
      </c>
      <c r="G24" s="53">
        <v>0</v>
      </c>
      <c r="H24" s="53">
        <v>48940</v>
      </c>
      <c r="I24" s="34">
        <v>0</v>
      </c>
      <c r="J24" s="35">
        <v>0</v>
      </c>
    </row>
    <row r="25" spans="1:14" ht="13.5" customHeight="1">
      <c r="A25" s="51"/>
      <c r="B25" s="52" t="s">
        <v>66</v>
      </c>
      <c r="C25" s="53">
        <v>10698</v>
      </c>
      <c r="D25" s="53">
        <v>0</v>
      </c>
      <c r="E25" s="34">
        <v>0</v>
      </c>
      <c r="F25" s="34">
        <v>0</v>
      </c>
      <c r="G25" s="53">
        <v>0</v>
      </c>
      <c r="H25" s="53">
        <v>0</v>
      </c>
      <c r="I25" s="34">
        <v>0</v>
      </c>
      <c r="J25" s="35">
        <v>0</v>
      </c>
    </row>
    <row r="26" spans="1:14" ht="13.5" customHeight="1">
      <c r="A26" s="51"/>
      <c r="B26" s="52" t="s">
        <v>67</v>
      </c>
      <c r="C26" s="53">
        <v>113296</v>
      </c>
      <c r="D26" s="53">
        <v>214308</v>
      </c>
      <c r="E26" s="34">
        <v>60160</v>
      </c>
      <c r="F26" s="34">
        <v>229751</v>
      </c>
      <c r="G26" s="53">
        <v>245317</v>
      </c>
      <c r="H26" s="53">
        <v>207595</v>
      </c>
      <c r="I26" s="34">
        <v>223002</v>
      </c>
      <c r="J26" s="35">
        <v>340462</v>
      </c>
    </row>
    <row r="27" spans="1:14" ht="13.5" customHeight="1">
      <c r="A27" s="51"/>
      <c r="B27" s="52" t="s">
        <v>168</v>
      </c>
      <c r="C27" s="53">
        <v>312577</v>
      </c>
      <c r="D27" s="53">
        <v>0</v>
      </c>
      <c r="E27" s="34">
        <v>0</v>
      </c>
      <c r="F27" s="34">
        <v>113442</v>
      </c>
      <c r="G27" s="53">
        <v>61768</v>
      </c>
      <c r="H27" s="53">
        <v>0</v>
      </c>
      <c r="I27" s="34">
        <v>503946</v>
      </c>
      <c r="J27" s="35">
        <v>0</v>
      </c>
    </row>
    <row r="28" spans="1:14" ht="13.5" customHeight="1">
      <c r="A28" s="51"/>
      <c r="B28" s="52" t="s">
        <v>69</v>
      </c>
      <c r="C28" s="53">
        <v>680155</v>
      </c>
      <c r="D28" s="53">
        <v>672530</v>
      </c>
      <c r="E28" s="34">
        <v>1418587</v>
      </c>
      <c r="F28" s="34">
        <v>453330</v>
      </c>
      <c r="G28" s="53">
        <v>643736</v>
      </c>
      <c r="H28" s="53">
        <v>678720</v>
      </c>
      <c r="I28" s="34">
        <v>624430</v>
      </c>
      <c r="J28" s="35">
        <v>30174</v>
      </c>
      <c r="L28" s="36">
        <f>SUM(C28:J28)</f>
        <v>5201662</v>
      </c>
    </row>
    <row r="29" spans="1:14" ht="13.5" customHeight="1">
      <c r="A29" s="51"/>
      <c r="B29" s="52" t="s">
        <v>70</v>
      </c>
      <c r="C29" s="53">
        <v>6867</v>
      </c>
      <c r="D29" s="53">
        <v>1859</v>
      </c>
      <c r="E29" s="34">
        <v>124</v>
      </c>
      <c r="F29" s="34">
        <v>34003</v>
      </c>
      <c r="G29" s="53">
        <v>2219</v>
      </c>
      <c r="H29" s="53">
        <v>-826</v>
      </c>
      <c r="I29" s="34">
        <v>14764</v>
      </c>
      <c r="J29" s="35">
        <v>0</v>
      </c>
      <c r="L29" s="36">
        <f>SUM(C29:J29)</f>
        <v>59010</v>
      </c>
    </row>
    <row r="30" spans="1:14" ht="13.5" customHeight="1">
      <c r="A30" s="51"/>
      <c r="B30" s="52" t="s">
        <v>71</v>
      </c>
      <c r="C30" s="54">
        <v>31135</v>
      </c>
      <c r="D30" s="54">
        <v>34540</v>
      </c>
      <c r="E30" s="29">
        <v>21265</v>
      </c>
      <c r="F30" s="29">
        <v>4055</v>
      </c>
      <c r="G30" s="54">
        <v>19811</v>
      </c>
      <c r="H30" s="54">
        <v>21633</v>
      </c>
      <c r="I30" s="29">
        <v>2288</v>
      </c>
      <c r="J30" s="32">
        <v>-169</v>
      </c>
      <c r="L30" s="36">
        <f>SUM(C30:J30)</f>
        <v>134558</v>
      </c>
      <c r="M30" s="36">
        <f>+L30+L29+L8</f>
        <v>172207</v>
      </c>
      <c r="N30" s="20" t="s">
        <v>72</v>
      </c>
    </row>
    <row r="31" spans="1:14" s="40" customFormat="1" ht="13.5" customHeight="1" thickBot="1">
      <c r="A31" s="56" t="s">
        <v>73</v>
      </c>
      <c r="B31" s="57"/>
      <c r="C31" s="58">
        <f t="shared" ref="C31:I31" si="2">SUM(C15:C30)</f>
        <v>2177621</v>
      </c>
      <c r="D31" s="58">
        <f t="shared" si="2"/>
        <v>2378223</v>
      </c>
      <c r="E31" s="58">
        <f t="shared" si="2"/>
        <v>2351611</v>
      </c>
      <c r="F31" s="58">
        <f t="shared" si="2"/>
        <v>2017280</v>
      </c>
      <c r="G31" s="58">
        <f t="shared" si="2"/>
        <v>2252597</v>
      </c>
      <c r="H31" s="58">
        <f t="shared" si="2"/>
        <v>1633333</v>
      </c>
      <c r="I31" s="58">
        <f t="shared" si="2"/>
        <v>2418793</v>
      </c>
      <c r="J31" s="152">
        <f t="shared" ref="J31" si="3">SUM(J15:J30)</f>
        <v>2229074</v>
      </c>
      <c r="K31" s="183">
        <f>AVERAGE(C31:J31)</f>
        <v>2182316.5</v>
      </c>
      <c r="L31" s="59">
        <f>SUM(C31:I31)+SUM(C11:I13)</f>
        <v>15551575</v>
      </c>
    </row>
    <row r="32" spans="1:14" ht="13.5" customHeight="1">
      <c r="A32" s="45" t="s">
        <v>75</v>
      </c>
      <c r="B32" s="368"/>
      <c r="C32" s="342"/>
      <c r="D32" s="342"/>
      <c r="E32" s="369"/>
      <c r="F32" s="369"/>
      <c r="G32" s="342"/>
      <c r="H32" s="342"/>
      <c r="I32" s="369"/>
      <c r="J32" s="344"/>
    </row>
    <row r="33" spans="1:12" ht="13.5" customHeight="1">
      <c r="A33" s="51"/>
      <c r="B33" s="370" t="s">
        <v>76</v>
      </c>
      <c r="C33" s="53">
        <v>420210</v>
      </c>
      <c r="D33" s="53">
        <v>663856</v>
      </c>
      <c r="E33" s="34">
        <v>599775</v>
      </c>
      <c r="F33" s="34">
        <v>334548</v>
      </c>
      <c r="G33" s="53">
        <v>464319</v>
      </c>
      <c r="H33" s="53">
        <v>410137</v>
      </c>
      <c r="I33" s="34">
        <v>561068</v>
      </c>
      <c r="J33" s="35">
        <v>288387</v>
      </c>
      <c r="L33" s="36">
        <f>SUM(C33:J33)</f>
        <v>3742300</v>
      </c>
    </row>
    <row r="34" spans="1:12" ht="13.5" customHeight="1">
      <c r="A34" s="51"/>
      <c r="B34" s="370" t="s">
        <v>77</v>
      </c>
      <c r="C34" s="53">
        <v>542079</v>
      </c>
      <c r="D34" s="53">
        <v>632358</v>
      </c>
      <c r="E34" s="34">
        <v>1091458</v>
      </c>
      <c r="F34" s="34">
        <v>527658</v>
      </c>
      <c r="G34" s="53">
        <v>427990</v>
      </c>
      <c r="H34" s="53">
        <v>566712</v>
      </c>
      <c r="I34" s="34">
        <v>591794</v>
      </c>
      <c r="J34" s="35">
        <v>410499</v>
      </c>
      <c r="L34" s="36">
        <f>SUM(C34:J34)</f>
        <v>4790548</v>
      </c>
    </row>
    <row r="35" spans="1:12" ht="13.5" customHeight="1">
      <c r="A35" s="51"/>
      <c r="B35" s="370" t="s">
        <v>78</v>
      </c>
      <c r="C35" s="53">
        <v>90656</v>
      </c>
      <c r="D35" s="53">
        <v>42877</v>
      </c>
      <c r="E35" s="34">
        <v>55911</v>
      </c>
      <c r="F35" s="34">
        <v>76333</v>
      </c>
      <c r="G35" s="53">
        <v>96391</v>
      </c>
      <c r="H35" s="53">
        <v>121628</v>
      </c>
      <c r="I35" s="34">
        <v>82277</v>
      </c>
      <c r="J35" s="35">
        <v>139196</v>
      </c>
    </row>
    <row r="36" spans="1:12" ht="13.5" customHeight="1">
      <c r="A36" s="51"/>
      <c r="B36" s="370" t="s">
        <v>79</v>
      </c>
      <c r="C36" s="53">
        <v>38916</v>
      </c>
      <c r="D36" s="53">
        <v>150024</v>
      </c>
      <c r="E36" s="34">
        <v>36654</v>
      </c>
      <c r="F36" s="34">
        <v>32041</v>
      </c>
      <c r="G36" s="53">
        <v>140407</v>
      </c>
      <c r="H36" s="53">
        <v>142525</v>
      </c>
      <c r="I36" s="34">
        <v>261331</v>
      </c>
      <c r="J36" s="35">
        <v>213173</v>
      </c>
    </row>
    <row r="37" spans="1:12" ht="13.5" customHeight="1">
      <c r="A37" s="51"/>
      <c r="B37" s="370" t="s">
        <v>67</v>
      </c>
      <c r="C37" s="53">
        <v>47534</v>
      </c>
      <c r="D37" s="53">
        <v>88697</v>
      </c>
      <c r="E37" s="34">
        <v>6430</v>
      </c>
      <c r="F37" s="34">
        <v>141107</v>
      </c>
      <c r="G37" s="53">
        <v>45688</v>
      </c>
      <c r="H37" s="53">
        <v>81465</v>
      </c>
      <c r="I37" s="34">
        <v>67022</v>
      </c>
      <c r="J37" s="35">
        <v>27302</v>
      </c>
    </row>
    <row r="38" spans="1:12" ht="13.5" customHeight="1">
      <c r="A38" s="51"/>
      <c r="B38" s="370" t="s">
        <v>80</v>
      </c>
      <c r="C38" s="53">
        <v>74150</v>
      </c>
      <c r="D38" s="53">
        <v>122830</v>
      </c>
      <c r="E38" s="34">
        <v>0</v>
      </c>
      <c r="F38" s="34">
        <v>86786</v>
      </c>
      <c r="G38" s="53">
        <v>88232</v>
      </c>
      <c r="H38" s="53">
        <v>0</v>
      </c>
      <c r="I38" s="34">
        <v>217692</v>
      </c>
      <c r="J38" s="35">
        <v>12500</v>
      </c>
    </row>
    <row r="39" spans="1:12" ht="13.5" customHeight="1">
      <c r="A39" s="51"/>
      <c r="B39" s="370" t="s">
        <v>81</v>
      </c>
      <c r="C39" s="53">
        <v>35875</v>
      </c>
      <c r="D39" s="53">
        <v>27971</v>
      </c>
      <c r="E39" s="34">
        <v>6077</v>
      </c>
      <c r="F39" s="34">
        <v>3759</v>
      </c>
      <c r="G39" s="53">
        <v>23736</v>
      </c>
      <c r="H39" s="53">
        <v>40181</v>
      </c>
      <c r="I39" s="34">
        <v>30674</v>
      </c>
      <c r="J39" s="35">
        <v>94171</v>
      </c>
    </row>
    <row r="40" spans="1:12" ht="13.5" customHeight="1">
      <c r="A40" s="51"/>
      <c r="B40" s="370" t="s">
        <v>60</v>
      </c>
      <c r="C40" s="53">
        <v>199692</v>
      </c>
      <c r="D40" s="53">
        <v>92465</v>
      </c>
      <c r="E40" s="34">
        <v>78569</v>
      </c>
      <c r="F40" s="34">
        <v>26261</v>
      </c>
      <c r="G40" s="53">
        <v>43718</v>
      </c>
      <c r="H40" s="53">
        <v>78999</v>
      </c>
      <c r="I40" s="34">
        <v>101232</v>
      </c>
      <c r="J40" s="35">
        <v>191428</v>
      </c>
    </row>
    <row r="41" spans="1:12" ht="13.5" customHeight="1">
      <c r="A41" s="51"/>
      <c r="B41" s="370" t="s">
        <v>61</v>
      </c>
      <c r="C41" s="53">
        <v>0</v>
      </c>
      <c r="D41" s="53">
        <v>0</v>
      </c>
      <c r="E41" s="34">
        <f>199216+35228</f>
        <v>234444</v>
      </c>
      <c r="F41" s="34">
        <v>0</v>
      </c>
      <c r="G41" s="53">
        <v>1876</v>
      </c>
      <c r="H41" s="53">
        <v>213</v>
      </c>
      <c r="I41" s="34">
        <v>0</v>
      </c>
      <c r="J41" s="35">
        <v>0</v>
      </c>
    </row>
    <row r="42" spans="1:12" ht="13.5" customHeight="1">
      <c r="A42" s="51"/>
      <c r="B42" s="370" t="s">
        <v>62</v>
      </c>
      <c r="C42" s="53">
        <v>0</v>
      </c>
      <c r="D42" s="53">
        <v>28339</v>
      </c>
      <c r="E42" s="34">
        <v>0</v>
      </c>
      <c r="F42" s="34">
        <v>0</v>
      </c>
      <c r="G42" s="53">
        <v>0</v>
      </c>
      <c r="H42" s="53">
        <v>0</v>
      </c>
      <c r="I42" s="34">
        <v>0</v>
      </c>
      <c r="J42" s="35">
        <v>0</v>
      </c>
    </row>
    <row r="43" spans="1:12" ht="13.5" customHeight="1">
      <c r="A43" s="51"/>
      <c r="B43" s="370" t="s">
        <v>63</v>
      </c>
      <c r="C43" s="53">
        <v>290561</v>
      </c>
      <c r="D43" s="53">
        <v>0</v>
      </c>
      <c r="E43" s="34">
        <v>0</v>
      </c>
      <c r="F43" s="34">
        <v>0</v>
      </c>
      <c r="G43" s="53">
        <v>298569</v>
      </c>
      <c r="H43" s="53">
        <v>0</v>
      </c>
      <c r="I43" s="34">
        <v>0</v>
      </c>
      <c r="J43" s="35">
        <v>0</v>
      </c>
    </row>
    <row r="44" spans="1:12" ht="13.5" customHeight="1">
      <c r="A44" s="51"/>
      <c r="B44" s="370" t="s">
        <v>82</v>
      </c>
      <c r="C44" s="53">
        <v>248012</v>
      </c>
      <c r="D44" s="53">
        <v>167672</v>
      </c>
      <c r="E44" s="34">
        <v>44840</v>
      </c>
      <c r="F44" s="34">
        <v>364298</v>
      </c>
      <c r="G44" s="53">
        <v>317203</v>
      </c>
      <c r="H44" s="53">
        <v>230542</v>
      </c>
      <c r="I44" s="34">
        <v>400154</v>
      </c>
      <c r="J44" s="35">
        <v>800574</v>
      </c>
    </row>
    <row r="45" spans="1:12" ht="13.5" customHeight="1">
      <c r="A45" s="51"/>
      <c r="B45" s="370" t="s">
        <v>65</v>
      </c>
      <c r="C45" s="53">
        <v>0</v>
      </c>
      <c r="D45" s="53">
        <v>0</v>
      </c>
      <c r="E45" s="34">
        <v>0</v>
      </c>
      <c r="F45" s="34">
        <v>0</v>
      </c>
      <c r="G45" s="53">
        <v>0</v>
      </c>
      <c r="H45" s="53">
        <v>0</v>
      </c>
      <c r="I45" s="34">
        <v>0</v>
      </c>
      <c r="J45" s="35">
        <v>0</v>
      </c>
    </row>
    <row r="46" spans="1:12" ht="13.5" customHeight="1">
      <c r="A46" s="51"/>
      <c r="B46" s="370" t="s">
        <v>83</v>
      </c>
      <c r="C46" s="53">
        <v>0</v>
      </c>
      <c r="D46" s="53">
        <v>244157</v>
      </c>
      <c r="E46" s="34">
        <v>16856</v>
      </c>
      <c r="F46" s="34">
        <v>0</v>
      </c>
      <c r="G46" s="53">
        <v>85869</v>
      </c>
      <c r="H46" s="53">
        <v>0</v>
      </c>
      <c r="I46" s="34">
        <v>167116</v>
      </c>
      <c r="J46" s="35">
        <v>0</v>
      </c>
    </row>
    <row r="47" spans="1:12" ht="13.5" customHeight="1">
      <c r="A47" s="51"/>
      <c r="B47" s="370" t="s">
        <v>84</v>
      </c>
      <c r="C47" s="53">
        <v>27232</v>
      </c>
      <c r="D47" s="53">
        <v>13660</v>
      </c>
      <c r="E47" s="34">
        <v>0</v>
      </c>
      <c r="F47" s="34">
        <v>694</v>
      </c>
      <c r="G47" s="53">
        <v>2787</v>
      </c>
      <c r="H47" s="53">
        <v>8144</v>
      </c>
      <c r="I47" s="34">
        <v>0</v>
      </c>
      <c r="J47" s="35">
        <v>0</v>
      </c>
    </row>
    <row r="48" spans="1:12" ht="13.5" customHeight="1">
      <c r="A48" s="51"/>
      <c r="B48" s="370" t="s">
        <v>85</v>
      </c>
      <c r="C48" s="53">
        <v>9441</v>
      </c>
      <c r="D48" s="53">
        <v>14456</v>
      </c>
      <c r="E48" s="34">
        <v>6662</v>
      </c>
      <c r="F48" s="34">
        <v>-10205</v>
      </c>
      <c r="G48" s="53">
        <v>1774</v>
      </c>
      <c r="H48" s="53">
        <v>-10703</v>
      </c>
      <c r="I48" s="34">
        <v>2358</v>
      </c>
      <c r="J48" s="35">
        <v>0</v>
      </c>
      <c r="L48" s="36"/>
    </row>
    <row r="49" spans="1:12" ht="13.5" customHeight="1">
      <c r="A49" s="51"/>
      <c r="B49" s="370" t="s">
        <v>86</v>
      </c>
      <c r="C49" s="53">
        <v>99</v>
      </c>
      <c r="D49" s="53">
        <v>325</v>
      </c>
      <c r="E49" s="34">
        <v>3121</v>
      </c>
      <c r="F49" s="34">
        <v>1600</v>
      </c>
      <c r="G49" s="53">
        <v>994</v>
      </c>
      <c r="H49" s="53">
        <v>265</v>
      </c>
      <c r="I49" s="34">
        <v>4041</v>
      </c>
      <c r="J49" s="35">
        <v>320</v>
      </c>
    </row>
    <row r="50" spans="1:12" ht="13.5" customHeight="1">
      <c r="A50" s="51"/>
      <c r="B50" s="370" t="s">
        <v>87</v>
      </c>
      <c r="C50" s="53">
        <v>0</v>
      </c>
      <c r="D50" s="53">
        <v>0</v>
      </c>
      <c r="E50" s="34">
        <v>0</v>
      </c>
      <c r="F50" s="34">
        <v>0</v>
      </c>
      <c r="G50" s="53">
        <v>0</v>
      </c>
      <c r="H50" s="53">
        <v>-1472</v>
      </c>
      <c r="I50" s="34">
        <v>37</v>
      </c>
      <c r="J50" s="35">
        <v>260572</v>
      </c>
    </row>
    <row r="51" spans="1:12" s="40" customFormat="1" ht="13.5" customHeight="1" thickBot="1">
      <c r="A51" s="56" t="s">
        <v>88</v>
      </c>
      <c r="B51" s="371"/>
      <c r="C51" s="58">
        <f t="shared" ref="C51:I51" si="4">SUM(C33:C50)</f>
        <v>2024457</v>
      </c>
      <c r="D51" s="58">
        <f t="shared" si="4"/>
        <v>2289687</v>
      </c>
      <c r="E51" s="58">
        <f t="shared" si="4"/>
        <v>2180797</v>
      </c>
      <c r="F51" s="58">
        <f t="shared" si="4"/>
        <v>1584880</v>
      </c>
      <c r="G51" s="58">
        <f t="shared" si="4"/>
        <v>2039553</v>
      </c>
      <c r="H51" s="58">
        <f t="shared" si="4"/>
        <v>1668636</v>
      </c>
      <c r="I51" s="58">
        <f t="shared" si="4"/>
        <v>2486796</v>
      </c>
      <c r="J51" s="152">
        <f t="shared" ref="J51" si="5">SUM(J33:J50)</f>
        <v>2438122</v>
      </c>
      <c r="K51" s="183">
        <f>AVERAGE(C51:J51)</f>
        <v>2089116</v>
      </c>
      <c r="L51" s="59">
        <f>+SUM(C51:I51)+SUM(C53:I53)</f>
        <v>15315874</v>
      </c>
    </row>
    <row r="52" spans="1:12" ht="13.5" customHeight="1">
      <c r="A52" s="120" t="s">
        <v>89</v>
      </c>
      <c r="B52" s="121"/>
      <c r="C52" s="122"/>
      <c r="D52" s="122"/>
      <c r="E52" s="124"/>
      <c r="F52" s="124"/>
      <c r="G52" s="122"/>
      <c r="H52" s="122"/>
      <c r="I52" s="124"/>
      <c r="J52" s="193"/>
      <c r="L52" s="36"/>
    </row>
    <row r="53" spans="1:12" s="40" customFormat="1" ht="13.5" customHeight="1">
      <c r="A53" s="41"/>
      <c r="B53" s="42" t="s">
        <v>90</v>
      </c>
      <c r="C53" s="43">
        <v>114090</v>
      </c>
      <c r="D53" s="43">
        <v>175782</v>
      </c>
      <c r="E53" s="43">
        <v>245273</v>
      </c>
      <c r="F53" s="43">
        <v>86175</v>
      </c>
      <c r="G53" s="43">
        <v>134846</v>
      </c>
      <c r="H53" s="43">
        <v>50344</v>
      </c>
      <c r="I53" s="43">
        <v>234558</v>
      </c>
      <c r="J53" s="44">
        <v>73744</v>
      </c>
      <c r="K53" s="125"/>
      <c r="L53" s="36">
        <f>SUM(C53:J53)</f>
        <v>1114812</v>
      </c>
    </row>
    <row r="54" spans="1:12" s="40" customFormat="1" ht="13.5" customHeight="1">
      <c r="A54" s="62" t="s">
        <v>91</v>
      </c>
      <c r="B54" s="63"/>
      <c r="C54" s="70">
        <f t="shared" ref="C54:I54" si="6">+C31-C51</f>
        <v>153164</v>
      </c>
      <c r="D54" s="70">
        <f t="shared" si="6"/>
        <v>88536</v>
      </c>
      <c r="E54" s="70">
        <f t="shared" si="6"/>
        <v>170814</v>
      </c>
      <c r="F54" s="70">
        <f t="shared" si="6"/>
        <v>432400</v>
      </c>
      <c r="G54" s="70">
        <f t="shared" si="6"/>
        <v>213044</v>
      </c>
      <c r="H54" s="70">
        <f t="shared" si="6"/>
        <v>-35303</v>
      </c>
      <c r="I54" s="70">
        <f t="shared" si="6"/>
        <v>-68003</v>
      </c>
      <c r="J54" s="71">
        <f t="shared" ref="J54" si="7">+J31-J51</f>
        <v>-209048</v>
      </c>
      <c r="K54" s="183">
        <f>AVERAGE(C54:J54)</f>
        <v>93200.5</v>
      </c>
    </row>
    <row r="55" spans="1:12" s="40" customFormat="1" ht="13.5" customHeight="1">
      <c r="A55" s="62" t="s">
        <v>92</v>
      </c>
      <c r="B55" s="63"/>
      <c r="C55" s="70">
        <f>+C54-C53</f>
        <v>39074</v>
      </c>
      <c r="D55" s="70">
        <f t="shared" ref="D55:I55" si="8">+D54-D53</f>
        <v>-87246</v>
      </c>
      <c r="E55" s="70">
        <f t="shared" si="8"/>
        <v>-74459</v>
      </c>
      <c r="F55" s="70">
        <f t="shared" si="8"/>
        <v>346225</v>
      </c>
      <c r="G55" s="70">
        <f t="shared" si="8"/>
        <v>78198</v>
      </c>
      <c r="H55" s="70">
        <f t="shared" si="8"/>
        <v>-85647</v>
      </c>
      <c r="I55" s="70">
        <f t="shared" si="8"/>
        <v>-302561</v>
      </c>
      <c r="J55" s="71">
        <f t="shared" ref="J55" si="9">+J54-J53</f>
        <v>-282792</v>
      </c>
      <c r="K55" s="183">
        <f>AVERAGE(C55:J55)</f>
        <v>-46151</v>
      </c>
    </row>
    <row r="56" spans="1:12" s="40" customFormat="1" ht="13.5" customHeight="1">
      <c r="A56" s="62" t="s">
        <v>93</v>
      </c>
      <c r="B56" s="63"/>
      <c r="C56" s="70">
        <f t="shared" ref="C56:I56" si="10">C11+C12+C13+C31-C51</f>
        <v>297281</v>
      </c>
      <c r="D56" s="70">
        <f t="shared" si="10"/>
        <v>88536</v>
      </c>
      <c r="E56" s="70">
        <f t="shared" si="10"/>
        <v>170814</v>
      </c>
      <c r="F56" s="70">
        <f t="shared" si="10"/>
        <v>597400</v>
      </c>
      <c r="G56" s="70">
        <f t="shared" si="10"/>
        <v>213044</v>
      </c>
      <c r="H56" s="70">
        <f t="shared" si="10"/>
        <v>-35303</v>
      </c>
      <c r="I56" s="70">
        <f t="shared" si="10"/>
        <v>-55003</v>
      </c>
      <c r="J56" s="71">
        <f t="shared" ref="J56" si="11">J11+J12+J13+J31-J51</f>
        <v>51524</v>
      </c>
      <c r="K56" s="183">
        <f>AVERAGE(C56:J56)</f>
        <v>166036.625</v>
      </c>
    </row>
    <row r="57" spans="1:12" s="40" customFormat="1" ht="13.5" customHeight="1">
      <c r="A57" s="62" t="s">
        <v>94</v>
      </c>
      <c r="B57" s="63"/>
      <c r="C57" s="70">
        <f t="shared" ref="C57:H57" si="12">+C11+C12+C13+C31-C51-C53</f>
        <v>183191</v>
      </c>
      <c r="D57" s="70">
        <f t="shared" si="12"/>
        <v>-87246</v>
      </c>
      <c r="E57" s="70">
        <f t="shared" si="12"/>
        <v>-74459</v>
      </c>
      <c r="F57" s="70">
        <f t="shared" si="12"/>
        <v>511225</v>
      </c>
      <c r="G57" s="70">
        <f t="shared" si="12"/>
        <v>78198</v>
      </c>
      <c r="H57" s="70">
        <f t="shared" si="12"/>
        <v>-85647</v>
      </c>
      <c r="I57" s="70">
        <f>+I11+I12+I13+I31-I51-I53</f>
        <v>-289561</v>
      </c>
      <c r="J57" s="71">
        <f>+J11+J12+J13+J31-J51-J53</f>
        <v>-22220</v>
      </c>
      <c r="K57" s="183">
        <f>AVERAGE(C57:J57)</f>
        <v>26685.125</v>
      </c>
      <c r="L57" s="59">
        <f>SUM(C57:I57)</f>
        <v>235701</v>
      </c>
    </row>
    <row r="58" spans="1:12" ht="13.5" customHeight="1">
      <c r="A58" s="22" t="s">
        <v>95</v>
      </c>
      <c r="B58" s="23"/>
      <c r="C58" s="65"/>
      <c r="D58" s="65"/>
      <c r="E58" s="65"/>
      <c r="F58" s="66"/>
      <c r="G58" s="65"/>
      <c r="H58" s="65"/>
      <c r="I58" s="65"/>
      <c r="J58" s="67"/>
    </row>
    <row r="59" spans="1:12" ht="13.5" customHeight="1">
      <c r="A59" s="45"/>
      <c r="B59" s="46" t="s">
        <v>46</v>
      </c>
      <c r="C59" s="54">
        <v>-16973</v>
      </c>
      <c r="D59" s="54">
        <v>458764</v>
      </c>
      <c r="E59" s="54">
        <v>-54772</v>
      </c>
      <c r="F59" s="29">
        <v>664934</v>
      </c>
      <c r="G59" s="29">
        <v>85118</v>
      </c>
      <c r="H59" s="29">
        <v>11987</v>
      </c>
      <c r="I59" s="29">
        <v>515152</v>
      </c>
      <c r="J59" s="32">
        <v>157046</v>
      </c>
      <c r="K59" s="147">
        <f>SUM(C59:J59)/8</f>
        <v>227657</v>
      </c>
      <c r="L59" s="36"/>
    </row>
    <row r="60" spans="1:12" ht="13.5" customHeight="1">
      <c r="A60" s="45"/>
      <c r="B60" s="46" t="s">
        <v>47</v>
      </c>
      <c r="C60" s="54">
        <v>0</v>
      </c>
      <c r="D60" s="54">
        <v>0</v>
      </c>
      <c r="E60" s="54">
        <v>0</v>
      </c>
      <c r="F60" s="29">
        <v>0</v>
      </c>
      <c r="G60" s="29">
        <v>0</v>
      </c>
      <c r="H60" s="29">
        <v>0</v>
      </c>
      <c r="I60" s="29">
        <v>0</v>
      </c>
      <c r="J60" s="32">
        <v>0</v>
      </c>
      <c r="K60" s="147">
        <f>MAX(B59:J59)</f>
        <v>664934</v>
      </c>
    </row>
    <row r="61" spans="1:12" s="68" customFormat="1" ht="13.5" customHeight="1">
      <c r="A61" s="45"/>
      <c r="B61" s="46" t="s">
        <v>48</v>
      </c>
      <c r="C61" s="54">
        <v>1749550</v>
      </c>
      <c r="D61" s="54">
        <v>3790856</v>
      </c>
      <c r="E61" s="54">
        <v>2245201</v>
      </c>
      <c r="F61" s="29">
        <v>1667844</v>
      </c>
      <c r="G61" s="29">
        <v>1925144</v>
      </c>
      <c r="H61" s="29">
        <v>927827</v>
      </c>
      <c r="I61" s="29">
        <v>4273251</v>
      </c>
      <c r="J61" s="32">
        <v>2478234</v>
      </c>
      <c r="K61" s="184">
        <f>MIN(C59:J59)</f>
        <v>-54772</v>
      </c>
      <c r="L61" s="156"/>
    </row>
    <row r="62" spans="1:12" s="40" customFormat="1" ht="13.5" customHeight="1">
      <c r="A62" s="62"/>
      <c r="B62" s="69" t="s">
        <v>50</v>
      </c>
      <c r="C62" s="97">
        <f>SUM(C59:C61)</f>
        <v>1732577</v>
      </c>
      <c r="D62" s="97">
        <f t="shared" ref="D62:I62" si="13">SUM(D59:D61)</f>
        <v>4249620</v>
      </c>
      <c r="E62" s="97">
        <f t="shared" si="13"/>
        <v>2190429</v>
      </c>
      <c r="F62" s="97">
        <f t="shared" si="13"/>
        <v>2332778</v>
      </c>
      <c r="G62" s="97">
        <f t="shared" si="13"/>
        <v>2010262</v>
      </c>
      <c r="H62" s="97">
        <f t="shared" si="13"/>
        <v>939814</v>
      </c>
      <c r="I62" s="97">
        <f t="shared" si="13"/>
        <v>4788403</v>
      </c>
      <c r="J62" s="98">
        <f t="shared" ref="J62" si="14">SUM(J59:J61)</f>
        <v>2635280</v>
      </c>
      <c r="K62" s="125"/>
    </row>
    <row r="63" spans="1:12" s="163" customFormat="1" ht="13.5" thickBot="1">
      <c r="A63" s="157" t="s">
        <v>96</v>
      </c>
      <c r="B63" s="185"/>
      <c r="C63" s="160">
        <f t="shared" ref="C63:I63" si="15">C59/(C51)</f>
        <v>-8.3839765428458096E-3</v>
      </c>
      <c r="D63" s="160">
        <f t="shared" si="15"/>
        <v>0.20036101004198389</v>
      </c>
      <c r="E63" s="160">
        <f t="shared" si="15"/>
        <v>-2.5115588475222592E-2</v>
      </c>
      <c r="F63" s="160">
        <f t="shared" si="15"/>
        <v>0.41954848316591792</v>
      </c>
      <c r="G63" s="160">
        <f t="shared" si="15"/>
        <v>4.1733654384073372E-2</v>
      </c>
      <c r="H63" s="160">
        <f t="shared" si="15"/>
        <v>7.1837117262242931E-3</v>
      </c>
      <c r="I63" s="160">
        <f t="shared" si="15"/>
        <v>0.20715490936932501</v>
      </c>
      <c r="J63" s="333">
        <f t="shared" ref="J63" si="16">J59/(J51)</f>
        <v>6.4412691407566974E-2</v>
      </c>
      <c r="K63" s="162">
        <f>AVERAGE(C63:J63)</f>
        <v>0.11336186188462789</v>
      </c>
    </row>
    <row r="64" spans="1:12" hidden="1">
      <c r="A64" s="100"/>
      <c r="B64" s="100" t="s">
        <v>97</v>
      </c>
      <c r="C64" s="135">
        <f t="shared" ref="C64:J64" si="17">+C9+C11+C12+C13+C31-C51-C53-C62</f>
        <v>4</v>
      </c>
      <c r="D64" s="135">
        <f t="shared" si="17"/>
        <v>1</v>
      </c>
      <c r="E64" s="135">
        <f t="shared" si="17"/>
        <v>1</v>
      </c>
      <c r="F64" s="112">
        <f t="shared" si="17"/>
        <v>0</v>
      </c>
      <c r="G64" s="135">
        <f t="shared" si="17"/>
        <v>-1</v>
      </c>
      <c r="H64" s="112">
        <f t="shared" si="17"/>
        <v>0</v>
      </c>
      <c r="I64" s="135">
        <f t="shared" si="17"/>
        <v>-2</v>
      </c>
      <c r="J64" s="113">
        <f t="shared" si="17"/>
        <v>0</v>
      </c>
      <c r="K64" s="186">
        <f>MAX(C63:J63)</f>
        <v>0.41954848316591792</v>
      </c>
    </row>
    <row r="65" spans="1:12" hidden="1">
      <c r="A65" s="100"/>
      <c r="B65" s="100"/>
      <c r="C65" s="135">
        <f t="shared" ref="C65:J65" si="18">+C9+C57-C62</f>
        <v>4</v>
      </c>
      <c r="D65" s="135">
        <f t="shared" si="18"/>
        <v>1</v>
      </c>
      <c r="E65" s="135">
        <f t="shared" si="18"/>
        <v>1</v>
      </c>
      <c r="F65" s="113">
        <f t="shared" si="18"/>
        <v>0</v>
      </c>
      <c r="G65" s="113">
        <f t="shared" si="18"/>
        <v>-1</v>
      </c>
      <c r="H65" s="135">
        <f t="shared" si="18"/>
        <v>0</v>
      </c>
      <c r="I65" s="135">
        <f t="shared" si="18"/>
        <v>-2</v>
      </c>
      <c r="J65" s="113">
        <f t="shared" si="18"/>
        <v>0</v>
      </c>
      <c r="K65" s="186">
        <f>MIN(C63:J63)</f>
        <v>-2.5115588475222592E-2</v>
      </c>
    </row>
    <row r="66" spans="1:12">
      <c r="A66" s="100"/>
      <c r="B66" s="100"/>
      <c r="C66" s="135"/>
      <c r="D66" s="135"/>
      <c r="E66" s="135"/>
      <c r="F66" s="113"/>
      <c r="G66" s="113"/>
      <c r="H66" s="135"/>
      <c r="I66" s="135"/>
      <c r="J66" s="113"/>
      <c r="K66" s="186"/>
    </row>
    <row r="67" spans="1:12" ht="12.75" customHeight="1">
      <c r="A67" s="323" t="s">
        <v>225</v>
      </c>
      <c r="B67" s="230"/>
      <c r="C67" s="230"/>
      <c r="D67" s="230"/>
      <c r="E67" s="135"/>
      <c r="F67" s="113"/>
      <c r="G67" s="113"/>
      <c r="H67" s="135"/>
      <c r="I67" s="135"/>
      <c r="J67" s="113"/>
      <c r="K67" s="186"/>
    </row>
    <row r="68" spans="1:12" ht="12.75" customHeight="1">
      <c r="A68" s="320" t="s">
        <v>226</v>
      </c>
      <c r="B68" s="230"/>
      <c r="C68" s="230"/>
      <c r="D68" s="230"/>
    </row>
    <row r="69" spans="1:12" ht="12.75" customHeight="1">
      <c r="A69" s="321" t="s">
        <v>98</v>
      </c>
      <c r="B69" s="230"/>
      <c r="C69" s="230"/>
      <c r="D69" s="230"/>
    </row>
    <row r="70" spans="1:12">
      <c r="A70" s="322"/>
      <c r="B70" s="91"/>
      <c r="C70" s="91"/>
      <c r="D70" s="91"/>
    </row>
    <row r="71" spans="1:12" ht="12.75" customHeight="1">
      <c r="A71" s="320" t="s">
        <v>227</v>
      </c>
      <c r="B71" s="230"/>
      <c r="C71" s="230"/>
      <c r="D71" s="230"/>
    </row>
    <row r="72" spans="1:12" ht="12.75" customHeight="1">
      <c r="A72" s="320" t="s">
        <v>99</v>
      </c>
      <c r="B72" s="230"/>
      <c r="C72" s="230"/>
      <c r="D72" s="230"/>
    </row>
    <row r="73" spans="1:12" ht="12.75" customHeight="1">
      <c r="A73" s="320" t="s">
        <v>100</v>
      </c>
      <c r="B73" s="5"/>
      <c r="C73" s="1"/>
      <c r="D73" s="1"/>
    </row>
    <row r="74" spans="1:12" ht="13.5" thickBot="1">
      <c r="A74" s="236"/>
      <c r="B74" s="236"/>
      <c r="C74" s="236"/>
      <c r="D74" s="236"/>
    </row>
    <row r="75" spans="1:12">
      <c r="A75" s="403"/>
      <c r="B75" s="404"/>
      <c r="C75" s="310"/>
      <c r="D75" s="310"/>
      <c r="E75" s="310"/>
      <c r="F75" s="310"/>
      <c r="G75" s="310"/>
      <c r="H75" s="310"/>
      <c r="I75" s="310"/>
      <c r="J75" s="367"/>
    </row>
    <row r="76" spans="1:12" ht="72" customHeight="1">
      <c r="A76" s="405"/>
      <c r="B76" s="406"/>
      <c r="C76" s="364" t="str">
        <f t="shared" ref="C76:J76" si="19">C2</f>
        <v>7th DAA, Monterey County Fair</v>
      </c>
      <c r="D76" s="364" t="str">
        <f t="shared" si="19"/>
        <v>17th DAA, Nevada County Fair</v>
      </c>
      <c r="E76" s="364" t="str">
        <f t="shared" si="19"/>
        <v>19th DAA,     Santa Barbara Fair</v>
      </c>
      <c r="F76" s="364" t="str">
        <f t="shared" si="19"/>
        <v>24th DAA, 
Tulare County Fair</v>
      </c>
      <c r="G76" s="364" t="str">
        <f t="shared" si="19"/>
        <v>28th DAA,       San Bernardino County Fair</v>
      </c>
      <c r="H76" s="364" t="str">
        <f t="shared" si="19"/>
        <v>35th DAA, Merced County Fair</v>
      </c>
      <c r="I76" s="364" t="str">
        <f t="shared" si="19"/>
        <v>37th DAA,     Santa Maria Fair Park</v>
      </c>
      <c r="J76" s="365" t="str">
        <f t="shared" si="19"/>
        <v>Marin County Fair</v>
      </c>
    </row>
    <row r="77" spans="1:12" ht="13.5" customHeight="1">
      <c r="A77" s="22" t="s">
        <v>101</v>
      </c>
      <c r="B77" s="52"/>
      <c r="C77" s="93"/>
      <c r="D77" s="93"/>
      <c r="E77" s="94"/>
      <c r="F77" s="94"/>
      <c r="G77" s="93"/>
      <c r="H77" s="93"/>
      <c r="I77" s="94"/>
      <c r="J77" s="200"/>
    </row>
    <row r="78" spans="1:12" ht="13.5" customHeight="1">
      <c r="A78" s="22" t="s">
        <v>102</v>
      </c>
      <c r="B78" s="52"/>
      <c r="C78" s="93"/>
      <c r="D78" s="93"/>
      <c r="E78" s="94"/>
      <c r="F78" s="94"/>
      <c r="G78" s="93"/>
      <c r="H78" s="93"/>
      <c r="I78" s="94"/>
      <c r="J78" s="200"/>
    </row>
    <row r="79" spans="1:12" ht="13.5" customHeight="1">
      <c r="A79" s="51"/>
      <c r="B79" s="52" t="s">
        <v>103</v>
      </c>
      <c r="C79" s="53"/>
      <c r="D79" s="53"/>
      <c r="E79" s="34"/>
      <c r="F79" s="34"/>
      <c r="G79" s="53"/>
      <c r="H79" s="53"/>
      <c r="I79" s="34"/>
      <c r="J79" s="35"/>
    </row>
    <row r="80" spans="1:12" ht="13.5" customHeight="1">
      <c r="A80" s="51"/>
      <c r="B80" s="52" t="s">
        <v>104</v>
      </c>
      <c r="C80" s="25">
        <v>0</v>
      </c>
      <c r="D80" s="25">
        <v>0</v>
      </c>
      <c r="E80" s="26">
        <v>0</v>
      </c>
      <c r="F80" s="26">
        <v>0</v>
      </c>
      <c r="G80" s="25">
        <v>0</v>
      </c>
      <c r="H80" s="25">
        <v>0</v>
      </c>
      <c r="I80" s="26">
        <v>539126</v>
      </c>
      <c r="J80" s="201">
        <v>0</v>
      </c>
      <c r="L80" s="147">
        <f t="shared" ref="L80:L90" si="20">SUM(C80:J80)</f>
        <v>539126</v>
      </c>
    </row>
    <row r="81" spans="1:12" ht="13.5" customHeight="1">
      <c r="A81" s="51"/>
      <c r="B81" s="52" t="s">
        <v>105</v>
      </c>
      <c r="C81" s="53">
        <v>27978</v>
      </c>
      <c r="D81" s="53">
        <v>1028052</v>
      </c>
      <c r="E81" s="34">
        <v>261643</v>
      </c>
      <c r="F81" s="34">
        <v>941603</v>
      </c>
      <c r="G81" s="53">
        <v>264955</v>
      </c>
      <c r="H81" s="53">
        <v>331716</v>
      </c>
      <c r="I81" s="34">
        <v>569085</v>
      </c>
      <c r="J81" s="35">
        <v>212473</v>
      </c>
      <c r="L81" s="147">
        <f t="shared" si="20"/>
        <v>3637505</v>
      </c>
    </row>
    <row r="82" spans="1:12" ht="13.5" customHeight="1">
      <c r="A82" s="51"/>
      <c r="B82" s="52" t="s">
        <v>106</v>
      </c>
      <c r="C82" s="53">
        <v>187673</v>
      </c>
      <c r="D82" s="53">
        <v>29577</v>
      </c>
      <c r="E82" s="34">
        <v>13828</v>
      </c>
      <c r="F82" s="34">
        <v>179658</v>
      </c>
      <c r="G82" s="53">
        <v>47063</v>
      </c>
      <c r="H82" s="53">
        <v>41353</v>
      </c>
      <c r="I82" s="34">
        <v>52232</v>
      </c>
      <c r="J82" s="35">
        <v>0</v>
      </c>
      <c r="L82" s="147">
        <f t="shared" si="20"/>
        <v>551384</v>
      </c>
    </row>
    <row r="83" spans="1:12" ht="13.5" customHeight="1">
      <c r="A83" s="51"/>
      <c r="B83" s="52" t="s">
        <v>107</v>
      </c>
      <c r="C83" s="53">
        <v>0</v>
      </c>
      <c r="D83" s="53">
        <v>6133</v>
      </c>
      <c r="E83" s="34">
        <v>12718</v>
      </c>
      <c r="F83" s="34">
        <v>0</v>
      </c>
      <c r="G83" s="53">
        <v>1999</v>
      </c>
      <c r="H83" s="53">
        <v>-25</v>
      </c>
      <c r="I83" s="34">
        <v>1500</v>
      </c>
      <c r="J83" s="35">
        <v>0</v>
      </c>
      <c r="L83" s="147">
        <f t="shared" si="20"/>
        <v>22325</v>
      </c>
    </row>
    <row r="84" spans="1:12" ht="13.5" customHeight="1">
      <c r="A84" s="51"/>
      <c r="B84" s="52" t="s">
        <v>108</v>
      </c>
      <c r="C84" s="53">
        <v>0</v>
      </c>
      <c r="D84" s="53">
        <v>3141</v>
      </c>
      <c r="E84" s="34">
        <v>0</v>
      </c>
      <c r="F84" s="34">
        <v>0</v>
      </c>
      <c r="G84" s="53">
        <v>0</v>
      </c>
      <c r="H84" s="53">
        <v>0</v>
      </c>
      <c r="I84" s="34">
        <v>0</v>
      </c>
      <c r="J84" s="35">
        <v>0</v>
      </c>
      <c r="L84" s="147">
        <f t="shared" si="20"/>
        <v>3141</v>
      </c>
    </row>
    <row r="85" spans="1:12" ht="13.5" customHeight="1">
      <c r="A85" s="51"/>
      <c r="B85" s="52" t="s">
        <v>109</v>
      </c>
      <c r="C85" s="53">
        <v>75918</v>
      </c>
      <c r="D85" s="53">
        <v>21813</v>
      </c>
      <c r="E85" s="34">
        <v>0</v>
      </c>
      <c r="F85" s="34">
        <v>0</v>
      </c>
      <c r="G85" s="53">
        <v>0</v>
      </c>
      <c r="H85" s="53">
        <v>0</v>
      </c>
      <c r="I85" s="34">
        <v>155316</v>
      </c>
      <c r="J85" s="35">
        <v>0</v>
      </c>
      <c r="L85" s="147">
        <f t="shared" si="20"/>
        <v>253047</v>
      </c>
    </row>
    <row r="86" spans="1:12" ht="13.5" customHeight="1">
      <c r="A86" s="51"/>
      <c r="B86" s="52" t="s">
        <v>110</v>
      </c>
      <c r="C86" s="53">
        <v>31340</v>
      </c>
      <c r="D86" s="53">
        <v>1018037</v>
      </c>
      <c r="E86" s="34">
        <v>213778</v>
      </c>
      <c r="F86" s="34">
        <v>489069</v>
      </c>
      <c r="G86" s="53">
        <v>22055</v>
      </c>
      <c r="H86" s="53">
        <v>179771</v>
      </c>
      <c r="I86" s="34">
        <v>98142</v>
      </c>
      <c r="J86" s="35">
        <v>1777659</v>
      </c>
      <c r="L86" s="147">
        <f t="shared" si="20"/>
        <v>3829851</v>
      </c>
    </row>
    <row r="87" spans="1:12" ht="13.5" customHeight="1">
      <c r="A87" s="51"/>
      <c r="B87" s="52" t="s">
        <v>111</v>
      </c>
      <c r="C87" s="53">
        <v>5203851</v>
      </c>
      <c r="D87" s="53">
        <v>6401475</v>
      </c>
      <c r="E87" s="34">
        <v>7504668</v>
      </c>
      <c r="F87" s="34">
        <v>3775287</v>
      </c>
      <c r="G87" s="53">
        <v>3584727</v>
      </c>
      <c r="H87" s="53">
        <v>4206194</v>
      </c>
      <c r="I87" s="34">
        <v>6539735</v>
      </c>
      <c r="J87" s="35">
        <v>3715756</v>
      </c>
      <c r="L87" s="147">
        <f t="shared" si="20"/>
        <v>40931693</v>
      </c>
    </row>
    <row r="88" spans="1:12" ht="13.5" customHeight="1">
      <c r="A88" s="51"/>
      <c r="B88" s="52" t="s">
        <v>112</v>
      </c>
      <c r="C88" s="53">
        <v>246400</v>
      </c>
      <c r="D88" s="53">
        <v>237682</v>
      </c>
      <c r="E88" s="34">
        <v>217073</v>
      </c>
      <c r="F88" s="34">
        <v>210300</v>
      </c>
      <c r="G88" s="53">
        <v>257676</v>
      </c>
      <c r="H88" s="53">
        <v>166218</v>
      </c>
      <c r="I88" s="34">
        <v>544161</v>
      </c>
      <c r="J88" s="35">
        <v>58842</v>
      </c>
      <c r="L88" s="147">
        <f t="shared" si="20"/>
        <v>1938352</v>
      </c>
    </row>
    <row r="89" spans="1:12" ht="13.5" customHeight="1">
      <c r="A89" s="51"/>
      <c r="B89" s="52" t="s">
        <v>113</v>
      </c>
      <c r="C89" s="53">
        <v>0</v>
      </c>
      <c r="D89" s="53">
        <v>0</v>
      </c>
      <c r="E89" s="34">
        <v>1767878</v>
      </c>
      <c r="F89" s="34">
        <v>0</v>
      </c>
      <c r="G89" s="53">
        <v>1397303</v>
      </c>
      <c r="H89" s="53">
        <v>0</v>
      </c>
      <c r="I89" s="34">
        <v>1393941</v>
      </c>
      <c r="J89" s="35">
        <v>0</v>
      </c>
      <c r="L89" s="147">
        <f t="shared" si="20"/>
        <v>4559122</v>
      </c>
    </row>
    <row r="90" spans="1:12" ht="13.5" customHeight="1">
      <c r="A90" s="51"/>
      <c r="B90" s="52" t="s">
        <v>209</v>
      </c>
      <c r="C90" s="53">
        <v>0</v>
      </c>
      <c r="D90" s="53">
        <v>0</v>
      </c>
      <c r="E90" s="34">
        <v>0</v>
      </c>
      <c r="F90" s="34">
        <v>0</v>
      </c>
      <c r="G90" s="53">
        <v>0</v>
      </c>
      <c r="H90" s="53">
        <v>0</v>
      </c>
      <c r="I90" s="34">
        <v>0</v>
      </c>
      <c r="J90" s="35">
        <v>0</v>
      </c>
      <c r="L90" s="147">
        <f t="shared" si="20"/>
        <v>0</v>
      </c>
    </row>
    <row r="91" spans="1:12" ht="13.5" customHeight="1">
      <c r="A91" s="51"/>
      <c r="B91" s="52" t="s">
        <v>114</v>
      </c>
      <c r="C91" s="53">
        <f>-3565178-242781</f>
        <v>-3807959</v>
      </c>
      <c r="D91" s="53">
        <f>-3701916-186233</f>
        <v>-3888149</v>
      </c>
      <c r="E91" s="34">
        <f>-5831102-182837-766081</f>
        <v>-6780020</v>
      </c>
      <c r="F91" s="34">
        <f>-2612704-194108</f>
        <v>-2806812</v>
      </c>
      <c r="G91" s="53">
        <f>-2407412-248795-605498</f>
        <v>-3261705</v>
      </c>
      <c r="H91" s="53">
        <f>-3458139-166218</f>
        <v>-3624357</v>
      </c>
      <c r="I91" s="34">
        <f>-3219847-496017-418182</f>
        <v>-4134046</v>
      </c>
      <c r="J91" s="35">
        <f>-3015181-58842</f>
        <v>-3074023</v>
      </c>
      <c r="L91" s="147">
        <f>SUM(C85:I91)</f>
        <v>17656760</v>
      </c>
    </row>
    <row r="92" spans="1:12" ht="13.5" customHeight="1">
      <c r="A92" s="51"/>
      <c r="B92" s="52" t="s">
        <v>185</v>
      </c>
      <c r="C92" s="53"/>
      <c r="D92" s="53">
        <v>-1</v>
      </c>
      <c r="E92" s="34">
        <v>1</v>
      </c>
      <c r="F92" s="34">
        <v>0</v>
      </c>
      <c r="G92" s="53">
        <v>-1</v>
      </c>
      <c r="H92" s="53">
        <v>1</v>
      </c>
      <c r="I92" s="34">
        <v>0</v>
      </c>
      <c r="J92" s="35">
        <v>0</v>
      </c>
      <c r="L92" s="147"/>
    </row>
    <row r="93" spans="1:12" s="40" customFormat="1" ht="13.5" customHeight="1">
      <c r="A93" s="37" t="s">
        <v>116</v>
      </c>
      <c r="B93" s="42"/>
      <c r="C93" s="187">
        <f t="shared" ref="C93:H93" si="21">SUM(C79:C92)</f>
        <v>1965201</v>
      </c>
      <c r="D93" s="187">
        <f t="shared" si="21"/>
        <v>4857760</v>
      </c>
      <c r="E93" s="187">
        <f>SUM(E80:E92)</f>
        <v>3211567</v>
      </c>
      <c r="F93" s="187">
        <f>SUM(F79:F92)</f>
        <v>2789105</v>
      </c>
      <c r="G93" s="187">
        <f t="shared" si="21"/>
        <v>2314072</v>
      </c>
      <c r="H93" s="187">
        <f t="shared" si="21"/>
        <v>1300871</v>
      </c>
      <c r="I93" s="187">
        <f>SUM(I79:I92)</f>
        <v>5759192</v>
      </c>
      <c r="J93" s="188">
        <f>SUM(J79:J92)</f>
        <v>2690707</v>
      </c>
      <c r="L93" s="125">
        <f>SUM(C93:J93)</f>
        <v>24888475</v>
      </c>
    </row>
    <row r="94" spans="1:12" ht="13.5" customHeight="1">
      <c r="A94" s="22" t="s">
        <v>154</v>
      </c>
      <c r="B94" s="52"/>
      <c r="C94" s="93"/>
      <c r="D94" s="93"/>
      <c r="E94" s="94"/>
      <c r="F94" s="94"/>
      <c r="G94" s="93"/>
      <c r="H94" s="93"/>
      <c r="I94" s="94"/>
      <c r="J94" s="200"/>
      <c r="L94" s="147"/>
    </row>
    <row r="95" spans="1:12" ht="13.5" customHeight="1">
      <c r="A95" s="51"/>
      <c r="B95" s="52" t="s">
        <v>118</v>
      </c>
      <c r="C95" s="53">
        <v>0</v>
      </c>
      <c r="D95" s="53">
        <v>0</v>
      </c>
      <c r="E95" s="34">
        <v>0</v>
      </c>
      <c r="F95" s="34">
        <v>0</v>
      </c>
      <c r="G95" s="53">
        <v>0</v>
      </c>
      <c r="H95" s="53">
        <v>410</v>
      </c>
      <c r="I95" s="34">
        <v>250</v>
      </c>
      <c r="J95" s="35">
        <v>0</v>
      </c>
      <c r="L95" s="147">
        <f t="shared" ref="L95:L102" si="22">SUM(C95:J95)</f>
        <v>660</v>
      </c>
    </row>
    <row r="96" spans="1:12" ht="13.5" customHeight="1">
      <c r="A96" s="51"/>
      <c r="B96" s="52" t="s">
        <v>119</v>
      </c>
      <c r="C96" s="53">
        <v>55831</v>
      </c>
      <c r="D96" s="53">
        <v>31182</v>
      </c>
      <c r="E96" s="34">
        <v>35464</v>
      </c>
      <c r="F96" s="34">
        <v>143792</v>
      </c>
      <c r="G96" s="53">
        <v>98534</v>
      </c>
      <c r="H96" s="53">
        <v>16913</v>
      </c>
      <c r="I96" s="34">
        <v>23591</v>
      </c>
      <c r="J96" s="35">
        <v>55427</v>
      </c>
      <c r="L96" s="147">
        <f t="shared" si="22"/>
        <v>460734</v>
      </c>
    </row>
    <row r="97" spans="1:12" ht="13.5" customHeight="1">
      <c r="A97" s="51"/>
      <c r="B97" s="52" t="s">
        <v>120</v>
      </c>
      <c r="C97" s="53">
        <v>15619</v>
      </c>
      <c r="D97" s="53">
        <v>40680</v>
      </c>
      <c r="E97" s="53">
        <v>14327</v>
      </c>
      <c r="F97" s="34">
        <v>2208</v>
      </c>
      <c r="G97" s="53">
        <v>38234</v>
      </c>
      <c r="H97" s="53">
        <v>12801</v>
      </c>
      <c r="I97" s="34">
        <v>12138</v>
      </c>
      <c r="J97" s="35">
        <v>0</v>
      </c>
      <c r="L97" s="147">
        <f t="shared" si="22"/>
        <v>136007</v>
      </c>
    </row>
    <row r="98" spans="1:12" ht="13.5" customHeight="1">
      <c r="A98" s="51"/>
      <c r="B98" s="52" t="s">
        <v>121</v>
      </c>
      <c r="C98" s="53">
        <v>0</v>
      </c>
      <c r="D98" s="53">
        <v>4616</v>
      </c>
      <c r="E98" s="34">
        <v>86617</v>
      </c>
      <c r="F98" s="34">
        <v>36588</v>
      </c>
      <c r="G98" s="53">
        <v>15621</v>
      </c>
      <c r="H98" s="53">
        <v>127925</v>
      </c>
      <c r="I98" s="34">
        <v>6500</v>
      </c>
      <c r="J98" s="35">
        <v>0</v>
      </c>
      <c r="L98" s="147">
        <f t="shared" si="22"/>
        <v>277867</v>
      </c>
    </row>
    <row r="99" spans="1:12" ht="13.5" customHeight="1">
      <c r="A99" s="51"/>
      <c r="B99" s="52" t="s">
        <v>122</v>
      </c>
      <c r="C99" s="53">
        <v>0</v>
      </c>
      <c r="D99" s="53">
        <v>3827</v>
      </c>
      <c r="E99" s="34">
        <v>0</v>
      </c>
      <c r="F99" s="34">
        <v>0</v>
      </c>
      <c r="G99" s="53">
        <v>10837</v>
      </c>
      <c r="H99" s="53">
        <v>4308</v>
      </c>
      <c r="I99" s="34">
        <v>0</v>
      </c>
      <c r="J99" s="35">
        <v>0</v>
      </c>
      <c r="L99" s="147">
        <f t="shared" si="22"/>
        <v>18972</v>
      </c>
    </row>
    <row r="100" spans="1:12" ht="13.5" customHeight="1">
      <c r="A100" s="51"/>
      <c r="B100" s="52" t="s">
        <v>123</v>
      </c>
      <c r="C100" s="53">
        <v>52591</v>
      </c>
      <c r="D100" s="53">
        <v>3620</v>
      </c>
      <c r="E100" s="34">
        <v>10000</v>
      </c>
      <c r="F100" s="34">
        <v>8118</v>
      </c>
      <c r="G100" s="53">
        <v>22577</v>
      </c>
      <c r="H100" s="53">
        <v>0</v>
      </c>
      <c r="I100" s="34">
        <v>79940</v>
      </c>
      <c r="J100" s="35">
        <v>0</v>
      </c>
      <c r="L100" s="147">
        <f t="shared" si="22"/>
        <v>176846</v>
      </c>
    </row>
    <row r="101" spans="1:12" ht="13.5" customHeight="1">
      <c r="A101" s="51"/>
      <c r="B101" s="52" t="s">
        <v>124</v>
      </c>
      <c r="C101" s="53">
        <v>71154</v>
      </c>
      <c r="D101" s="53">
        <v>204877</v>
      </c>
      <c r="E101" s="34">
        <v>196553</v>
      </c>
      <c r="F101" s="34">
        <v>38162</v>
      </c>
      <c r="G101" s="53">
        <v>47258</v>
      </c>
      <c r="H101" s="53">
        <v>31262</v>
      </c>
      <c r="I101" s="34">
        <v>102676</v>
      </c>
      <c r="J101" s="35">
        <v>0</v>
      </c>
      <c r="L101" s="147">
        <f t="shared" si="22"/>
        <v>691942</v>
      </c>
    </row>
    <row r="102" spans="1:12" ht="13.5" customHeight="1">
      <c r="A102" s="51"/>
      <c r="B102" s="52" t="s">
        <v>125</v>
      </c>
      <c r="C102" s="53">
        <v>0</v>
      </c>
      <c r="D102" s="53">
        <v>319337</v>
      </c>
      <c r="E102" s="34">
        <v>678177</v>
      </c>
      <c r="F102" s="34">
        <v>45584</v>
      </c>
      <c r="G102" s="53">
        <v>70749</v>
      </c>
      <c r="H102" s="53">
        <v>0</v>
      </c>
      <c r="I102" s="34">
        <v>323999</v>
      </c>
      <c r="J102" s="35">
        <v>0</v>
      </c>
      <c r="L102" s="147">
        <f t="shared" si="22"/>
        <v>1437846</v>
      </c>
    </row>
    <row r="103" spans="1:12" s="40" customFormat="1" ht="13.5" customHeight="1">
      <c r="A103" s="37" t="s">
        <v>126</v>
      </c>
      <c r="B103" s="42"/>
      <c r="C103" s="43">
        <f t="shared" ref="C103:I103" si="23">SUM(C95:C102)</f>
        <v>195195</v>
      </c>
      <c r="D103" s="43">
        <f>SUM(D95:D102)</f>
        <v>608139</v>
      </c>
      <c r="E103" s="43">
        <f t="shared" si="23"/>
        <v>1021138</v>
      </c>
      <c r="F103" s="43">
        <f t="shared" si="23"/>
        <v>274452</v>
      </c>
      <c r="G103" s="43">
        <f>SUM(G95:G102)</f>
        <v>303810</v>
      </c>
      <c r="H103" s="43">
        <f t="shared" si="23"/>
        <v>193619</v>
      </c>
      <c r="I103" s="43">
        <f t="shared" si="23"/>
        <v>549094</v>
      </c>
      <c r="J103" s="44">
        <f t="shared" ref="J103" si="24">SUM(J95:J102)</f>
        <v>55427</v>
      </c>
      <c r="L103" s="125">
        <f>SUM(C103:J103)</f>
        <v>3200874</v>
      </c>
    </row>
    <row r="104" spans="1:12" ht="13.5" customHeight="1">
      <c r="A104" s="22" t="s">
        <v>127</v>
      </c>
      <c r="B104" s="52"/>
      <c r="C104" s="93"/>
      <c r="D104" s="93"/>
      <c r="E104" s="94"/>
      <c r="F104" s="94"/>
      <c r="G104" s="93"/>
      <c r="H104" s="93"/>
      <c r="I104" s="94"/>
      <c r="J104" s="200"/>
      <c r="L104" s="147">
        <f t="shared" ref="L104:L108" si="25">SUM(C104:I104)</f>
        <v>0</v>
      </c>
    </row>
    <row r="105" spans="1:12" ht="13.5" customHeight="1">
      <c r="A105" s="51"/>
      <c r="B105" s="52" t="s">
        <v>128</v>
      </c>
      <c r="C105" s="53">
        <v>37429</v>
      </c>
      <c r="D105" s="53">
        <v>0</v>
      </c>
      <c r="E105" s="34">
        <v>0</v>
      </c>
      <c r="F105" s="34">
        <v>181875</v>
      </c>
      <c r="G105" s="53">
        <v>0</v>
      </c>
      <c r="H105" s="53">
        <v>167438</v>
      </c>
      <c r="I105" s="34">
        <v>421696</v>
      </c>
      <c r="J105" s="35">
        <v>0</v>
      </c>
      <c r="L105" s="147">
        <f>SUM(C105:J105)</f>
        <v>808438</v>
      </c>
    </row>
    <row r="106" spans="1:12" ht="13.5" customHeight="1">
      <c r="A106" s="51"/>
      <c r="B106" s="52" t="s">
        <v>46</v>
      </c>
      <c r="C106" s="53">
        <f t="shared" ref="C106:I108" si="26">C59</f>
        <v>-16973</v>
      </c>
      <c r="D106" s="53">
        <f t="shared" si="26"/>
        <v>458764</v>
      </c>
      <c r="E106" s="53">
        <f t="shared" si="26"/>
        <v>-54772</v>
      </c>
      <c r="F106" s="53">
        <f t="shared" si="26"/>
        <v>664934</v>
      </c>
      <c r="G106" s="53">
        <f t="shared" si="26"/>
        <v>85118</v>
      </c>
      <c r="H106" s="53">
        <f t="shared" si="26"/>
        <v>11987</v>
      </c>
      <c r="I106" s="53">
        <f t="shared" si="26"/>
        <v>515152</v>
      </c>
      <c r="J106" s="30">
        <f t="shared" ref="J106" si="27">J59</f>
        <v>157046</v>
      </c>
      <c r="L106" s="147">
        <f t="shared" si="25"/>
        <v>1664210</v>
      </c>
    </row>
    <row r="107" spans="1:12" ht="13.5" customHeight="1">
      <c r="A107" s="51"/>
      <c r="B107" s="52" t="s">
        <v>155</v>
      </c>
      <c r="C107" s="53">
        <f t="shared" si="26"/>
        <v>0</v>
      </c>
      <c r="D107" s="53">
        <f t="shared" si="26"/>
        <v>0</v>
      </c>
      <c r="E107" s="53">
        <f t="shared" si="26"/>
        <v>0</v>
      </c>
      <c r="F107" s="53">
        <f t="shared" si="26"/>
        <v>0</v>
      </c>
      <c r="G107" s="53">
        <f t="shared" si="26"/>
        <v>0</v>
      </c>
      <c r="H107" s="53">
        <f t="shared" si="26"/>
        <v>0</v>
      </c>
      <c r="I107" s="53">
        <f t="shared" si="26"/>
        <v>0</v>
      </c>
      <c r="J107" s="30">
        <f t="shared" ref="J107" si="28">J60</f>
        <v>0</v>
      </c>
      <c r="L107" s="147">
        <f t="shared" si="25"/>
        <v>0</v>
      </c>
    </row>
    <row r="108" spans="1:12" ht="13.5" customHeight="1">
      <c r="A108" s="51"/>
      <c r="B108" s="52" t="s">
        <v>129</v>
      </c>
      <c r="C108" s="53">
        <f t="shared" si="26"/>
        <v>1749550</v>
      </c>
      <c r="D108" s="53">
        <f t="shared" si="26"/>
        <v>3790856</v>
      </c>
      <c r="E108" s="53">
        <f t="shared" si="26"/>
        <v>2245201</v>
      </c>
      <c r="F108" s="53">
        <f t="shared" si="26"/>
        <v>1667844</v>
      </c>
      <c r="G108" s="53">
        <f t="shared" si="26"/>
        <v>1925144</v>
      </c>
      <c r="H108" s="53">
        <f t="shared" si="26"/>
        <v>927827</v>
      </c>
      <c r="I108" s="53">
        <f t="shared" si="26"/>
        <v>4273251</v>
      </c>
      <c r="J108" s="30">
        <f t="shared" ref="J108" si="29">J61</f>
        <v>2478234</v>
      </c>
      <c r="L108" s="147">
        <f t="shared" si="25"/>
        <v>16579673</v>
      </c>
    </row>
    <row r="109" spans="1:12" ht="13.5" customHeight="1">
      <c r="A109" s="101"/>
      <c r="B109" s="102" t="s">
        <v>185</v>
      </c>
      <c r="C109" s="104">
        <v>0</v>
      </c>
      <c r="D109" s="104">
        <v>1</v>
      </c>
      <c r="E109" s="105">
        <v>0</v>
      </c>
      <c r="F109" s="105">
        <v>0</v>
      </c>
      <c r="G109" s="104">
        <v>0</v>
      </c>
      <c r="H109" s="104">
        <v>0</v>
      </c>
      <c r="I109" s="105">
        <v>-1</v>
      </c>
      <c r="J109" s="202">
        <v>0</v>
      </c>
      <c r="L109" s="147">
        <f>SUM(C109:J109)</f>
        <v>0</v>
      </c>
    </row>
    <row r="110" spans="1:12" s="40" customFormat="1" ht="13.5" customHeight="1">
      <c r="A110" s="37" t="s">
        <v>50</v>
      </c>
      <c r="B110" s="106"/>
      <c r="C110" s="107">
        <f>SUM(C105:C109)</f>
        <v>1770006</v>
      </c>
      <c r="D110" s="107">
        <f t="shared" ref="D110:I110" si="30">SUM(D105:D109)</f>
        <v>4249621</v>
      </c>
      <c r="E110" s="107">
        <f t="shared" si="30"/>
        <v>2190429</v>
      </c>
      <c r="F110" s="107">
        <f t="shared" si="30"/>
        <v>2514653</v>
      </c>
      <c r="G110" s="107">
        <f t="shared" si="30"/>
        <v>2010262</v>
      </c>
      <c r="H110" s="107">
        <f t="shared" si="30"/>
        <v>1107252</v>
      </c>
      <c r="I110" s="107">
        <f t="shared" si="30"/>
        <v>5210098</v>
      </c>
      <c r="J110" s="173">
        <f t="shared" ref="J110" si="31">SUM(J105:J109)</f>
        <v>2635280</v>
      </c>
      <c r="L110" s="125">
        <f>SUM(C110:J110)</f>
        <v>21687601</v>
      </c>
    </row>
    <row r="111" spans="1:12" s="40" customFormat="1" ht="13.5" thickBot="1">
      <c r="A111" s="56" t="s">
        <v>130</v>
      </c>
      <c r="B111" s="57"/>
      <c r="C111" s="109">
        <f>SUM(C103:C109)</f>
        <v>1965201</v>
      </c>
      <c r="D111" s="109">
        <f t="shared" ref="D111:I111" si="32">SUM(D103:D109)</f>
        <v>4857760</v>
      </c>
      <c r="E111" s="109">
        <f t="shared" si="32"/>
        <v>3211567</v>
      </c>
      <c r="F111" s="109">
        <f t="shared" si="32"/>
        <v>2789105</v>
      </c>
      <c r="G111" s="109">
        <f t="shared" si="32"/>
        <v>2314072</v>
      </c>
      <c r="H111" s="109">
        <f t="shared" si="32"/>
        <v>1300871</v>
      </c>
      <c r="I111" s="109">
        <f t="shared" si="32"/>
        <v>5759192</v>
      </c>
      <c r="J111" s="110">
        <f t="shared" ref="J111" si="33">SUM(J103:J109)</f>
        <v>2690707</v>
      </c>
      <c r="L111" s="125">
        <f>SUM(C111:J111)</f>
        <v>24888475</v>
      </c>
    </row>
    <row r="112" spans="1:12" hidden="1">
      <c r="B112" s="20" t="s">
        <v>97</v>
      </c>
      <c r="C112" s="167">
        <f t="shared" ref="C112:I112" si="34">+C93-C111</f>
        <v>0</v>
      </c>
      <c r="D112" s="167">
        <f t="shared" si="34"/>
        <v>0</v>
      </c>
      <c r="E112" s="167">
        <f t="shared" si="34"/>
        <v>0</v>
      </c>
      <c r="F112" s="167">
        <f t="shared" si="34"/>
        <v>0</v>
      </c>
      <c r="G112" s="167">
        <f t="shared" si="34"/>
        <v>0</v>
      </c>
      <c r="H112" s="167">
        <f t="shared" si="34"/>
        <v>0</v>
      </c>
      <c r="I112" s="167">
        <f t="shared" si="34"/>
        <v>0</v>
      </c>
      <c r="J112" s="167"/>
    </row>
    <row r="113" spans="1:11">
      <c r="C113" s="167">
        <f>+C103+C110-C111</f>
        <v>0</v>
      </c>
      <c r="D113" s="167"/>
      <c r="E113" s="167"/>
      <c r="F113" s="167"/>
      <c r="G113" s="167"/>
      <c r="H113" s="167"/>
      <c r="I113" s="167"/>
      <c r="J113" s="167"/>
    </row>
    <row r="114" spans="1:11" ht="27.75" customHeight="1">
      <c r="A114" s="395" t="s">
        <v>131</v>
      </c>
      <c r="B114" s="396"/>
      <c r="C114" s="400">
        <f t="shared" ref="C114:I114" si="35">C54/(C31)</f>
        <v>7.0335471599511576E-2</v>
      </c>
      <c r="D114" s="400">
        <f t="shared" si="35"/>
        <v>3.7227795711335734E-2</v>
      </c>
      <c r="E114" s="400">
        <f t="shared" si="35"/>
        <v>7.2637013519668003E-2</v>
      </c>
      <c r="F114" s="400">
        <f t="shared" si="35"/>
        <v>0.21434803299492386</v>
      </c>
      <c r="G114" s="400">
        <f t="shared" si="35"/>
        <v>9.4577059278690326E-2</v>
      </c>
      <c r="H114" s="400">
        <f t="shared" si="35"/>
        <v>-2.1614086043691028E-2</v>
      </c>
      <c r="I114" s="400">
        <f t="shared" si="35"/>
        <v>-2.811443558832856E-2</v>
      </c>
      <c r="J114" s="400">
        <f t="shared" ref="J114" si="36">J54/(J31)</f>
        <v>-9.3782440600895259E-2</v>
      </c>
    </row>
    <row r="115" spans="1:11" ht="24">
      <c r="A115" s="257"/>
      <c r="B115" s="258" t="s">
        <v>132</v>
      </c>
      <c r="C115" s="400"/>
      <c r="D115" s="400"/>
      <c r="E115" s="400"/>
      <c r="F115" s="400"/>
      <c r="G115" s="400"/>
      <c r="H115" s="400"/>
      <c r="I115" s="400"/>
      <c r="J115" s="400"/>
    </row>
    <row r="116" spans="1:11" ht="14.25">
      <c r="A116" s="251" t="s">
        <v>220</v>
      </c>
      <c r="B116" s="252"/>
      <c r="C116" s="401">
        <f t="shared" ref="C116:I116" si="37">(SUM(C81:C82))/SUM(C95:C100)</f>
        <v>1.7385461258777339</v>
      </c>
      <c r="D116" s="401">
        <f t="shared" si="37"/>
        <v>12.60207327971403</v>
      </c>
      <c r="E116" s="401">
        <f t="shared" si="37"/>
        <v>1.8815296978307197</v>
      </c>
      <c r="F116" s="401">
        <f t="shared" si="37"/>
        <v>5.8795266011557059</v>
      </c>
      <c r="G116" s="401">
        <f t="shared" si="37"/>
        <v>1.6792947368987583</v>
      </c>
      <c r="H116" s="401">
        <f t="shared" si="37"/>
        <v>2.2978313223328839</v>
      </c>
      <c r="I116" s="401">
        <f t="shared" si="37"/>
        <v>5.0753314436484533</v>
      </c>
      <c r="J116" s="401">
        <f t="shared" ref="J116" si="38">(SUM(J81:J82))/SUM(J95:J100)</f>
        <v>3.8333844516210509</v>
      </c>
    </row>
    <row r="117" spans="1:11" ht="36">
      <c r="A117" s="253"/>
      <c r="B117" s="254" t="s">
        <v>221</v>
      </c>
      <c r="C117" s="402"/>
      <c r="D117" s="402"/>
      <c r="E117" s="402"/>
      <c r="F117" s="402"/>
      <c r="G117" s="402"/>
      <c r="H117" s="402"/>
      <c r="I117" s="402"/>
      <c r="J117" s="402"/>
    </row>
    <row r="118" spans="1:11" ht="14.25">
      <c r="A118" s="251" t="s">
        <v>222</v>
      </c>
      <c r="B118" s="252"/>
      <c r="C118" s="401">
        <f t="shared" ref="C118:I118" si="39">(SUM(C81:C82))/SUM(C95:C101)</f>
        <v>1.1047977663362278</v>
      </c>
      <c r="D118" s="401">
        <f t="shared" si="39"/>
        <v>3.6621249160324374</v>
      </c>
      <c r="E118" s="401">
        <f t="shared" si="39"/>
        <v>0.8032137764935372</v>
      </c>
      <c r="F118" s="401">
        <f t="shared" si="39"/>
        <v>4.8991602146215287</v>
      </c>
      <c r="G118" s="401">
        <f t="shared" si="39"/>
        <v>1.3387825504910731</v>
      </c>
      <c r="H118" s="401">
        <f t="shared" si="39"/>
        <v>1.9268201984309392</v>
      </c>
      <c r="I118" s="401">
        <f t="shared" si="39"/>
        <v>2.7602434527643882</v>
      </c>
      <c r="J118" s="401">
        <f t="shared" ref="J118" si="40">(SUM(J81:J82))/SUM(J95:J101)</f>
        <v>3.8333844516210509</v>
      </c>
    </row>
    <row r="119" spans="1:11" ht="36">
      <c r="A119" s="253"/>
      <c r="B119" s="254" t="s">
        <v>223</v>
      </c>
      <c r="C119" s="402"/>
      <c r="D119" s="402"/>
      <c r="E119" s="402"/>
      <c r="F119" s="402"/>
      <c r="G119" s="402"/>
      <c r="H119" s="402"/>
      <c r="I119" s="402"/>
      <c r="J119" s="402"/>
    </row>
    <row r="120" spans="1:11" s="256" customFormat="1" ht="8.1" customHeight="1">
      <c r="A120" s="263"/>
      <c r="B120" s="264"/>
      <c r="C120" s="265"/>
      <c r="D120" s="265"/>
      <c r="E120" s="265"/>
      <c r="F120" s="265"/>
      <c r="G120" s="265"/>
      <c r="H120" s="265"/>
      <c r="I120" s="265"/>
      <c r="J120" s="266"/>
      <c r="K120" s="279"/>
    </row>
    <row r="121" spans="1:11">
      <c r="A121" s="363" t="s">
        <v>133</v>
      </c>
      <c r="B121" s="260"/>
      <c r="C121" s="399">
        <f t="shared" ref="C121:I121" si="41">C103/C93</f>
        <v>9.9325717827336749E-2</v>
      </c>
      <c r="D121" s="399">
        <f t="shared" si="41"/>
        <v>0.12518918184513025</v>
      </c>
      <c r="E121" s="399">
        <f t="shared" si="41"/>
        <v>0.3179563122924105</v>
      </c>
      <c r="F121" s="399">
        <f t="shared" si="41"/>
        <v>9.8401458532396596E-2</v>
      </c>
      <c r="G121" s="399">
        <f t="shared" si="41"/>
        <v>0.13128804981003184</v>
      </c>
      <c r="H121" s="399">
        <f t="shared" si="41"/>
        <v>0.14883797086721129</v>
      </c>
      <c r="I121" s="399">
        <f t="shared" si="41"/>
        <v>9.5342193835524155E-2</v>
      </c>
      <c r="J121" s="399">
        <f t="shared" ref="J121" si="42">J103/J93</f>
        <v>2.0599418665800475E-2</v>
      </c>
    </row>
    <row r="122" spans="1:11" ht="25.5">
      <c r="A122" s="257"/>
      <c r="B122" s="261" t="s">
        <v>134</v>
      </c>
      <c r="C122" s="399"/>
      <c r="D122" s="399"/>
      <c r="E122" s="399"/>
      <c r="F122" s="399"/>
      <c r="G122" s="399"/>
      <c r="H122" s="399"/>
      <c r="I122" s="399"/>
      <c r="J122" s="399"/>
    </row>
    <row r="123" spans="1:11">
      <c r="A123" s="363" t="s">
        <v>135</v>
      </c>
      <c r="B123" s="262"/>
      <c r="C123" s="399">
        <f t="shared" ref="C123:I123" si="43">C110/C93</f>
        <v>0.90067428217266321</v>
      </c>
      <c r="D123" s="399">
        <f t="shared" si="43"/>
        <v>0.87481081815486972</v>
      </c>
      <c r="E123" s="399">
        <f t="shared" si="43"/>
        <v>0.6820436877075895</v>
      </c>
      <c r="F123" s="399">
        <f t="shared" si="43"/>
        <v>0.90159854146760343</v>
      </c>
      <c r="G123" s="399">
        <f t="shared" si="43"/>
        <v>0.86871195018996816</v>
      </c>
      <c r="H123" s="399">
        <f t="shared" si="43"/>
        <v>0.85116202913278871</v>
      </c>
      <c r="I123" s="399">
        <f t="shared" si="43"/>
        <v>0.90465780616447589</v>
      </c>
      <c r="J123" s="399">
        <f t="shared" ref="J123" si="44">J110/J93</f>
        <v>0.97940058133419949</v>
      </c>
    </row>
    <row r="124" spans="1:11" ht="24">
      <c r="A124" s="257"/>
      <c r="B124" s="258" t="s">
        <v>136</v>
      </c>
      <c r="C124" s="399"/>
      <c r="D124" s="399"/>
      <c r="E124" s="399"/>
      <c r="F124" s="399"/>
      <c r="G124" s="399"/>
      <c r="H124" s="399"/>
      <c r="I124" s="399"/>
      <c r="J124" s="399"/>
    </row>
    <row r="125" spans="1:11">
      <c r="A125" s="397" t="s">
        <v>137</v>
      </c>
      <c r="B125" s="398"/>
      <c r="C125" s="399">
        <f t="shared" ref="C125:H125" si="45">C103/C110</f>
        <v>0.11027928718885699</v>
      </c>
      <c r="D125" s="399">
        <f t="shared" si="45"/>
        <v>0.14310429094735741</v>
      </c>
      <c r="E125" s="399">
        <f t="shared" si="45"/>
        <v>0.46618173882832997</v>
      </c>
      <c r="F125" s="399">
        <f t="shared" si="45"/>
        <v>0.10914110217194976</v>
      </c>
      <c r="G125" s="399">
        <f t="shared" si="45"/>
        <v>0.15112955425710678</v>
      </c>
      <c r="H125" s="399">
        <f t="shared" si="45"/>
        <v>0.17486443917012567</v>
      </c>
      <c r="I125" s="399">
        <f>I103/I110</f>
        <v>0.10539034006654001</v>
      </c>
      <c r="J125" s="399">
        <f>J103/J110</f>
        <v>2.103267963935521E-2</v>
      </c>
    </row>
    <row r="126" spans="1:11">
      <c r="A126" s="257"/>
      <c r="B126" s="258" t="s">
        <v>138</v>
      </c>
      <c r="C126" s="399"/>
      <c r="D126" s="399"/>
      <c r="E126" s="399"/>
      <c r="F126" s="399"/>
      <c r="G126" s="399"/>
      <c r="H126" s="399"/>
      <c r="I126" s="399"/>
      <c r="J126" s="399"/>
    </row>
    <row r="127" spans="1:11" s="256" customFormat="1" ht="8.1" customHeight="1">
      <c r="A127" s="267"/>
      <c r="B127" s="268"/>
      <c r="C127" s="268"/>
      <c r="D127" s="268"/>
      <c r="E127" s="268"/>
      <c r="F127" s="268"/>
      <c r="G127" s="268"/>
      <c r="H127" s="268"/>
      <c r="I127" s="268"/>
      <c r="J127" s="274"/>
      <c r="K127" s="279"/>
    </row>
    <row r="128" spans="1:11">
      <c r="A128" s="277" t="s">
        <v>139</v>
      </c>
      <c r="B128" s="278"/>
      <c r="C128" s="93">
        <v>9</v>
      </c>
      <c r="D128" s="93">
        <v>10</v>
      </c>
      <c r="E128" s="94">
        <v>7</v>
      </c>
      <c r="F128" s="94">
        <v>2</v>
      </c>
      <c r="G128" s="93">
        <v>7</v>
      </c>
      <c r="H128" s="93">
        <v>6</v>
      </c>
      <c r="I128" s="94">
        <v>7</v>
      </c>
      <c r="J128" s="94">
        <v>14</v>
      </c>
      <c r="K128" s="189">
        <f>AVERAGE(C128:J128)</f>
        <v>7.75</v>
      </c>
    </row>
    <row r="129" spans="1:11" s="256" customFormat="1" ht="8.1" customHeight="1">
      <c r="A129" s="273"/>
      <c r="B129" s="268"/>
      <c r="C129" s="268"/>
      <c r="D129" s="268"/>
      <c r="E129" s="268"/>
      <c r="F129" s="268"/>
      <c r="G129" s="268"/>
      <c r="H129" s="268"/>
      <c r="I129" s="268"/>
      <c r="J129" s="274"/>
      <c r="K129" s="282"/>
    </row>
    <row r="130" spans="1:11">
      <c r="A130" s="283" t="s">
        <v>140</v>
      </c>
      <c r="B130" s="283"/>
      <c r="C130" s="288">
        <v>30637</v>
      </c>
      <c r="D130" s="288">
        <v>64259</v>
      </c>
      <c r="E130" s="276">
        <v>25050</v>
      </c>
      <c r="F130" s="114">
        <v>67205</v>
      </c>
      <c r="G130" s="288">
        <v>57585</v>
      </c>
      <c r="H130" s="288">
        <v>32927</v>
      </c>
      <c r="I130" s="276">
        <v>65663</v>
      </c>
      <c r="J130" s="276">
        <v>77272</v>
      </c>
      <c r="K130" s="190">
        <f>AVERAGE(C130:J130)</f>
        <v>52574.75</v>
      </c>
    </row>
    <row r="131" spans="1:11">
      <c r="A131" s="275" t="s">
        <v>143</v>
      </c>
      <c r="B131" s="275"/>
      <c r="C131" s="288">
        <v>22828</v>
      </c>
      <c r="D131" s="288">
        <v>0</v>
      </c>
      <c r="E131" s="94">
        <v>0</v>
      </c>
      <c r="F131" s="114">
        <v>50474</v>
      </c>
      <c r="G131" s="288">
        <v>2295</v>
      </c>
      <c r="H131" s="288">
        <v>21489</v>
      </c>
      <c r="I131" s="276">
        <v>46644</v>
      </c>
      <c r="J131" s="276">
        <v>27693</v>
      </c>
      <c r="K131" s="190">
        <f>AVERAGE(C131:J131)</f>
        <v>21427.875</v>
      </c>
    </row>
    <row r="132" spans="1:11">
      <c r="A132" s="275" t="s">
        <v>144</v>
      </c>
      <c r="B132" s="275"/>
      <c r="C132" s="288">
        <v>53465</v>
      </c>
      <c r="D132" s="288">
        <v>64259</v>
      </c>
      <c r="E132" s="276">
        <v>25050</v>
      </c>
      <c r="F132" s="114">
        <v>117679</v>
      </c>
      <c r="G132" s="288">
        <v>59880</v>
      </c>
      <c r="H132" s="288">
        <v>54416</v>
      </c>
      <c r="I132" s="276">
        <v>112307</v>
      </c>
      <c r="J132" s="276">
        <v>104965</v>
      </c>
      <c r="K132" s="190">
        <f>AVERAGE(C132:J132)</f>
        <v>74002.625</v>
      </c>
    </row>
    <row r="135" spans="1:11" s="87" customFormat="1">
      <c r="A135" s="357"/>
      <c r="B135" s="91"/>
      <c r="K135" s="372"/>
    </row>
    <row r="136" spans="1:11" s="87" customFormat="1">
      <c r="A136" s="357"/>
      <c r="B136" s="91"/>
      <c r="K136" s="372"/>
    </row>
  </sheetData>
  <mergeCells count="60">
    <mergeCell ref="I125:I126"/>
    <mergeCell ref="J125:J126"/>
    <mergeCell ref="D125:D126"/>
    <mergeCell ref="E125:E126"/>
    <mergeCell ref="F125:F126"/>
    <mergeCell ref="G125:G126"/>
    <mergeCell ref="H125:H126"/>
    <mergeCell ref="I121:I122"/>
    <mergeCell ref="J121:J122"/>
    <mergeCell ref="D123:D124"/>
    <mergeCell ref="E123:E124"/>
    <mergeCell ref="F123:F124"/>
    <mergeCell ref="G123:G124"/>
    <mergeCell ref="H123:H124"/>
    <mergeCell ref="I123:I124"/>
    <mergeCell ref="J123:J124"/>
    <mergeCell ref="D121:D122"/>
    <mergeCell ref="E121:E122"/>
    <mergeCell ref="F121:F122"/>
    <mergeCell ref="G121:G122"/>
    <mergeCell ref="H121:H122"/>
    <mergeCell ref="J116:J117"/>
    <mergeCell ref="D118:D119"/>
    <mergeCell ref="E118:E119"/>
    <mergeCell ref="F118:F119"/>
    <mergeCell ref="G118:G119"/>
    <mergeCell ref="H118:H119"/>
    <mergeCell ref="I118:I119"/>
    <mergeCell ref="J118:J119"/>
    <mergeCell ref="E116:E117"/>
    <mergeCell ref="F116:F117"/>
    <mergeCell ref="G116:G117"/>
    <mergeCell ref="H116:H117"/>
    <mergeCell ref="I116:I117"/>
    <mergeCell ref="F114:F115"/>
    <mergeCell ref="G114:G115"/>
    <mergeCell ref="H114:H115"/>
    <mergeCell ref="I114:I115"/>
    <mergeCell ref="J114:J115"/>
    <mergeCell ref="H2:H3"/>
    <mergeCell ref="I2:I3"/>
    <mergeCell ref="J2:J3"/>
    <mergeCell ref="F2:F3"/>
    <mergeCell ref="G2:G3"/>
    <mergeCell ref="A125:B125"/>
    <mergeCell ref="A1:B3"/>
    <mergeCell ref="C2:C3"/>
    <mergeCell ref="D2:D3"/>
    <mergeCell ref="E2:E3"/>
    <mergeCell ref="A75:B76"/>
    <mergeCell ref="A114:B114"/>
    <mergeCell ref="C114:C115"/>
    <mergeCell ref="C116:C117"/>
    <mergeCell ref="C118:C119"/>
    <mergeCell ref="C121:C122"/>
    <mergeCell ref="C123:C124"/>
    <mergeCell ref="C125:C126"/>
    <mergeCell ref="D114:D115"/>
    <mergeCell ref="E114:E115"/>
    <mergeCell ref="D116:D117"/>
  </mergeCells>
  <conditionalFormatting sqref="C114:I115">
    <cfRule type="cellIs" dxfId="16" priority="4" operator="lessThan">
      <formula>0</formula>
    </cfRule>
  </conditionalFormatting>
  <conditionalFormatting sqref="C63:I63">
    <cfRule type="cellIs" dxfId="15" priority="3" operator="lessThan">
      <formula>0</formula>
    </cfRule>
  </conditionalFormatting>
  <conditionalFormatting sqref="J63">
    <cfRule type="cellIs" dxfId="14" priority="2" operator="lessThan">
      <formula>0</formula>
    </cfRule>
  </conditionalFormatting>
  <conditionalFormatting sqref="J114:J115">
    <cfRule type="cellIs" dxfId="13" priority="1" operator="lessThan">
      <formula>0</formula>
    </cfRule>
  </conditionalFormatting>
  <printOptions horizontalCentered="1"/>
  <pageMargins left="0.5" right="0.5" top="0.75" bottom="0.35" header="0.5" footer="0.15"/>
  <pageSetup scale="64" fitToWidth="2" fitToHeight="2" orientation="portrait" r:id="rId1"/>
  <headerFooter alignWithMargins="0">
    <oddHeader>&amp;C&amp;"Arial,Bold"&amp;12CLASS IV FAIRS</oddHeader>
    <oddFooter>&amp;CFairs and Expositions</oddFooter>
  </headerFooter>
  <rowBreaks count="1" manualBreakCount="1">
    <brk id="74" max="9" man="1"/>
  </rowBreaks>
  <colBreaks count="1" manualBreakCount="1">
    <brk id="8" max="13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2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H63" sqref="C63:H63"/>
    </sheetView>
  </sheetViews>
  <sheetFormatPr defaultRowHeight="12.75"/>
  <cols>
    <col min="1" max="1" width="4.7109375" style="20" customWidth="1"/>
    <col min="2" max="2" width="50.7109375" style="20" customWidth="1"/>
    <col min="3" max="5" width="12.7109375" style="20" customWidth="1"/>
    <col min="6" max="8" width="12.7109375" style="87" customWidth="1"/>
    <col min="9" max="9" width="13.42578125" style="20" customWidth="1"/>
    <col min="10" max="10" width="12.140625" style="20" customWidth="1"/>
    <col min="11" max="16384" width="9.140625" style="20"/>
  </cols>
  <sheetData>
    <row r="1" spans="1:10" ht="12" customHeight="1">
      <c r="A1" s="383"/>
      <c r="B1" s="384"/>
      <c r="C1" s="310"/>
      <c r="D1" s="310"/>
      <c r="E1" s="310"/>
      <c r="F1" s="310"/>
      <c r="G1" s="310"/>
      <c r="H1" s="311"/>
    </row>
    <row r="2" spans="1:10" ht="12" customHeight="1">
      <c r="A2" s="385"/>
      <c r="B2" s="386"/>
      <c r="C2" s="387" t="s">
        <v>193</v>
      </c>
      <c r="D2" s="387" t="s">
        <v>194</v>
      </c>
      <c r="E2" s="387" t="s">
        <v>195</v>
      </c>
      <c r="F2" s="387" t="s">
        <v>196</v>
      </c>
      <c r="G2" s="387" t="s">
        <v>197</v>
      </c>
      <c r="H2" s="389" t="s">
        <v>198</v>
      </c>
    </row>
    <row r="3" spans="1:10" ht="69" customHeight="1">
      <c r="A3" s="385"/>
      <c r="B3" s="386"/>
      <c r="C3" s="390"/>
      <c r="D3" s="387"/>
      <c r="E3" s="387"/>
      <c r="F3" s="387"/>
      <c r="G3" s="387"/>
      <c r="H3" s="389"/>
      <c r="J3" s="20" t="s">
        <v>44</v>
      </c>
    </row>
    <row r="4" spans="1:10" ht="13.5" customHeight="1">
      <c r="A4" s="22" t="s">
        <v>45</v>
      </c>
      <c r="B4" s="23"/>
      <c r="C4" s="65"/>
      <c r="D4" s="65"/>
      <c r="E4" s="65"/>
      <c r="F4" s="64"/>
      <c r="G4" s="64"/>
      <c r="H4" s="191"/>
    </row>
    <row r="5" spans="1:10" ht="13.5" customHeight="1">
      <c r="A5" s="22"/>
      <c r="B5" s="23" t="s">
        <v>46</v>
      </c>
      <c r="C5" s="25">
        <v>-344199</v>
      </c>
      <c r="D5" s="25">
        <v>61595</v>
      </c>
      <c r="E5" s="25">
        <v>195626</v>
      </c>
      <c r="F5" s="25">
        <v>92842</v>
      </c>
      <c r="G5" s="25">
        <v>-831824</v>
      </c>
      <c r="H5" s="32">
        <v>97494</v>
      </c>
    </row>
    <row r="6" spans="1:10" ht="13.5" customHeight="1">
      <c r="A6" s="22"/>
      <c r="B6" s="31" t="s">
        <v>47</v>
      </c>
      <c r="C6" s="28">
        <v>0</v>
      </c>
      <c r="D6" s="28">
        <v>0</v>
      </c>
      <c r="E6" s="28">
        <v>0</v>
      </c>
      <c r="F6" s="28">
        <v>11500</v>
      </c>
      <c r="G6" s="28">
        <v>0</v>
      </c>
      <c r="H6" s="32">
        <v>129272</v>
      </c>
    </row>
    <row r="7" spans="1:10" ht="13.5" customHeight="1">
      <c r="A7" s="22"/>
      <c r="B7" s="23" t="s">
        <v>48</v>
      </c>
      <c r="C7" s="54">
        <v>3111808</v>
      </c>
      <c r="D7" s="28">
        <v>1238121</v>
      </c>
      <c r="E7" s="29">
        <v>3899759</v>
      </c>
      <c r="F7" s="28">
        <v>0</v>
      </c>
      <c r="G7" s="28">
        <v>1004837</v>
      </c>
      <c r="H7" s="32">
        <v>802052</v>
      </c>
    </row>
    <row r="8" spans="1:10" ht="13.5" customHeight="1">
      <c r="A8" s="22"/>
      <c r="B8" s="23" t="s">
        <v>49</v>
      </c>
      <c r="C8" s="150">
        <v>0</v>
      </c>
      <c r="D8" s="119">
        <v>-245541</v>
      </c>
      <c r="E8" s="118">
        <v>0</v>
      </c>
      <c r="F8" s="119">
        <v>0</v>
      </c>
      <c r="G8" s="33">
        <v>325248</v>
      </c>
      <c r="H8" s="35">
        <v>-144320</v>
      </c>
      <c r="J8" s="36">
        <f>SUM(C8:E8)</f>
        <v>-245541</v>
      </c>
    </row>
    <row r="9" spans="1:10" s="40" customFormat="1" ht="13.5" customHeight="1" thickBot="1">
      <c r="A9" s="56"/>
      <c r="B9" s="153" t="s">
        <v>50</v>
      </c>
      <c r="C9" s="109">
        <f t="shared" ref="C9:H9" si="0">SUM(C5:C8)</f>
        <v>2767609</v>
      </c>
      <c r="D9" s="109">
        <f t="shared" si="0"/>
        <v>1054175</v>
      </c>
      <c r="E9" s="109">
        <f t="shared" si="0"/>
        <v>4095385</v>
      </c>
      <c r="F9" s="109">
        <f t="shared" si="0"/>
        <v>104342</v>
      </c>
      <c r="G9" s="109">
        <f t="shared" si="0"/>
        <v>498261</v>
      </c>
      <c r="H9" s="110">
        <f t="shared" si="0"/>
        <v>884498</v>
      </c>
      <c r="J9" s="36">
        <f>SUM(C9:E9)</f>
        <v>7917169</v>
      </c>
    </row>
    <row r="10" spans="1:10" s="40" customFormat="1" ht="13.5" customHeight="1">
      <c r="A10" s="62" t="s">
        <v>51</v>
      </c>
      <c r="B10" s="63"/>
      <c r="C10" s="70"/>
      <c r="D10" s="70"/>
      <c r="E10" s="70"/>
      <c r="F10" s="70"/>
      <c r="G10" s="70"/>
      <c r="H10" s="71"/>
    </row>
    <row r="11" spans="1:10" s="40" customFormat="1" ht="13.5" customHeight="1">
      <c r="A11" s="41"/>
      <c r="B11" s="42" t="s">
        <v>52</v>
      </c>
      <c r="C11" s="43">
        <v>0</v>
      </c>
      <c r="D11" s="43">
        <v>0</v>
      </c>
      <c r="E11" s="43">
        <v>30000</v>
      </c>
      <c r="F11" s="43">
        <v>0</v>
      </c>
      <c r="G11" s="43">
        <v>30000</v>
      </c>
      <c r="H11" s="44">
        <v>0</v>
      </c>
      <c r="J11" s="36">
        <f>SUM(C11:E11)</f>
        <v>30000</v>
      </c>
    </row>
    <row r="12" spans="1:10" s="40" customFormat="1" ht="13.5" customHeight="1">
      <c r="A12" s="41"/>
      <c r="B12" s="42" t="s">
        <v>53</v>
      </c>
      <c r="C12" s="43">
        <v>0</v>
      </c>
      <c r="D12" s="43">
        <v>0</v>
      </c>
      <c r="E12" s="43">
        <v>6000</v>
      </c>
      <c r="F12" s="43">
        <v>0</v>
      </c>
      <c r="G12" s="43">
        <v>0</v>
      </c>
      <c r="H12" s="44">
        <v>0</v>
      </c>
      <c r="J12" s="36">
        <f>SUM(C12:E12)</f>
        <v>6000</v>
      </c>
    </row>
    <row r="13" spans="1:10" s="40" customFormat="1" ht="13.5" customHeight="1" thickBot="1">
      <c r="A13" s="292"/>
      <c r="B13" s="57" t="s">
        <v>54</v>
      </c>
      <c r="C13" s="58">
        <v>0</v>
      </c>
      <c r="D13" s="58">
        <v>0</v>
      </c>
      <c r="E13" s="58">
        <v>645</v>
      </c>
      <c r="F13" s="58">
        <v>548144</v>
      </c>
      <c r="G13" s="58">
        <v>0</v>
      </c>
      <c r="H13" s="152">
        <v>1200</v>
      </c>
      <c r="J13" s="36">
        <f>SUM(C13:E13)</f>
        <v>645</v>
      </c>
    </row>
    <row r="14" spans="1:10" ht="13.5" customHeight="1">
      <c r="A14" s="45" t="s">
        <v>55</v>
      </c>
      <c r="B14" s="46"/>
      <c r="C14" s="48"/>
      <c r="D14" s="48"/>
      <c r="E14" s="48"/>
      <c r="F14" s="47"/>
      <c r="G14" s="47"/>
      <c r="H14" s="192"/>
    </row>
    <row r="15" spans="1:10" ht="13.5" customHeight="1">
      <c r="A15" s="51"/>
      <c r="B15" s="52" t="s">
        <v>56</v>
      </c>
      <c r="C15" s="53">
        <v>0</v>
      </c>
      <c r="D15" s="53">
        <v>1086289</v>
      </c>
      <c r="E15" s="53">
        <v>311440</v>
      </c>
      <c r="F15" s="33">
        <v>1049977</v>
      </c>
      <c r="G15" s="33">
        <v>145093</v>
      </c>
      <c r="H15" s="35">
        <v>180993</v>
      </c>
    </row>
    <row r="16" spans="1:10" ht="13.5" customHeight="1">
      <c r="A16" s="51"/>
      <c r="B16" s="52" t="s">
        <v>57</v>
      </c>
      <c r="C16" s="53">
        <v>0</v>
      </c>
      <c r="D16" s="53">
        <v>75050</v>
      </c>
      <c r="E16" s="53">
        <v>81792</v>
      </c>
      <c r="F16" s="33">
        <v>276979</v>
      </c>
      <c r="G16" s="33">
        <v>51501</v>
      </c>
      <c r="H16" s="35">
        <v>41900</v>
      </c>
    </row>
    <row r="17" spans="1:12" ht="13.5" customHeight="1">
      <c r="A17" s="51"/>
      <c r="B17" s="52" t="s">
        <v>58</v>
      </c>
      <c r="C17" s="53">
        <v>0</v>
      </c>
      <c r="D17" s="53">
        <v>432755</v>
      </c>
      <c r="E17" s="53">
        <v>279402</v>
      </c>
      <c r="F17" s="33">
        <v>879049</v>
      </c>
      <c r="G17" s="33">
        <v>24176</v>
      </c>
      <c r="H17" s="35">
        <v>88524</v>
      </c>
    </row>
    <row r="18" spans="1:12" ht="13.5" customHeight="1">
      <c r="A18" s="51"/>
      <c r="B18" s="52" t="s">
        <v>59</v>
      </c>
      <c r="C18" s="53">
        <v>0</v>
      </c>
      <c r="D18" s="53">
        <v>753303</v>
      </c>
      <c r="E18" s="53">
        <v>0</v>
      </c>
      <c r="F18" s="33">
        <v>469151</v>
      </c>
      <c r="G18" s="33">
        <v>51096</v>
      </c>
      <c r="H18" s="35">
        <v>70353</v>
      </c>
    </row>
    <row r="19" spans="1:12" ht="13.5" customHeight="1">
      <c r="A19" s="51"/>
      <c r="B19" s="52" t="s">
        <v>60</v>
      </c>
      <c r="C19" s="53">
        <v>0</v>
      </c>
      <c r="D19" s="53">
        <v>80014</v>
      </c>
      <c r="E19" s="53">
        <v>26685</v>
      </c>
      <c r="F19" s="33">
        <v>17346</v>
      </c>
      <c r="G19" s="33">
        <v>14720</v>
      </c>
      <c r="H19" s="35">
        <v>14433</v>
      </c>
    </row>
    <row r="20" spans="1:12" ht="13.5" customHeight="1">
      <c r="A20" s="51"/>
      <c r="B20" s="52" t="s">
        <v>61</v>
      </c>
      <c r="C20" s="53">
        <v>0</v>
      </c>
      <c r="D20" s="53">
        <v>16175</v>
      </c>
      <c r="E20" s="53">
        <v>0</v>
      </c>
      <c r="F20" s="33">
        <v>0</v>
      </c>
      <c r="G20" s="33">
        <v>0</v>
      </c>
      <c r="H20" s="35">
        <v>0</v>
      </c>
    </row>
    <row r="21" spans="1:12" ht="13.5" customHeight="1">
      <c r="A21" s="51"/>
      <c r="B21" s="52" t="s">
        <v>62</v>
      </c>
      <c r="C21" s="54">
        <v>589481</v>
      </c>
      <c r="D21" s="54">
        <v>0</v>
      </c>
      <c r="E21" s="54">
        <v>0</v>
      </c>
      <c r="F21" s="28">
        <v>0</v>
      </c>
      <c r="G21" s="28">
        <v>0</v>
      </c>
      <c r="H21" s="32">
        <v>0</v>
      </c>
    </row>
    <row r="22" spans="1:12" ht="13.5" customHeight="1">
      <c r="A22" s="51"/>
      <c r="B22" s="52" t="s">
        <v>63</v>
      </c>
      <c r="C22" s="53">
        <v>733033</v>
      </c>
      <c r="D22" s="53">
        <v>204795</v>
      </c>
      <c r="E22" s="53">
        <v>685074</v>
      </c>
      <c r="F22" s="33">
        <v>148694</v>
      </c>
      <c r="G22" s="33">
        <v>1397294</v>
      </c>
      <c r="H22" s="35">
        <v>605117</v>
      </c>
    </row>
    <row r="23" spans="1:12" ht="13.5" customHeight="1">
      <c r="A23" s="51"/>
      <c r="B23" s="52" t="s">
        <v>64</v>
      </c>
      <c r="C23" s="53">
        <v>0</v>
      </c>
      <c r="D23" s="53">
        <v>210320</v>
      </c>
      <c r="E23" s="53">
        <v>0</v>
      </c>
      <c r="F23" s="33">
        <v>0</v>
      </c>
      <c r="G23" s="33">
        <v>0</v>
      </c>
      <c r="H23" s="35">
        <v>0</v>
      </c>
    </row>
    <row r="24" spans="1:12" ht="13.5" customHeight="1">
      <c r="A24" s="51"/>
      <c r="B24" s="52" t="s">
        <v>65</v>
      </c>
      <c r="C24" s="53">
        <v>0</v>
      </c>
      <c r="D24" s="53">
        <v>0</v>
      </c>
      <c r="E24" s="53">
        <v>0</v>
      </c>
      <c r="F24" s="33">
        <v>0</v>
      </c>
      <c r="G24" s="33">
        <v>0</v>
      </c>
      <c r="H24" s="35">
        <v>0</v>
      </c>
    </row>
    <row r="25" spans="1:12" ht="13.5" customHeight="1">
      <c r="A25" s="51"/>
      <c r="B25" s="52" t="s">
        <v>66</v>
      </c>
      <c r="C25" s="53">
        <v>0</v>
      </c>
      <c r="D25" s="53">
        <v>0</v>
      </c>
      <c r="E25" s="53">
        <v>142077</v>
      </c>
      <c r="F25" s="33">
        <v>0</v>
      </c>
      <c r="G25" s="33">
        <v>0</v>
      </c>
      <c r="H25" s="35">
        <v>0</v>
      </c>
    </row>
    <row r="26" spans="1:12" ht="13.5" customHeight="1">
      <c r="A26" s="51"/>
      <c r="B26" s="52" t="s">
        <v>67</v>
      </c>
      <c r="C26" s="53">
        <v>22151</v>
      </c>
      <c r="D26" s="53">
        <v>499669</v>
      </c>
      <c r="E26" s="53">
        <v>154507</v>
      </c>
      <c r="F26" s="33">
        <v>575157</v>
      </c>
      <c r="G26" s="33">
        <v>237221</v>
      </c>
      <c r="H26" s="35">
        <v>91340</v>
      </c>
    </row>
    <row r="27" spans="1:12" ht="13.5" customHeight="1">
      <c r="A27" s="51"/>
      <c r="B27" s="52" t="s">
        <v>168</v>
      </c>
      <c r="C27" s="53">
        <v>0</v>
      </c>
      <c r="D27" s="53">
        <v>0</v>
      </c>
      <c r="E27" s="53">
        <v>0</v>
      </c>
      <c r="F27" s="33">
        <v>0</v>
      </c>
      <c r="G27" s="33">
        <v>0</v>
      </c>
      <c r="H27" s="35">
        <v>24152</v>
      </c>
    </row>
    <row r="28" spans="1:12" ht="13.5" customHeight="1">
      <c r="A28" s="51"/>
      <c r="B28" s="52" t="s">
        <v>69</v>
      </c>
      <c r="C28" s="53">
        <v>901342</v>
      </c>
      <c r="D28" s="53">
        <v>493535</v>
      </c>
      <c r="E28" s="53">
        <v>738448</v>
      </c>
      <c r="F28" s="33">
        <v>332574</v>
      </c>
      <c r="G28" s="33">
        <v>2591495</v>
      </c>
      <c r="H28" s="35">
        <v>750489</v>
      </c>
      <c r="J28" s="36">
        <f>SUM(C28:E28)</f>
        <v>2133325</v>
      </c>
    </row>
    <row r="29" spans="1:12" ht="13.5" customHeight="1">
      <c r="A29" s="51"/>
      <c r="B29" s="52" t="s">
        <v>70</v>
      </c>
      <c r="C29" s="53">
        <v>-12550</v>
      </c>
      <c r="D29" s="53">
        <v>-19682</v>
      </c>
      <c r="E29" s="53">
        <v>12100</v>
      </c>
      <c r="F29" s="33">
        <v>0</v>
      </c>
      <c r="G29" s="33">
        <v>0</v>
      </c>
      <c r="H29" s="35">
        <v>0</v>
      </c>
      <c r="J29" s="36">
        <f>SUM(C29:E29)</f>
        <v>-20132</v>
      </c>
    </row>
    <row r="30" spans="1:12" ht="13.5" customHeight="1">
      <c r="A30" s="51"/>
      <c r="B30" s="52" t="s">
        <v>71</v>
      </c>
      <c r="C30" s="54">
        <v>0</v>
      </c>
      <c r="D30" s="54">
        <v>42680</v>
      </c>
      <c r="E30" s="54">
        <v>390</v>
      </c>
      <c r="F30" s="28">
        <v>28149</v>
      </c>
      <c r="G30" s="28">
        <v>2228691</v>
      </c>
      <c r="H30" s="32">
        <v>1022002</v>
      </c>
      <c r="J30" s="36">
        <f>SUM(C30:E30)</f>
        <v>43070</v>
      </c>
      <c r="K30" s="36">
        <f>+J30+J29+J8</f>
        <v>-222603</v>
      </c>
      <c r="L30" s="20" t="s">
        <v>72</v>
      </c>
    </row>
    <row r="31" spans="1:12" s="40" customFormat="1" ht="13.5" customHeight="1" thickBot="1">
      <c r="A31" s="56" t="s">
        <v>73</v>
      </c>
      <c r="B31" s="57"/>
      <c r="C31" s="58">
        <f t="shared" ref="C31:H31" si="1">SUM(C15:C30)</f>
        <v>2233457</v>
      </c>
      <c r="D31" s="58">
        <f t="shared" si="1"/>
        <v>3874903</v>
      </c>
      <c r="E31" s="58">
        <f t="shared" si="1"/>
        <v>2431915</v>
      </c>
      <c r="F31" s="58">
        <f t="shared" si="1"/>
        <v>3777076</v>
      </c>
      <c r="G31" s="58">
        <f t="shared" si="1"/>
        <v>6741287</v>
      </c>
      <c r="H31" s="152">
        <f t="shared" si="1"/>
        <v>2889303</v>
      </c>
      <c r="I31" s="183">
        <f>AVERAGE(C31:H31)</f>
        <v>3657990.1666666665</v>
      </c>
      <c r="J31" s="59">
        <f>SUM(C31:E31)+SUM(C11:E13)</f>
        <v>8576920</v>
      </c>
    </row>
    <row r="32" spans="1:12" ht="13.5" customHeight="1">
      <c r="A32" s="45" t="s">
        <v>75</v>
      </c>
      <c r="B32" s="46"/>
      <c r="C32" s="48"/>
      <c r="D32" s="48"/>
      <c r="E32" s="48"/>
      <c r="F32" s="47"/>
      <c r="G32" s="47"/>
      <c r="H32" s="192"/>
    </row>
    <row r="33" spans="1:10" ht="13.5" customHeight="1">
      <c r="A33" s="51"/>
      <c r="B33" s="52" t="s">
        <v>76</v>
      </c>
      <c r="C33" s="53">
        <v>397002</v>
      </c>
      <c r="D33" s="53">
        <v>707382</v>
      </c>
      <c r="E33" s="53">
        <v>524177</v>
      </c>
      <c r="F33" s="33">
        <v>1519696</v>
      </c>
      <c r="G33" s="33">
        <v>1656637</v>
      </c>
      <c r="H33" s="35">
        <v>577833</v>
      </c>
      <c r="J33" s="36">
        <f>SUM(C33:E33)</f>
        <v>1628561</v>
      </c>
    </row>
    <row r="34" spans="1:10" ht="13.5" customHeight="1">
      <c r="A34" s="51"/>
      <c r="B34" s="52" t="s">
        <v>77</v>
      </c>
      <c r="C34" s="53">
        <v>681486</v>
      </c>
      <c r="D34" s="53">
        <v>833402</v>
      </c>
      <c r="E34" s="53">
        <v>282856</v>
      </c>
      <c r="F34" s="33">
        <v>832449</v>
      </c>
      <c r="G34" s="33">
        <v>3049672</v>
      </c>
      <c r="H34" s="35">
        <v>523875</v>
      </c>
      <c r="J34" s="36">
        <f>SUM(C34:E34)</f>
        <v>1797744</v>
      </c>
    </row>
    <row r="35" spans="1:10" ht="13.5" customHeight="1">
      <c r="A35" s="51"/>
      <c r="B35" s="52" t="s">
        <v>78</v>
      </c>
      <c r="C35" s="53">
        <v>23360</v>
      </c>
      <c r="D35" s="53">
        <v>248434</v>
      </c>
      <c r="E35" s="53">
        <v>120924</v>
      </c>
      <c r="F35" s="33">
        <v>198313</v>
      </c>
      <c r="G35" s="33">
        <v>153927</v>
      </c>
      <c r="H35" s="35">
        <v>130375</v>
      </c>
    </row>
    <row r="36" spans="1:10" ht="13.5" customHeight="1">
      <c r="A36" s="51"/>
      <c r="B36" s="52" t="s">
        <v>79</v>
      </c>
      <c r="C36" s="53">
        <v>387</v>
      </c>
      <c r="D36" s="53">
        <v>357537</v>
      </c>
      <c r="E36" s="53">
        <v>156113</v>
      </c>
      <c r="F36" s="33">
        <v>364566</v>
      </c>
      <c r="G36" s="33">
        <v>63065</v>
      </c>
      <c r="H36" s="35">
        <v>34729</v>
      </c>
    </row>
    <row r="37" spans="1:10" ht="13.5" customHeight="1">
      <c r="A37" s="51"/>
      <c r="B37" s="52" t="s">
        <v>67</v>
      </c>
      <c r="C37" s="53">
        <v>722</v>
      </c>
      <c r="D37" s="53">
        <v>106520</v>
      </c>
      <c r="E37" s="53">
        <v>7763</v>
      </c>
      <c r="F37" s="33">
        <v>226690</v>
      </c>
      <c r="G37" s="33">
        <v>45147</v>
      </c>
      <c r="H37" s="35">
        <v>226254</v>
      </c>
    </row>
    <row r="38" spans="1:10" ht="13.5" customHeight="1">
      <c r="A38" s="51"/>
      <c r="B38" s="52" t="s">
        <v>80</v>
      </c>
      <c r="C38" s="53">
        <v>0</v>
      </c>
      <c r="D38" s="53">
        <v>0</v>
      </c>
      <c r="E38" s="53">
        <v>47968</v>
      </c>
      <c r="F38" s="33">
        <v>0</v>
      </c>
      <c r="G38" s="33">
        <v>0</v>
      </c>
      <c r="H38" s="35">
        <v>25665</v>
      </c>
    </row>
    <row r="39" spans="1:10" ht="13.5" customHeight="1">
      <c r="A39" s="51"/>
      <c r="B39" s="52" t="s">
        <v>81</v>
      </c>
      <c r="C39" s="53">
        <v>0</v>
      </c>
      <c r="D39" s="53">
        <v>89311</v>
      </c>
      <c r="E39" s="53">
        <v>18156</v>
      </c>
      <c r="F39" s="33">
        <v>32237</v>
      </c>
      <c r="G39" s="33">
        <v>30530</v>
      </c>
      <c r="H39" s="35">
        <v>28814</v>
      </c>
    </row>
    <row r="40" spans="1:10" ht="13.5" customHeight="1">
      <c r="A40" s="51"/>
      <c r="B40" s="52" t="s">
        <v>60</v>
      </c>
      <c r="C40" s="53">
        <v>0</v>
      </c>
      <c r="D40" s="53">
        <v>267736</v>
      </c>
      <c r="E40" s="53">
        <v>219337</v>
      </c>
      <c r="F40" s="33">
        <v>66650</v>
      </c>
      <c r="G40" s="33">
        <v>36161</v>
      </c>
      <c r="H40" s="35">
        <v>81692</v>
      </c>
    </row>
    <row r="41" spans="1:10" ht="13.5" customHeight="1">
      <c r="A41" s="51"/>
      <c r="B41" s="52" t="s">
        <v>61</v>
      </c>
      <c r="C41" s="53">
        <v>0</v>
      </c>
      <c r="D41" s="53">
        <v>28845</v>
      </c>
      <c r="E41" s="53">
        <v>0</v>
      </c>
      <c r="F41" s="33">
        <v>0</v>
      </c>
      <c r="G41" s="33">
        <v>0</v>
      </c>
      <c r="H41" s="35">
        <v>0</v>
      </c>
    </row>
    <row r="42" spans="1:10" ht="13.5" customHeight="1">
      <c r="A42" s="51"/>
      <c r="B42" s="52" t="s">
        <v>62</v>
      </c>
      <c r="C42" s="53">
        <v>674909</v>
      </c>
      <c r="D42" s="53">
        <v>31778</v>
      </c>
      <c r="E42" s="53">
        <v>0</v>
      </c>
      <c r="F42" s="33">
        <v>0</v>
      </c>
      <c r="G42" s="33">
        <v>0</v>
      </c>
      <c r="H42" s="35">
        <v>0</v>
      </c>
    </row>
    <row r="43" spans="1:10" ht="13.5" customHeight="1">
      <c r="A43" s="51"/>
      <c r="B43" s="52" t="s">
        <v>63</v>
      </c>
      <c r="C43" s="53">
        <v>452483</v>
      </c>
      <c r="D43" s="53">
        <v>249807</v>
      </c>
      <c r="E43" s="53">
        <v>528465</v>
      </c>
      <c r="F43" s="33">
        <v>237960</v>
      </c>
      <c r="G43" s="33">
        <v>1057045</v>
      </c>
      <c r="H43" s="35">
        <v>384349</v>
      </c>
    </row>
    <row r="44" spans="1:10" ht="13.5" customHeight="1">
      <c r="A44" s="51"/>
      <c r="B44" s="52" t="s">
        <v>82</v>
      </c>
      <c r="C44" s="53">
        <v>125</v>
      </c>
      <c r="D44" s="53">
        <v>920580</v>
      </c>
      <c r="E44" s="53">
        <v>379211</v>
      </c>
      <c r="F44" s="33">
        <v>852388</v>
      </c>
      <c r="G44" s="33">
        <v>137808</v>
      </c>
      <c r="H44" s="35">
        <v>228254</v>
      </c>
    </row>
    <row r="45" spans="1:10" ht="13.5" customHeight="1">
      <c r="A45" s="51"/>
      <c r="B45" s="52" t="s">
        <v>65</v>
      </c>
      <c r="C45" s="53">
        <v>0</v>
      </c>
      <c r="D45" s="53">
        <v>0</v>
      </c>
      <c r="E45" s="53">
        <v>0</v>
      </c>
      <c r="F45" s="33">
        <v>0</v>
      </c>
      <c r="G45" s="33">
        <v>0</v>
      </c>
      <c r="H45" s="35">
        <v>0</v>
      </c>
    </row>
    <row r="46" spans="1:10" ht="13.5" customHeight="1">
      <c r="A46" s="51"/>
      <c r="B46" s="52" t="s">
        <v>83</v>
      </c>
      <c r="C46" s="53">
        <v>0</v>
      </c>
      <c r="D46" s="53">
        <v>0</v>
      </c>
      <c r="E46" s="53">
        <v>0</v>
      </c>
      <c r="F46" s="33">
        <v>579</v>
      </c>
      <c r="G46" s="33">
        <v>0</v>
      </c>
      <c r="H46" s="35">
        <v>0</v>
      </c>
    </row>
    <row r="47" spans="1:10" ht="13.5" customHeight="1">
      <c r="A47" s="51"/>
      <c r="B47" s="52" t="s">
        <v>84</v>
      </c>
      <c r="C47" s="53">
        <v>0</v>
      </c>
      <c r="D47" s="53">
        <v>6317</v>
      </c>
      <c r="E47" s="53">
        <v>0</v>
      </c>
      <c r="F47" s="33">
        <v>0</v>
      </c>
      <c r="G47" s="33">
        <v>0</v>
      </c>
      <c r="H47" s="35">
        <v>11975</v>
      </c>
    </row>
    <row r="48" spans="1:10" ht="13.5" customHeight="1">
      <c r="A48" s="51"/>
      <c r="B48" s="52" t="s">
        <v>85</v>
      </c>
      <c r="C48" s="53">
        <v>9422</v>
      </c>
      <c r="D48" s="53">
        <v>21024</v>
      </c>
      <c r="E48" s="53">
        <v>-1797</v>
      </c>
      <c r="F48" s="33">
        <v>0</v>
      </c>
      <c r="G48" s="33">
        <v>0</v>
      </c>
      <c r="H48" s="35">
        <v>0</v>
      </c>
    </row>
    <row r="49" spans="1:10" ht="13.5" customHeight="1">
      <c r="A49" s="51"/>
      <c r="B49" s="52" t="s">
        <v>86</v>
      </c>
      <c r="C49" s="53">
        <v>-275</v>
      </c>
      <c r="D49" s="53">
        <v>-1853</v>
      </c>
      <c r="E49" s="53">
        <v>-107</v>
      </c>
      <c r="F49" s="33">
        <v>260</v>
      </c>
      <c r="G49" s="33">
        <v>0</v>
      </c>
      <c r="H49" s="35">
        <v>475</v>
      </c>
    </row>
    <row r="50" spans="1:10" ht="13.5" customHeight="1">
      <c r="A50" s="51"/>
      <c r="B50" s="52" t="s">
        <v>87</v>
      </c>
      <c r="C50" s="53">
        <v>0</v>
      </c>
      <c r="D50" s="53">
        <v>17761</v>
      </c>
      <c r="E50" s="53">
        <v>0</v>
      </c>
      <c r="F50" s="33">
        <v>0</v>
      </c>
      <c r="G50" s="33">
        <v>0</v>
      </c>
      <c r="H50" s="35">
        <v>479588</v>
      </c>
    </row>
    <row r="51" spans="1:10" s="40" customFormat="1" ht="13.5" customHeight="1" thickBot="1">
      <c r="A51" s="56" t="s">
        <v>88</v>
      </c>
      <c r="B51" s="57"/>
      <c r="C51" s="58">
        <f t="shared" ref="C51:H51" si="2">SUM(C33:C50)</f>
        <v>2239621</v>
      </c>
      <c r="D51" s="58">
        <f t="shared" si="2"/>
        <v>3884581</v>
      </c>
      <c r="E51" s="58">
        <f t="shared" si="2"/>
        <v>2283066</v>
      </c>
      <c r="F51" s="58">
        <f t="shared" si="2"/>
        <v>4331788</v>
      </c>
      <c r="G51" s="58">
        <f t="shared" si="2"/>
        <v>6229992</v>
      </c>
      <c r="H51" s="152">
        <f t="shared" si="2"/>
        <v>2733878</v>
      </c>
      <c r="I51" s="183">
        <f>AVERAGE(C51:H51)</f>
        <v>3617154.3333333335</v>
      </c>
      <c r="J51" s="59">
        <f>+SUM(C51:E51)+SUM(C53:E53)</f>
        <v>9167644</v>
      </c>
    </row>
    <row r="52" spans="1:10" ht="13.5" customHeight="1">
      <c r="A52" s="120" t="s">
        <v>89</v>
      </c>
      <c r="B52" s="121"/>
      <c r="C52" s="122"/>
      <c r="D52" s="122"/>
      <c r="E52" s="122"/>
      <c r="F52" s="123"/>
      <c r="G52" s="123"/>
      <c r="H52" s="193"/>
      <c r="I52" s="137"/>
    </row>
    <row r="53" spans="1:10" s="40" customFormat="1" ht="13.5" customHeight="1">
      <c r="A53" s="41"/>
      <c r="B53" s="42" t="s">
        <v>90</v>
      </c>
      <c r="C53" s="43">
        <v>270862</v>
      </c>
      <c r="D53" s="43">
        <v>86236</v>
      </c>
      <c r="E53" s="43">
        <v>403278</v>
      </c>
      <c r="F53" s="43">
        <v>0</v>
      </c>
      <c r="G53" s="43">
        <v>158477</v>
      </c>
      <c r="H53" s="44">
        <v>232479</v>
      </c>
      <c r="I53" s="194"/>
      <c r="J53" s="36">
        <f>SUM(C53:E53)</f>
        <v>760376</v>
      </c>
    </row>
    <row r="54" spans="1:10" s="40" customFormat="1" ht="13.5" customHeight="1">
      <c r="A54" s="62" t="s">
        <v>91</v>
      </c>
      <c r="B54" s="63"/>
      <c r="C54" s="70">
        <f t="shared" ref="C54:H54" si="3">+C31-C51</f>
        <v>-6164</v>
      </c>
      <c r="D54" s="70">
        <f t="shared" si="3"/>
        <v>-9678</v>
      </c>
      <c r="E54" s="70">
        <f t="shared" si="3"/>
        <v>148849</v>
      </c>
      <c r="F54" s="70">
        <f t="shared" si="3"/>
        <v>-554712</v>
      </c>
      <c r="G54" s="70">
        <f t="shared" si="3"/>
        <v>511295</v>
      </c>
      <c r="H54" s="71">
        <f t="shared" si="3"/>
        <v>155425</v>
      </c>
      <c r="I54" s="183">
        <f>AVERAGE(C54:H54)</f>
        <v>40835.833333333336</v>
      </c>
    </row>
    <row r="55" spans="1:10" s="40" customFormat="1" ht="13.5" customHeight="1">
      <c r="A55" s="62" t="s">
        <v>92</v>
      </c>
      <c r="B55" s="63"/>
      <c r="C55" s="70">
        <f t="shared" ref="C55:H55" si="4">+C54-C53</f>
        <v>-277026</v>
      </c>
      <c r="D55" s="70">
        <f t="shared" si="4"/>
        <v>-95914</v>
      </c>
      <c r="E55" s="70">
        <f t="shared" si="4"/>
        <v>-254429</v>
      </c>
      <c r="F55" s="70">
        <f t="shared" si="4"/>
        <v>-554712</v>
      </c>
      <c r="G55" s="70">
        <f t="shared" si="4"/>
        <v>352818</v>
      </c>
      <c r="H55" s="71">
        <f t="shared" si="4"/>
        <v>-77054</v>
      </c>
      <c r="I55" s="183">
        <f>AVERAGE(C55:H55)</f>
        <v>-151052.83333333334</v>
      </c>
    </row>
    <row r="56" spans="1:10" s="40" customFormat="1" ht="13.5" customHeight="1">
      <c r="A56" s="62" t="s">
        <v>93</v>
      </c>
      <c r="B56" s="63"/>
      <c r="C56" s="70">
        <f t="shared" ref="C56:H56" si="5">C11+C12+C13+C31-C51</f>
        <v>-6164</v>
      </c>
      <c r="D56" s="70">
        <f t="shared" si="5"/>
        <v>-9678</v>
      </c>
      <c r="E56" s="70">
        <f t="shared" si="5"/>
        <v>185494</v>
      </c>
      <c r="F56" s="70">
        <f t="shared" si="5"/>
        <v>-6568</v>
      </c>
      <c r="G56" s="70">
        <f t="shared" si="5"/>
        <v>541295</v>
      </c>
      <c r="H56" s="71">
        <f t="shared" si="5"/>
        <v>156625</v>
      </c>
      <c r="I56" s="183">
        <f>AVERAGE(C56:H56)</f>
        <v>143500.66666666666</v>
      </c>
    </row>
    <row r="57" spans="1:10" s="40" customFormat="1" ht="13.5" customHeight="1">
      <c r="A57" s="62" t="s">
        <v>94</v>
      </c>
      <c r="B57" s="63"/>
      <c r="C57" s="70">
        <f t="shared" ref="C57:H57" si="6">+C11+C12+C13+C31-C51-C53</f>
        <v>-277026</v>
      </c>
      <c r="D57" s="70">
        <f t="shared" si="6"/>
        <v>-95914</v>
      </c>
      <c r="E57" s="70">
        <f t="shared" si="6"/>
        <v>-217784</v>
      </c>
      <c r="F57" s="70">
        <f t="shared" si="6"/>
        <v>-6568</v>
      </c>
      <c r="G57" s="70">
        <f t="shared" si="6"/>
        <v>382818</v>
      </c>
      <c r="H57" s="71">
        <f t="shared" si="6"/>
        <v>-75854</v>
      </c>
      <c r="I57" s="183">
        <f>AVERAGE(C57:H57)</f>
        <v>-48388</v>
      </c>
      <c r="J57" s="59">
        <f>SUM(C57:E57)</f>
        <v>-590724</v>
      </c>
    </row>
    <row r="58" spans="1:10" ht="13.5" customHeight="1">
      <c r="A58" s="22" t="s">
        <v>95</v>
      </c>
      <c r="B58" s="23"/>
      <c r="C58" s="65"/>
      <c r="D58" s="65"/>
      <c r="E58" s="65"/>
      <c r="F58" s="64"/>
      <c r="G58" s="64"/>
      <c r="H58" s="67"/>
    </row>
    <row r="59" spans="1:10" ht="13.5" customHeight="1">
      <c r="A59" s="45"/>
      <c r="B59" s="46" t="s">
        <v>46</v>
      </c>
      <c r="C59" s="54">
        <v>-361088</v>
      </c>
      <c r="D59" s="28">
        <v>-226436</v>
      </c>
      <c r="E59" s="29">
        <v>299492</v>
      </c>
      <c r="F59" s="28">
        <v>86274</v>
      </c>
      <c r="G59" s="28">
        <v>-241014</v>
      </c>
      <c r="H59" s="32">
        <v>2371</v>
      </c>
      <c r="I59" s="137">
        <f>SUM(C59:H59)/6</f>
        <v>-73400.166666666672</v>
      </c>
    </row>
    <row r="60" spans="1:10" ht="13.5" customHeight="1">
      <c r="A60" s="45"/>
      <c r="B60" s="46" t="s">
        <v>47</v>
      </c>
      <c r="C60" s="54">
        <v>0</v>
      </c>
      <c r="D60" s="28">
        <v>0</v>
      </c>
      <c r="E60" s="29">
        <v>0</v>
      </c>
      <c r="F60" s="28">
        <v>11500</v>
      </c>
      <c r="G60" s="28">
        <v>0</v>
      </c>
      <c r="H60" s="32">
        <v>67988</v>
      </c>
      <c r="I60" s="36"/>
    </row>
    <row r="61" spans="1:10" s="68" customFormat="1" ht="13.5" customHeight="1">
      <c r="A61" s="45"/>
      <c r="B61" s="46" t="s">
        <v>48</v>
      </c>
      <c r="C61" s="54">
        <v>2851672</v>
      </c>
      <c r="D61" s="28">
        <v>1184696</v>
      </c>
      <c r="E61" s="29">
        <v>3578106</v>
      </c>
      <c r="F61" s="28">
        <v>0</v>
      </c>
      <c r="G61" s="28">
        <v>1122096</v>
      </c>
      <c r="H61" s="32">
        <v>738285</v>
      </c>
      <c r="I61" s="156">
        <f>MAX(C59:H59)</f>
        <v>299492</v>
      </c>
    </row>
    <row r="62" spans="1:10" s="40" customFormat="1" ht="13.5" customHeight="1">
      <c r="A62" s="62"/>
      <c r="B62" s="69" t="s">
        <v>50</v>
      </c>
      <c r="C62" s="97">
        <f t="shared" ref="C62:H62" si="7">SUM(C59:C61)</f>
        <v>2490584</v>
      </c>
      <c r="D62" s="97">
        <f t="shared" si="7"/>
        <v>958260</v>
      </c>
      <c r="E62" s="97">
        <f t="shared" si="7"/>
        <v>3877598</v>
      </c>
      <c r="F62" s="97">
        <f t="shared" si="7"/>
        <v>97774</v>
      </c>
      <c r="G62" s="97">
        <f t="shared" si="7"/>
        <v>881082</v>
      </c>
      <c r="H62" s="98">
        <f t="shared" si="7"/>
        <v>808644</v>
      </c>
      <c r="I62" s="59">
        <f>MIN(C59:H59)</f>
        <v>-361088</v>
      </c>
    </row>
    <row r="63" spans="1:10" s="163" customFormat="1" ht="13.5" customHeight="1" thickBot="1">
      <c r="A63" s="128" t="s">
        <v>96</v>
      </c>
      <c r="B63" s="129"/>
      <c r="C63" s="159">
        <f t="shared" ref="C63:H63" si="8">C59/(C51)</f>
        <v>-0.16122727907980861</v>
      </c>
      <c r="D63" s="159">
        <f t="shared" si="8"/>
        <v>-5.8290971407212261E-2</v>
      </c>
      <c r="E63" s="159">
        <f t="shared" si="8"/>
        <v>0.13117973812408401</v>
      </c>
      <c r="F63" s="159">
        <f t="shared" si="8"/>
        <v>1.991648714110663E-2</v>
      </c>
      <c r="G63" s="159">
        <f t="shared" si="8"/>
        <v>-3.8686084990157292E-2</v>
      </c>
      <c r="H63" s="161">
        <f t="shared" si="8"/>
        <v>8.672662057341257E-4</v>
      </c>
      <c r="I63" s="195">
        <f>AVERAGE(C63:H63)</f>
        <v>-1.7706807334375563E-2</v>
      </c>
    </row>
    <row r="64" spans="1:10" s="137" customFormat="1" ht="13.5" hidden="1" customHeight="1">
      <c r="A64" s="135"/>
      <c r="B64" s="135" t="s">
        <v>97</v>
      </c>
      <c r="C64" s="196">
        <f t="shared" ref="C64:H64" si="9">+C9+C11+C12+C13+C31-C51-C53-C62</f>
        <v>-1</v>
      </c>
      <c r="D64" s="197">
        <f t="shared" si="9"/>
        <v>1</v>
      </c>
      <c r="E64" s="196">
        <f t="shared" si="9"/>
        <v>3</v>
      </c>
      <c r="F64" s="196">
        <f t="shared" si="9"/>
        <v>0</v>
      </c>
      <c r="G64" s="196">
        <f t="shared" si="9"/>
        <v>-3</v>
      </c>
      <c r="H64" s="196">
        <f t="shared" si="9"/>
        <v>0</v>
      </c>
      <c r="I64" s="198">
        <f>MAX(C63:H63)</f>
        <v>0.13117973812408401</v>
      </c>
    </row>
    <row r="65" spans="1:10" hidden="1">
      <c r="A65" s="90"/>
      <c r="B65" s="90"/>
      <c r="C65" s="113">
        <f t="shared" ref="C65:H65" si="10">+C9+C57-C62</f>
        <v>-1</v>
      </c>
      <c r="D65" s="113">
        <f t="shared" si="10"/>
        <v>1</v>
      </c>
      <c r="E65" s="113">
        <f t="shared" si="10"/>
        <v>3</v>
      </c>
      <c r="F65" s="135">
        <f t="shared" si="10"/>
        <v>0</v>
      </c>
      <c r="G65" s="135">
        <f t="shared" si="10"/>
        <v>-3</v>
      </c>
      <c r="H65" s="135">
        <f t="shared" si="10"/>
        <v>0</v>
      </c>
      <c r="I65" s="199">
        <f>MIN(C63:H63)</f>
        <v>-0.16122727907980861</v>
      </c>
    </row>
    <row r="66" spans="1:10">
      <c r="A66" s="90"/>
      <c r="B66" s="90"/>
      <c r="C66" s="113"/>
      <c r="D66" s="113"/>
      <c r="E66" s="113"/>
      <c r="F66" s="135"/>
      <c r="G66" s="135"/>
      <c r="H66" s="135"/>
      <c r="I66" s="199"/>
    </row>
    <row r="67" spans="1:10" ht="12.75" customHeight="1">
      <c r="A67" s="323" t="s">
        <v>225</v>
      </c>
      <c r="B67" s="91"/>
      <c r="C67" s="91"/>
      <c r="D67" s="91"/>
      <c r="E67" s="113"/>
      <c r="F67" s="135"/>
      <c r="G67" s="135"/>
      <c r="H67" s="135"/>
      <c r="I67" s="199"/>
    </row>
    <row r="68" spans="1:10" ht="12.75" customHeight="1">
      <c r="A68" s="320" t="s">
        <v>226</v>
      </c>
      <c r="B68" s="91"/>
      <c r="C68" s="91"/>
      <c r="D68" s="91"/>
      <c r="E68" s="87"/>
    </row>
    <row r="69" spans="1:10" ht="12.75" customHeight="1">
      <c r="A69" s="321" t="s">
        <v>98</v>
      </c>
      <c r="B69" s="91"/>
      <c r="C69" s="91"/>
      <c r="D69" s="91"/>
      <c r="E69" s="87"/>
    </row>
    <row r="70" spans="1:10">
      <c r="A70" s="322"/>
      <c r="B70" s="91"/>
      <c r="C70" s="91"/>
      <c r="D70" s="91"/>
      <c r="E70" s="87"/>
    </row>
    <row r="71" spans="1:10" ht="12.75" customHeight="1">
      <c r="A71" s="320" t="s">
        <v>227</v>
      </c>
      <c r="B71" s="91"/>
      <c r="C71" s="91"/>
      <c r="D71" s="91"/>
      <c r="E71" s="87"/>
    </row>
    <row r="72" spans="1:10" ht="12.75" customHeight="1">
      <c r="A72" s="320" t="s">
        <v>99</v>
      </c>
      <c r="B72" s="91"/>
      <c r="C72" s="91"/>
      <c r="D72" s="91"/>
      <c r="E72" s="87"/>
    </row>
    <row r="73" spans="1:10" ht="12.75" customHeight="1">
      <c r="A73" s="320" t="s">
        <v>100</v>
      </c>
      <c r="B73" s="241"/>
      <c r="C73" s="242"/>
      <c r="D73" s="242"/>
      <c r="E73" s="87"/>
    </row>
    <row r="74" spans="1:10" ht="16.5" customHeight="1" thickBot="1">
      <c r="A74" s="233"/>
      <c r="B74" s="233"/>
      <c r="C74" s="233"/>
      <c r="D74" s="233"/>
    </row>
    <row r="75" spans="1:10">
      <c r="A75" s="403"/>
      <c r="B75" s="404"/>
      <c r="C75" s="310"/>
      <c r="D75" s="310"/>
      <c r="E75" s="310"/>
      <c r="F75" s="310"/>
      <c r="G75" s="310"/>
      <c r="H75" s="311"/>
    </row>
    <row r="76" spans="1:10" ht="79.5" customHeight="1">
      <c r="A76" s="405"/>
      <c r="B76" s="406"/>
      <c r="C76" s="326" t="str">
        <f t="shared" ref="C76:H76" si="11">C2</f>
        <v>2nd DAA,         San Joaquin County Fair</v>
      </c>
      <c r="D76" s="326" t="str">
        <f t="shared" si="11"/>
        <v>38th DAA, Stanislaus County Fair</v>
      </c>
      <c r="E76" s="326" t="str">
        <f t="shared" si="11"/>
        <v>46th DAA, Southern California Fair</v>
      </c>
      <c r="F76" s="326" t="str">
        <f t="shared" si="11"/>
        <v>Riverside County Fair &amp; National Date Festival
FY 14/15</v>
      </c>
      <c r="G76" s="326" t="str">
        <f t="shared" si="11"/>
        <v>Santa Clara County Fair</v>
      </c>
      <c r="H76" s="327" t="str">
        <f t="shared" si="11"/>
        <v>Solano County Fair</v>
      </c>
    </row>
    <row r="77" spans="1:10" ht="13.5" customHeight="1">
      <c r="A77" s="22" t="s">
        <v>101</v>
      </c>
      <c r="B77" s="52"/>
      <c r="C77" s="93"/>
      <c r="D77" s="93"/>
      <c r="E77" s="93"/>
      <c r="F77" s="92"/>
      <c r="G77" s="92"/>
      <c r="H77" s="200"/>
    </row>
    <row r="78" spans="1:10" ht="13.5" customHeight="1">
      <c r="A78" s="22" t="s">
        <v>102</v>
      </c>
      <c r="B78" s="52"/>
      <c r="C78" s="93"/>
      <c r="D78" s="93"/>
      <c r="E78" s="93"/>
      <c r="F78" s="92"/>
      <c r="G78" s="92"/>
      <c r="H78" s="200"/>
    </row>
    <row r="79" spans="1:10" ht="13.5" customHeight="1">
      <c r="A79" s="51"/>
      <c r="B79" s="52" t="s">
        <v>103</v>
      </c>
      <c r="C79" s="53"/>
      <c r="D79" s="53"/>
      <c r="E79" s="53"/>
      <c r="F79" s="33"/>
      <c r="G79" s="33"/>
      <c r="H79" s="35"/>
    </row>
    <row r="80" spans="1:10" ht="13.5" customHeight="1">
      <c r="A80" s="51"/>
      <c r="B80" s="52" t="s">
        <v>104</v>
      </c>
      <c r="C80" s="25">
        <v>0</v>
      </c>
      <c r="D80" s="25">
        <v>0</v>
      </c>
      <c r="E80" s="25">
        <v>0</v>
      </c>
      <c r="F80" s="24">
        <v>11500</v>
      </c>
      <c r="G80" s="24">
        <v>0</v>
      </c>
      <c r="H80" s="201">
        <v>0</v>
      </c>
      <c r="J80" s="96">
        <f>SUM(C80:E80)</f>
        <v>0</v>
      </c>
    </row>
    <row r="81" spans="1:10" ht="13.5" customHeight="1">
      <c r="A81" s="51"/>
      <c r="B81" s="52" t="s">
        <v>105</v>
      </c>
      <c r="C81" s="53">
        <v>17600</v>
      </c>
      <c r="D81" s="53">
        <v>253656</v>
      </c>
      <c r="E81" s="53">
        <f>355454+23623</f>
        <v>379077</v>
      </c>
      <c r="F81" s="33">
        <v>116027</v>
      </c>
      <c r="G81" s="33">
        <v>486338</v>
      </c>
      <c r="H81" s="35">
        <v>241291</v>
      </c>
      <c r="J81" s="96">
        <f t="shared" ref="J81:J89" si="12">SUM(C81:E81)</f>
        <v>650333</v>
      </c>
    </row>
    <row r="82" spans="1:10" ht="13.5" customHeight="1">
      <c r="A82" s="51"/>
      <c r="B82" s="52" t="s">
        <v>106</v>
      </c>
      <c r="C82" s="53">
        <v>164494</v>
      </c>
      <c r="D82" s="53">
        <v>64975</v>
      </c>
      <c r="E82" s="53">
        <v>168821</v>
      </c>
      <c r="F82" s="33">
        <v>23184</v>
      </c>
      <c r="G82" s="33">
        <v>288895</v>
      </c>
      <c r="H82" s="35">
        <v>126923</v>
      </c>
      <c r="J82" s="96">
        <f t="shared" si="12"/>
        <v>398290</v>
      </c>
    </row>
    <row r="83" spans="1:10" ht="13.5" customHeight="1">
      <c r="A83" s="51"/>
      <c r="B83" s="52" t="s">
        <v>107</v>
      </c>
      <c r="C83" s="53">
        <v>0</v>
      </c>
      <c r="D83" s="53">
        <v>0</v>
      </c>
      <c r="E83" s="53">
        <v>7357</v>
      </c>
      <c r="F83" s="33">
        <v>0</v>
      </c>
      <c r="G83" s="33">
        <v>47246</v>
      </c>
      <c r="H83" s="35">
        <v>0</v>
      </c>
      <c r="J83" s="96">
        <f t="shared" si="12"/>
        <v>7357</v>
      </c>
    </row>
    <row r="84" spans="1:10" ht="13.5" customHeight="1">
      <c r="A84" s="51"/>
      <c r="B84" s="52" t="s">
        <v>108</v>
      </c>
      <c r="C84" s="53">
        <v>0</v>
      </c>
      <c r="D84" s="53">
        <v>0</v>
      </c>
      <c r="E84" s="53">
        <v>15197</v>
      </c>
      <c r="F84" s="33">
        <v>0</v>
      </c>
      <c r="G84" s="33">
        <v>99454</v>
      </c>
      <c r="H84" s="35">
        <v>736784</v>
      </c>
      <c r="J84" s="96">
        <f t="shared" si="12"/>
        <v>15197</v>
      </c>
    </row>
    <row r="85" spans="1:10" ht="13.5" customHeight="1">
      <c r="A85" s="51"/>
      <c r="B85" s="52" t="s">
        <v>109</v>
      </c>
      <c r="C85" s="53">
        <v>0</v>
      </c>
      <c r="D85" s="53">
        <v>0</v>
      </c>
      <c r="E85" s="53">
        <v>0</v>
      </c>
      <c r="F85" s="33">
        <v>0</v>
      </c>
      <c r="G85" s="33">
        <v>73442</v>
      </c>
      <c r="H85" s="35">
        <v>0</v>
      </c>
      <c r="J85" s="96">
        <f t="shared" si="12"/>
        <v>0</v>
      </c>
    </row>
    <row r="86" spans="1:10" ht="13.5" customHeight="1">
      <c r="A86" s="51"/>
      <c r="B86" s="52" t="s">
        <v>110</v>
      </c>
      <c r="C86" s="53">
        <v>248846</v>
      </c>
      <c r="D86" s="53">
        <v>72594</v>
      </c>
      <c r="E86" s="53">
        <v>450358</v>
      </c>
      <c r="F86" s="33">
        <v>0</v>
      </c>
      <c r="G86" s="33">
        <v>252457</v>
      </c>
      <c r="H86" s="35">
        <v>167085</v>
      </c>
      <c r="J86" s="96">
        <f t="shared" si="12"/>
        <v>771798</v>
      </c>
    </row>
    <row r="87" spans="1:10" ht="13.5" customHeight="1">
      <c r="A87" s="51"/>
      <c r="B87" s="52" t="s">
        <v>111</v>
      </c>
      <c r="C87" s="53">
        <v>11698878</v>
      </c>
      <c r="D87" s="53">
        <v>3941007</v>
      </c>
      <c r="E87" s="53">
        <v>12022241</v>
      </c>
      <c r="F87" s="33">
        <v>0</v>
      </c>
      <c r="G87" s="33">
        <v>1243606</v>
      </c>
      <c r="H87" s="35">
        <v>9859537</v>
      </c>
      <c r="J87" s="96">
        <f t="shared" si="12"/>
        <v>27662126</v>
      </c>
    </row>
    <row r="88" spans="1:10" ht="13.5" customHeight="1">
      <c r="A88" s="51"/>
      <c r="B88" s="52" t="s">
        <v>112</v>
      </c>
      <c r="C88" s="53">
        <v>538825</v>
      </c>
      <c r="D88" s="53">
        <v>454948</v>
      </c>
      <c r="E88" s="53">
        <v>329791</v>
      </c>
      <c r="F88" s="33">
        <v>0</v>
      </c>
      <c r="G88" s="33">
        <v>944847</v>
      </c>
      <c r="H88" s="35">
        <v>456969</v>
      </c>
      <c r="J88" s="96">
        <f t="shared" si="12"/>
        <v>1323564</v>
      </c>
    </row>
    <row r="89" spans="1:10" ht="13.5" customHeight="1">
      <c r="A89" s="51"/>
      <c r="B89" s="52" t="s">
        <v>113</v>
      </c>
      <c r="C89" s="53">
        <v>0</v>
      </c>
      <c r="D89" s="53">
        <v>0</v>
      </c>
      <c r="E89" s="53">
        <v>0</v>
      </c>
      <c r="F89" s="33">
        <v>0</v>
      </c>
      <c r="G89" s="33">
        <v>0</v>
      </c>
      <c r="H89" s="35">
        <v>0</v>
      </c>
      <c r="J89" s="96">
        <f t="shared" si="12"/>
        <v>0</v>
      </c>
    </row>
    <row r="90" spans="1:10" ht="13.5" customHeight="1">
      <c r="A90" s="51"/>
      <c r="B90" s="52" t="s">
        <v>209</v>
      </c>
      <c r="C90" s="53">
        <v>0</v>
      </c>
      <c r="D90" s="53">
        <v>0</v>
      </c>
      <c r="E90" s="53">
        <v>0</v>
      </c>
      <c r="F90" s="33">
        <v>0</v>
      </c>
      <c r="G90" s="33">
        <v>0</v>
      </c>
      <c r="H90" s="35">
        <v>0</v>
      </c>
      <c r="J90" s="96">
        <f>SUM(C90:H90)</f>
        <v>0</v>
      </c>
    </row>
    <row r="91" spans="1:10" ht="13.5" customHeight="1">
      <c r="A91" s="51"/>
      <c r="B91" s="52" t="s">
        <v>114</v>
      </c>
      <c r="C91" s="53">
        <f>-9096052-538825</f>
        <v>-9634877</v>
      </c>
      <c r="D91" s="53">
        <f>-2789488-412228</f>
        <v>-3201716</v>
      </c>
      <c r="E91" s="53">
        <f>-8339366-322181</f>
        <v>-8661547</v>
      </c>
      <c r="F91" s="33">
        <v>0</v>
      </c>
      <c r="G91" s="33">
        <f>-675586-716670</f>
        <v>-1392256</v>
      </c>
      <c r="H91" s="35">
        <f>-8729449-435540</f>
        <v>-9164989</v>
      </c>
      <c r="J91" s="36">
        <f>SUM(C86:E91)</f>
        <v>8259348</v>
      </c>
    </row>
    <row r="92" spans="1:10" ht="13.5" customHeight="1">
      <c r="A92" s="51"/>
      <c r="B92" s="52" t="s">
        <v>115</v>
      </c>
      <c r="C92" s="53">
        <v>0</v>
      </c>
      <c r="D92" s="53">
        <v>0</v>
      </c>
      <c r="E92" s="53">
        <v>0</v>
      </c>
      <c r="F92" s="33">
        <v>0</v>
      </c>
      <c r="G92" s="33">
        <v>0</v>
      </c>
      <c r="H92" s="35">
        <v>0</v>
      </c>
    </row>
    <row r="93" spans="1:10" s="40" customFormat="1" ht="13.5" customHeight="1">
      <c r="A93" s="37" t="s">
        <v>116</v>
      </c>
      <c r="B93" s="42"/>
      <c r="C93" s="187">
        <f t="shared" ref="C93:H93" si="13">SUM(C79:C92)</f>
        <v>3033766</v>
      </c>
      <c r="D93" s="187">
        <f t="shared" si="13"/>
        <v>1585464</v>
      </c>
      <c r="E93" s="187">
        <f t="shared" si="13"/>
        <v>4711295</v>
      </c>
      <c r="F93" s="187">
        <f t="shared" si="13"/>
        <v>150711</v>
      </c>
      <c r="G93" s="187">
        <f t="shared" si="13"/>
        <v>2044029</v>
      </c>
      <c r="H93" s="188">
        <f t="shared" si="13"/>
        <v>2423600</v>
      </c>
      <c r="J93" s="99">
        <f>SUM(C93:E93)</f>
        <v>9330525</v>
      </c>
    </row>
    <row r="94" spans="1:10" ht="13.5" customHeight="1">
      <c r="A94" s="22" t="s">
        <v>154</v>
      </c>
      <c r="B94" s="52"/>
      <c r="C94" s="93"/>
      <c r="D94" s="93"/>
      <c r="E94" s="93"/>
      <c r="F94" s="92"/>
      <c r="G94" s="92"/>
      <c r="H94" s="200"/>
    </row>
    <row r="95" spans="1:10" ht="13.5" customHeight="1">
      <c r="A95" s="51"/>
      <c r="B95" s="52" t="s">
        <v>118</v>
      </c>
      <c r="C95" s="53">
        <v>0</v>
      </c>
      <c r="D95" s="53">
        <v>0</v>
      </c>
      <c r="E95" s="53">
        <v>760</v>
      </c>
      <c r="F95" s="33">
        <v>0</v>
      </c>
      <c r="G95" s="33">
        <v>2524</v>
      </c>
      <c r="H95" s="35">
        <v>0</v>
      </c>
      <c r="J95" s="96">
        <f t="shared" ref="J95:J104" si="14">SUM(C95:E95)</f>
        <v>760</v>
      </c>
    </row>
    <row r="96" spans="1:10" ht="13.5" customHeight="1">
      <c r="A96" s="51"/>
      <c r="B96" s="52" t="s">
        <v>119</v>
      </c>
      <c r="C96" s="53">
        <v>239037</v>
      </c>
      <c r="D96" s="53">
        <v>191896</v>
      </c>
      <c r="E96" s="53">
        <f>137052+19681</f>
        <v>156733</v>
      </c>
      <c r="F96" s="33">
        <v>35514</v>
      </c>
      <c r="G96" s="33">
        <v>270997</v>
      </c>
      <c r="H96" s="35">
        <v>81391</v>
      </c>
      <c r="J96" s="96">
        <f t="shared" si="14"/>
        <v>587666</v>
      </c>
    </row>
    <row r="97" spans="1:10" ht="13.5" customHeight="1">
      <c r="A97" s="51"/>
      <c r="B97" s="52" t="s">
        <v>120</v>
      </c>
      <c r="C97" s="53">
        <v>86448</v>
      </c>
      <c r="D97" s="53">
        <v>18343</v>
      </c>
      <c r="E97" s="53">
        <v>12232</v>
      </c>
      <c r="F97" s="33">
        <v>0</v>
      </c>
      <c r="G97" s="33">
        <v>76419</v>
      </c>
      <c r="H97" s="35">
        <v>10749</v>
      </c>
      <c r="J97" s="96">
        <f t="shared" si="14"/>
        <v>117023</v>
      </c>
    </row>
    <row r="98" spans="1:10" ht="13.5" customHeight="1">
      <c r="A98" s="51"/>
      <c r="B98" s="52" t="s">
        <v>121</v>
      </c>
      <c r="C98" s="53">
        <v>2370</v>
      </c>
      <c r="D98" s="53">
        <v>53500</v>
      </c>
      <c r="E98" s="53">
        <v>22086</v>
      </c>
      <c r="F98" s="33">
        <v>12985</v>
      </c>
      <c r="G98" s="33">
        <v>248569</v>
      </c>
      <c r="H98" s="35">
        <v>9166</v>
      </c>
      <c r="J98" s="96">
        <f t="shared" si="14"/>
        <v>77956</v>
      </c>
    </row>
    <row r="99" spans="1:10" ht="13.5" customHeight="1">
      <c r="A99" s="51"/>
      <c r="B99" s="52" t="s">
        <v>122</v>
      </c>
      <c r="C99" s="53">
        <v>2154</v>
      </c>
      <c r="D99" s="53">
        <v>14655</v>
      </c>
      <c r="E99" s="53">
        <v>0</v>
      </c>
      <c r="F99" s="33">
        <v>4438</v>
      </c>
      <c r="G99" s="33">
        <v>57073</v>
      </c>
      <c r="H99" s="35">
        <v>4093</v>
      </c>
      <c r="J99" s="96">
        <f t="shared" si="14"/>
        <v>16809</v>
      </c>
    </row>
    <row r="100" spans="1:10" ht="13.5" customHeight="1">
      <c r="A100" s="51"/>
      <c r="B100" s="52" t="s">
        <v>123</v>
      </c>
      <c r="C100" s="53">
        <v>41980</v>
      </c>
      <c r="D100" s="53">
        <v>32855</v>
      </c>
      <c r="E100" s="53">
        <v>4500</v>
      </c>
      <c r="F100" s="33">
        <v>0</v>
      </c>
      <c r="G100" s="33">
        <v>0</v>
      </c>
      <c r="H100" s="35">
        <v>38375</v>
      </c>
      <c r="J100" s="96">
        <f t="shared" si="14"/>
        <v>79335</v>
      </c>
    </row>
    <row r="101" spans="1:10" ht="13.5" customHeight="1">
      <c r="A101" s="51"/>
      <c r="B101" s="52" t="s">
        <v>124</v>
      </c>
      <c r="C101" s="53">
        <v>51335</v>
      </c>
      <c r="D101" s="53">
        <v>82312</v>
      </c>
      <c r="E101" s="53">
        <v>66399</v>
      </c>
      <c r="F101" s="33">
        <v>0</v>
      </c>
      <c r="G101" s="33">
        <v>229613</v>
      </c>
      <c r="H101" s="35">
        <v>55081</v>
      </c>
      <c r="J101" s="96">
        <f t="shared" si="14"/>
        <v>200046</v>
      </c>
    </row>
    <row r="102" spans="1:10" ht="13.5" customHeight="1">
      <c r="A102" s="51"/>
      <c r="B102" s="52" t="s">
        <v>125</v>
      </c>
      <c r="C102" s="53">
        <v>119858</v>
      </c>
      <c r="D102" s="53">
        <v>82138</v>
      </c>
      <c r="E102" s="53">
        <v>562737</v>
      </c>
      <c r="F102" s="33">
        <v>0</v>
      </c>
      <c r="G102" s="33">
        <v>277754</v>
      </c>
      <c r="H102" s="35">
        <v>1408046</v>
      </c>
      <c r="J102" s="96">
        <f t="shared" si="14"/>
        <v>764733</v>
      </c>
    </row>
    <row r="103" spans="1:10" s="40" customFormat="1" ht="13.5" customHeight="1">
      <c r="A103" s="37" t="s">
        <v>126</v>
      </c>
      <c r="B103" s="42"/>
      <c r="C103" s="43">
        <f t="shared" ref="C103:H103" si="15">SUM(C95:C102)</f>
        <v>543182</v>
      </c>
      <c r="D103" s="43">
        <f t="shared" si="15"/>
        <v>475699</v>
      </c>
      <c r="E103" s="43">
        <f t="shared" si="15"/>
        <v>825447</v>
      </c>
      <c r="F103" s="43">
        <f t="shared" si="15"/>
        <v>52937</v>
      </c>
      <c r="G103" s="43">
        <f t="shared" si="15"/>
        <v>1162949</v>
      </c>
      <c r="H103" s="44">
        <f t="shared" si="15"/>
        <v>1606901</v>
      </c>
      <c r="J103" s="96">
        <f t="shared" si="14"/>
        <v>1844328</v>
      </c>
    </row>
    <row r="104" spans="1:10" ht="13.5" customHeight="1">
      <c r="A104" s="22" t="s">
        <v>127</v>
      </c>
      <c r="B104" s="52"/>
      <c r="C104" s="93"/>
      <c r="D104" s="93"/>
      <c r="E104" s="93"/>
      <c r="F104" s="92"/>
      <c r="G104" s="92"/>
      <c r="H104" s="200" t="s">
        <v>199</v>
      </c>
      <c r="J104" s="96">
        <f t="shared" si="14"/>
        <v>0</v>
      </c>
    </row>
    <row r="105" spans="1:10" ht="13.5" customHeight="1">
      <c r="A105" s="51"/>
      <c r="B105" s="52" t="s">
        <v>128</v>
      </c>
      <c r="C105" s="53">
        <v>0</v>
      </c>
      <c r="D105" s="53">
        <v>151506</v>
      </c>
      <c r="E105" s="53">
        <v>8253</v>
      </c>
      <c r="F105" s="33">
        <v>0</v>
      </c>
      <c r="G105" s="33">
        <v>0</v>
      </c>
      <c r="H105" s="35">
        <v>8055</v>
      </c>
      <c r="J105" s="96">
        <f>SUM(C105:E105)</f>
        <v>159759</v>
      </c>
    </row>
    <row r="106" spans="1:10" ht="13.5" customHeight="1">
      <c r="A106" s="51"/>
      <c r="B106" s="52" t="s">
        <v>46</v>
      </c>
      <c r="C106" s="53">
        <f t="shared" ref="C106:H108" si="16">C59</f>
        <v>-361088</v>
      </c>
      <c r="D106" s="53">
        <f t="shared" si="16"/>
        <v>-226436</v>
      </c>
      <c r="E106" s="53">
        <f t="shared" si="16"/>
        <v>299492</v>
      </c>
      <c r="F106" s="53">
        <f t="shared" si="16"/>
        <v>86274</v>
      </c>
      <c r="G106" s="53">
        <f t="shared" si="16"/>
        <v>-241014</v>
      </c>
      <c r="H106" s="35">
        <f t="shared" si="16"/>
        <v>2371</v>
      </c>
      <c r="J106" s="96">
        <f t="shared" ref="J106:J111" si="17">SUM(C106:E106)</f>
        <v>-288032</v>
      </c>
    </row>
    <row r="107" spans="1:10" ht="13.5" customHeight="1">
      <c r="A107" s="51"/>
      <c r="B107" s="52" t="s">
        <v>155</v>
      </c>
      <c r="C107" s="53">
        <f t="shared" si="16"/>
        <v>0</v>
      </c>
      <c r="D107" s="53">
        <f t="shared" si="16"/>
        <v>0</v>
      </c>
      <c r="E107" s="53">
        <f t="shared" si="16"/>
        <v>0</v>
      </c>
      <c r="F107" s="53">
        <f t="shared" si="16"/>
        <v>11500</v>
      </c>
      <c r="G107" s="53">
        <f t="shared" si="16"/>
        <v>0</v>
      </c>
      <c r="H107" s="35">
        <f t="shared" si="16"/>
        <v>67988</v>
      </c>
      <c r="J107" s="96">
        <f t="shared" si="17"/>
        <v>0</v>
      </c>
    </row>
    <row r="108" spans="1:10" ht="13.5" customHeight="1">
      <c r="A108" s="51"/>
      <c r="B108" s="52" t="s">
        <v>129</v>
      </c>
      <c r="C108" s="53">
        <f t="shared" si="16"/>
        <v>2851672</v>
      </c>
      <c r="D108" s="53">
        <f t="shared" si="16"/>
        <v>1184696</v>
      </c>
      <c r="E108" s="53">
        <f t="shared" si="16"/>
        <v>3578106</v>
      </c>
      <c r="F108" s="53">
        <f t="shared" si="16"/>
        <v>0</v>
      </c>
      <c r="G108" s="53">
        <f t="shared" si="16"/>
        <v>1122096</v>
      </c>
      <c r="H108" s="35">
        <f t="shared" si="16"/>
        <v>738285</v>
      </c>
      <c r="J108" s="96">
        <f t="shared" si="17"/>
        <v>7614474</v>
      </c>
    </row>
    <row r="109" spans="1:10" ht="13.5" customHeight="1">
      <c r="A109" s="101"/>
      <c r="B109" s="102" t="s">
        <v>115</v>
      </c>
      <c r="C109" s="104" t="s">
        <v>199</v>
      </c>
      <c r="D109" s="104">
        <v>0</v>
      </c>
      <c r="E109" s="104">
        <v>0</v>
      </c>
      <c r="F109" s="103">
        <v>0</v>
      </c>
      <c r="G109" s="103">
        <v>-1</v>
      </c>
      <c r="H109" s="202">
        <v>0</v>
      </c>
      <c r="J109" s="96">
        <f t="shared" si="17"/>
        <v>0</v>
      </c>
    </row>
    <row r="110" spans="1:10" s="40" customFormat="1" ht="13.5" customHeight="1">
      <c r="A110" s="37" t="s">
        <v>50</v>
      </c>
      <c r="B110" s="106"/>
      <c r="C110" s="107">
        <f t="shared" ref="C110:H110" si="18">SUM(C105:C109)</f>
        <v>2490584</v>
      </c>
      <c r="D110" s="107">
        <f t="shared" si="18"/>
        <v>1109766</v>
      </c>
      <c r="E110" s="107">
        <f t="shared" si="18"/>
        <v>3885851</v>
      </c>
      <c r="F110" s="107">
        <f t="shared" si="18"/>
        <v>97774</v>
      </c>
      <c r="G110" s="107">
        <f t="shared" si="18"/>
        <v>881081</v>
      </c>
      <c r="H110" s="173">
        <f t="shared" si="18"/>
        <v>816699</v>
      </c>
      <c r="J110" s="96">
        <f t="shared" si="17"/>
        <v>7486201</v>
      </c>
    </row>
    <row r="111" spans="1:10" s="40" customFormat="1" ht="13.5" customHeight="1" thickBot="1">
      <c r="A111" s="56" t="s">
        <v>130</v>
      </c>
      <c r="B111" s="57"/>
      <c r="C111" s="109">
        <f t="shared" ref="C111:H111" si="19">SUM(C103:C109)</f>
        <v>3033766</v>
      </c>
      <c r="D111" s="109">
        <f t="shared" si="19"/>
        <v>1585465</v>
      </c>
      <c r="E111" s="109">
        <f t="shared" si="19"/>
        <v>4711298</v>
      </c>
      <c r="F111" s="109">
        <f t="shared" si="19"/>
        <v>150711</v>
      </c>
      <c r="G111" s="109">
        <f t="shared" si="19"/>
        <v>2044030</v>
      </c>
      <c r="H111" s="110">
        <f t="shared" si="19"/>
        <v>2423600</v>
      </c>
      <c r="J111" s="96">
        <f t="shared" si="17"/>
        <v>9330529</v>
      </c>
    </row>
    <row r="112" spans="1:10" hidden="1">
      <c r="A112" s="111"/>
      <c r="B112" s="100" t="s">
        <v>97</v>
      </c>
      <c r="C112" s="164">
        <f t="shared" ref="C112:H112" si="20">+C93-C111</f>
        <v>0</v>
      </c>
      <c r="D112" s="164">
        <f t="shared" si="20"/>
        <v>-1</v>
      </c>
      <c r="E112" s="164">
        <f t="shared" si="20"/>
        <v>-3</v>
      </c>
      <c r="F112" s="164">
        <f t="shared" si="20"/>
        <v>0</v>
      </c>
      <c r="G112" s="164">
        <f t="shared" si="20"/>
        <v>-1</v>
      </c>
      <c r="H112" s="164">
        <f t="shared" si="20"/>
        <v>0</v>
      </c>
    </row>
    <row r="113" spans="1:9">
      <c r="A113" s="100"/>
      <c r="B113" s="142"/>
      <c r="C113" s="143"/>
      <c r="D113" s="143"/>
      <c r="E113" s="143"/>
      <c r="F113" s="143"/>
      <c r="G113" s="143"/>
      <c r="H113" s="143"/>
    </row>
    <row r="114" spans="1:9" ht="39.75" customHeight="1">
      <c r="A114" s="395" t="s">
        <v>131</v>
      </c>
      <c r="B114" s="396"/>
      <c r="C114" s="400">
        <f t="shared" ref="C114:H114" si="21">C54/(C31)</f>
        <v>-2.7598471786114531E-3</v>
      </c>
      <c r="D114" s="400">
        <f t="shared" si="21"/>
        <v>-2.4976109079375666E-3</v>
      </c>
      <c r="E114" s="400">
        <f t="shared" si="21"/>
        <v>6.1206497759995725E-2</v>
      </c>
      <c r="F114" s="400">
        <f t="shared" si="21"/>
        <v>-0.14686281133871809</v>
      </c>
      <c r="G114" s="400">
        <f t="shared" si="21"/>
        <v>7.584530965674656E-2</v>
      </c>
      <c r="H114" s="400">
        <f t="shared" si="21"/>
        <v>5.3793250482901935E-2</v>
      </c>
    </row>
    <row r="115" spans="1:9" ht="24">
      <c r="A115" s="257"/>
      <c r="B115" s="258" t="s">
        <v>132</v>
      </c>
      <c r="C115" s="400"/>
      <c r="D115" s="400"/>
      <c r="E115" s="400"/>
      <c r="F115" s="400"/>
      <c r="G115" s="400"/>
      <c r="H115" s="400"/>
    </row>
    <row r="116" spans="1:9" ht="14.25">
      <c r="A116" s="251" t="s">
        <v>220</v>
      </c>
      <c r="B116" s="252"/>
      <c r="C116" s="401">
        <f t="shared" ref="C116:H116" si="22">(SUM(C81:C82))/SUM(C95:C100)</f>
        <v>0.48951447489038652</v>
      </c>
      <c r="D116" s="401">
        <f t="shared" si="22"/>
        <v>1.0237173452766113</v>
      </c>
      <c r="E116" s="401">
        <f t="shared" si="22"/>
        <v>2.7909694311577038</v>
      </c>
      <c r="F116" s="401">
        <f t="shared" si="22"/>
        <v>2.6297485690537807</v>
      </c>
      <c r="G116" s="401">
        <f t="shared" si="22"/>
        <v>1.1825111122636069</v>
      </c>
      <c r="H116" s="401">
        <f t="shared" si="22"/>
        <v>2.5610611097973206</v>
      </c>
    </row>
    <row r="117" spans="1:9" ht="36">
      <c r="A117" s="253"/>
      <c r="B117" s="254" t="s">
        <v>221</v>
      </c>
      <c r="C117" s="402"/>
      <c r="D117" s="402"/>
      <c r="E117" s="402"/>
      <c r="F117" s="402"/>
      <c r="G117" s="402"/>
      <c r="H117" s="402"/>
    </row>
    <row r="118" spans="1:9" ht="14.25">
      <c r="A118" s="251" t="s">
        <v>222</v>
      </c>
      <c r="B118" s="252"/>
      <c r="C118" s="401">
        <f t="shared" ref="C118:H118" si="23">(SUM(C81:C82))/SUM(C95:C101)</f>
        <v>0.4301527907701902</v>
      </c>
      <c r="D118" s="401">
        <f t="shared" si="23"/>
        <v>0.80961020019768215</v>
      </c>
      <c r="E118" s="401">
        <f t="shared" si="23"/>
        <v>2.085562026569221</v>
      </c>
      <c r="F118" s="401">
        <f t="shared" si="23"/>
        <v>2.6297485690537807</v>
      </c>
      <c r="G118" s="401">
        <f t="shared" si="23"/>
        <v>0.87577652381678617</v>
      </c>
      <c r="H118" s="401">
        <f t="shared" si="23"/>
        <v>1.8516708154182695</v>
      </c>
    </row>
    <row r="119" spans="1:9" ht="36">
      <c r="A119" s="253"/>
      <c r="B119" s="254" t="s">
        <v>223</v>
      </c>
      <c r="C119" s="402"/>
      <c r="D119" s="402"/>
      <c r="E119" s="402"/>
      <c r="F119" s="402"/>
      <c r="G119" s="402"/>
      <c r="H119" s="402"/>
    </row>
    <row r="120" spans="1:9" s="256" customFormat="1" ht="8.1" customHeight="1">
      <c r="A120" s="263"/>
      <c r="B120" s="264"/>
      <c r="C120" s="265"/>
      <c r="D120" s="265"/>
      <c r="E120" s="265"/>
      <c r="F120" s="265"/>
      <c r="G120" s="265"/>
      <c r="H120" s="266"/>
    </row>
    <row r="121" spans="1:9">
      <c r="A121" s="259" t="s">
        <v>133</v>
      </c>
      <c r="B121" s="260"/>
      <c r="C121" s="399">
        <f t="shared" ref="C121:H121" si="24">C103/C93</f>
        <v>0.179045450440146</v>
      </c>
      <c r="D121" s="399">
        <f t="shared" si="24"/>
        <v>0.30003771766498638</v>
      </c>
      <c r="E121" s="399">
        <f t="shared" si="24"/>
        <v>0.17520596778592723</v>
      </c>
      <c r="F121" s="399">
        <f t="shared" si="24"/>
        <v>0.35124841584224109</v>
      </c>
      <c r="G121" s="399">
        <f t="shared" si="24"/>
        <v>0.56894936422134912</v>
      </c>
      <c r="H121" s="399">
        <f t="shared" si="24"/>
        <v>0.66302236342630794</v>
      </c>
    </row>
    <row r="122" spans="1:9" ht="25.5">
      <c r="A122" s="257"/>
      <c r="B122" s="261" t="s">
        <v>134</v>
      </c>
      <c r="C122" s="399"/>
      <c r="D122" s="399"/>
      <c r="E122" s="399"/>
      <c r="F122" s="399"/>
      <c r="G122" s="399"/>
      <c r="H122" s="399"/>
    </row>
    <row r="123" spans="1:9">
      <c r="A123" s="259" t="s">
        <v>135</v>
      </c>
      <c r="B123" s="262"/>
      <c r="C123" s="399">
        <f t="shared" ref="C123:H123" si="25">C110/C93</f>
        <v>0.82095454955985403</v>
      </c>
      <c r="D123" s="399">
        <f t="shared" si="25"/>
        <v>0.69996291306519731</v>
      </c>
      <c r="E123" s="399">
        <f t="shared" si="25"/>
        <v>0.82479466898167064</v>
      </c>
      <c r="F123" s="399">
        <f t="shared" si="25"/>
        <v>0.64875158415775891</v>
      </c>
      <c r="G123" s="399">
        <f t="shared" si="25"/>
        <v>0.43105112500850035</v>
      </c>
      <c r="H123" s="399">
        <f t="shared" si="25"/>
        <v>0.33697763657369201</v>
      </c>
    </row>
    <row r="124" spans="1:9" ht="24">
      <c r="A124" s="257"/>
      <c r="B124" s="258" t="s">
        <v>136</v>
      </c>
      <c r="C124" s="399"/>
      <c r="D124" s="399"/>
      <c r="E124" s="399"/>
      <c r="F124" s="399"/>
      <c r="G124" s="399"/>
      <c r="H124" s="399"/>
    </row>
    <row r="125" spans="1:9">
      <c r="A125" s="397" t="s">
        <v>137</v>
      </c>
      <c r="B125" s="398"/>
      <c r="C125" s="399">
        <f t="shared" ref="C125:H125" si="26">C103/C110</f>
        <v>0.21809423010827983</v>
      </c>
      <c r="D125" s="399">
        <f t="shared" si="26"/>
        <v>0.42864802129457924</v>
      </c>
      <c r="E125" s="399">
        <f t="shared" si="26"/>
        <v>0.21242373935593517</v>
      </c>
      <c r="F125" s="399">
        <f t="shared" si="26"/>
        <v>0.54142205494303186</v>
      </c>
      <c r="G125" s="399">
        <f t="shared" si="26"/>
        <v>1.3199115631820457</v>
      </c>
      <c r="H125" s="399">
        <f t="shared" si="26"/>
        <v>1.9675559783959573</v>
      </c>
    </row>
    <row r="126" spans="1:9">
      <c r="A126" s="257"/>
      <c r="B126" s="258" t="s">
        <v>138</v>
      </c>
      <c r="C126" s="399"/>
      <c r="D126" s="399"/>
      <c r="E126" s="399"/>
      <c r="F126" s="399"/>
      <c r="G126" s="399"/>
      <c r="H126" s="399"/>
    </row>
    <row r="127" spans="1:9" s="256" customFormat="1" ht="8.1" customHeight="1">
      <c r="A127" s="267"/>
      <c r="B127" s="268"/>
      <c r="C127" s="285"/>
      <c r="D127" s="285"/>
      <c r="E127" s="285"/>
      <c r="F127" s="285"/>
      <c r="G127" s="285"/>
      <c r="H127" s="286"/>
    </row>
    <row r="128" spans="1:9">
      <c r="A128" s="277" t="s">
        <v>139</v>
      </c>
      <c r="B128" s="278"/>
      <c r="C128" s="176">
        <v>5</v>
      </c>
      <c r="D128" s="176">
        <v>7</v>
      </c>
      <c r="E128" s="176">
        <v>11</v>
      </c>
      <c r="F128" s="114">
        <v>9</v>
      </c>
      <c r="G128" s="114">
        <v>33</v>
      </c>
      <c r="H128" s="114">
        <v>11</v>
      </c>
      <c r="I128" s="189">
        <f>AVERAGE(C128:H128)</f>
        <v>12.666666666666666</v>
      </c>
    </row>
    <row r="129" spans="1:9" s="256" customFormat="1" ht="8.1" customHeight="1">
      <c r="A129" s="273"/>
      <c r="B129" s="268"/>
      <c r="C129" s="285"/>
      <c r="D129" s="285"/>
      <c r="E129" s="285"/>
      <c r="F129" s="285"/>
      <c r="G129" s="285"/>
      <c r="H129" s="286"/>
    </row>
    <row r="130" spans="1:9">
      <c r="A130" s="283" t="s">
        <v>140</v>
      </c>
      <c r="B130" s="283"/>
      <c r="C130" s="93" t="s">
        <v>200</v>
      </c>
      <c r="D130" s="288">
        <v>105878</v>
      </c>
      <c r="E130" s="288">
        <v>46970</v>
      </c>
      <c r="F130" s="276">
        <v>127327</v>
      </c>
      <c r="G130" s="276">
        <v>26629</v>
      </c>
      <c r="H130" s="276">
        <v>20624</v>
      </c>
      <c r="I130" s="183">
        <f>AVERAGE(C130:H130)</f>
        <v>65485.599999999999</v>
      </c>
    </row>
    <row r="131" spans="1:9">
      <c r="A131" s="275" t="s">
        <v>143</v>
      </c>
      <c r="B131" s="275"/>
      <c r="C131" s="93" t="s">
        <v>200</v>
      </c>
      <c r="D131" s="288">
        <v>31961</v>
      </c>
      <c r="E131" s="288">
        <v>6328</v>
      </c>
      <c r="F131" s="276">
        <v>27853</v>
      </c>
      <c r="G131" s="276">
        <v>3770</v>
      </c>
      <c r="H131" s="276">
        <v>19163</v>
      </c>
      <c r="I131" s="183">
        <f>AVERAGE(C131:H131)</f>
        <v>17815</v>
      </c>
    </row>
    <row r="132" spans="1:9">
      <c r="A132" s="275" t="s">
        <v>144</v>
      </c>
      <c r="B132" s="275"/>
      <c r="C132" s="93" t="s">
        <v>200</v>
      </c>
      <c r="D132" s="288">
        <v>137839</v>
      </c>
      <c r="E132" s="288">
        <v>53298</v>
      </c>
      <c r="F132" s="276">
        <v>155180</v>
      </c>
      <c r="G132" s="276">
        <v>30399</v>
      </c>
      <c r="H132" s="276">
        <v>39787</v>
      </c>
      <c r="I132" s="183">
        <f>AVERAGE(C132:H132)</f>
        <v>83300.600000000006</v>
      </c>
    </row>
  </sheetData>
  <mergeCells count="46">
    <mergeCell ref="D125:D126"/>
    <mergeCell ref="E125:E126"/>
    <mergeCell ref="F125:F126"/>
    <mergeCell ref="G125:G126"/>
    <mergeCell ref="H125:H126"/>
    <mergeCell ref="D123:D124"/>
    <mergeCell ref="E123:E124"/>
    <mergeCell ref="F123:F124"/>
    <mergeCell ref="G123:G124"/>
    <mergeCell ref="H123:H124"/>
    <mergeCell ref="D121:D122"/>
    <mergeCell ref="E121:E122"/>
    <mergeCell ref="F121:F122"/>
    <mergeCell ref="G121:G122"/>
    <mergeCell ref="H121:H122"/>
    <mergeCell ref="D118:D119"/>
    <mergeCell ref="E118:E119"/>
    <mergeCell ref="F118:F119"/>
    <mergeCell ref="G118:G119"/>
    <mergeCell ref="H118:H119"/>
    <mergeCell ref="D116:D117"/>
    <mergeCell ref="E116:E117"/>
    <mergeCell ref="F116:F117"/>
    <mergeCell ref="G116:G117"/>
    <mergeCell ref="H116:H117"/>
    <mergeCell ref="D114:D115"/>
    <mergeCell ref="E114:E115"/>
    <mergeCell ref="F114:F115"/>
    <mergeCell ref="G114:G115"/>
    <mergeCell ref="H114:H115"/>
    <mergeCell ref="A114:B114"/>
    <mergeCell ref="A75:B76"/>
    <mergeCell ref="A125:B125"/>
    <mergeCell ref="C114:C115"/>
    <mergeCell ref="C116:C117"/>
    <mergeCell ref="C118:C119"/>
    <mergeCell ref="C121:C122"/>
    <mergeCell ref="C123:C124"/>
    <mergeCell ref="C125:C126"/>
    <mergeCell ref="A1:B3"/>
    <mergeCell ref="C2:C3"/>
    <mergeCell ref="D2:D3"/>
    <mergeCell ref="E2:E3"/>
    <mergeCell ref="H2:H3"/>
    <mergeCell ref="F2:F3"/>
    <mergeCell ref="G2:G3"/>
  </mergeCells>
  <conditionalFormatting sqref="C114:H115">
    <cfRule type="cellIs" dxfId="12" priority="2" operator="lessThan">
      <formula>0</formula>
    </cfRule>
  </conditionalFormatting>
  <conditionalFormatting sqref="C63:H63">
    <cfRule type="cellIs" dxfId="11" priority="1" operator="lessThan">
      <formula>0</formula>
    </cfRule>
  </conditionalFormatting>
  <printOptions horizontalCentered="1"/>
  <pageMargins left="0.5" right="0.5" top="0.75" bottom="0.35" header="0.5" footer="0.15"/>
  <pageSetup scale="64" fitToHeight="2" orientation="portrait" r:id="rId1"/>
  <headerFooter alignWithMargins="0">
    <oddHeader>&amp;C&amp;"Arial,Bold"&amp;12CLASS IV+ FAIRS</oddHeader>
    <oddFooter>&amp;CFairs and Expositions</oddFooter>
  </headerFooter>
  <rowBreaks count="1" manualBreakCount="1">
    <brk id="74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51" sqref="E51"/>
    </sheetView>
  </sheetViews>
  <sheetFormatPr defaultRowHeight="12.75"/>
  <cols>
    <col min="1" max="1" width="4.7109375" style="20" customWidth="1"/>
    <col min="2" max="2" width="50.7109375" style="20" customWidth="1"/>
    <col min="3" max="6" width="12.7109375" style="87" customWidth="1"/>
    <col min="7" max="7" width="11.28515625" style="20" bestFit="1" customWidth="1"/>
    <col min="8" max="8" width="12.7109375" style="20" customWidth="1"/>
    <col min="9" max="16384" width="9.140625" style="20"/>
  </cols>
  <sheetData>
    <row r="1" spans="1:8" ht="12" customHeight="1">
      <c r="A1" s="383"/>
      <c r="B1" s="384"/>
      <c r="C1" s="310"/>
      <c r="D1" s="310"/>
      <c r="E1" s="310"/>
      <c r="F1" s="311"/>
    </row>
    <row r="2" spans="1:8" ht="12" customHeight="1">
      <c r="A2" s="385"/>
      <c r="B2" s="386"/>
      <c r="C2" s="387" t="s">
        <v>201</v>
      </c>
      <c r="D2" s="387" t="s">
        <v>202</v>
      </c>
      <c r="E2" s="387" t="s">
        <v>238</v>
      </c>
      <c r="F2" s="389" t="s">
        <v>229</v>
      </c>
    </row>
    <row r="3" spans="1:8" ht="69" customHeight="1">
      <c r="A3" s="385"/>
      <c r="B3" s="386"/>
      <c r="C3" s="387"/>
      <c r="D3" s="387"/>
      <c r="E3" s="387"/>
      <c r="F3" s="389"/>
      <c r="H3" s="20" t="s">
        <v>44</v>
      </c>
    </row>
    <row r="4" spans="1:8" ht="13.5" customHeight="1">
      <c r="A4" s="22" t="s">
        <v>45</v>
      </c>
      <c r="B4" s="23"/>
      <c r="C4" s="66"/>
      <c r="D4" s="66"/>
      <c r="E4" s="66"/>
      <c r="F4" s="191"/>
    </row>
    <row r="5" spans="1:8" ht="13.5" customHeight="1">
      <c r="A5" s="51"/>
      <c r="B5" s="23" t="s">
        <v>46</v>
      </c>
      <c r="C5" s="177">
        <v>533930</v>
      </c>
      <c r="D5" s="177">
        <v>5916</v>
      </c>
      <c r="E5" s="177">
        <v>241542.52</v>
      </c>
      <c r="F5" s="35">
        <v>3213917</v>
      </c>
    </row>
    <row r="6" spans="1:8" ht="13.5" customHeight="1">
      <c r="A6" s="51"/>
      <c r="B6" s="31" t="s">
        <v>47</v>
      </c>
      <c r="C6" s="34">
        <v>0</v>
      </c>
      <c r="D6" s="34">
        <v>0</v>
      </c>
      <c r="E6" s="34"/>
      <c r="F6" s="35">
        <v>0</v>
      </c>
    </row>
    <row r="7" spans="1:8" ht="13.5" customHeight="1">
      <c r="A7" s="51"/>
      <c r="B7" s="23" t="s">
        <v>48</v>
      </c>
      <c r="C7" s="34">
        <v>1671587</v>
      </c>
      <c r="D7" s="34">
        <v>2491518</v>
      </c>
      <c r="E7" s="34">
        <v>26501720</v>
      </c>
      <c r="F7" s="35">
        <v>2872024</v>
      </c>
    </row>
    <row r="8" spans="1:8" ht="13.5" customHeight="1">
      <c r="A8" s="51"/>
      <c r="B8" s="23" t="s">
        <v>49</v>
      </c>
      <c r="C8" s="34"/>
      <c r="D8" s="34">
        <v>14209</v>
      </c>
      <c r="E8" s="34"/>
      <c r="F8" s="35"/>
      <c r="H8" s="36">
        <f>SUM(C8:E8)</f>
        <v>14209</v>
      </c>
    </row>
    <row r="9" spans="1:8" s="40" customFormat="1" ht="13.5" customHeight="1" thickBot="1">
      <c r="A9" s="292"/>
      <c r="B9" s="153" t="s">
        <v>50</v>
      </c>
      <c r="C9" s="109">
        <f>SUM(C5:C8)</f>
        <v>2205517</v>
      </c>
      <c r="D9" s="109">
        <f>SUM(D5:D8)</f>
        <v>2511643</v>
      </c>
      <c r="E9" s="109">
        <f>SUM(E5:E8)</f>
        <v>26743262.52</v>
      </c>
      <c r="F9" s="110">
        <f>SUM(F5:F8)</f>
        <v>6085941</v>
      </c>
      <c r="H9" s="36">
        <f>SUM(C9:E9)</f>
        <v>31460422.52</v>
      </c>
    </row>
    <row r="10" spans="1:8" s="40" customFormat="1" ht="13.5" customHeight="1">
      <c r="A10" s="62" t="s">
        <v>51</v>
      </c>
      <c r="B10" s="63"/>
      <c r="C10" s="70"/>
      <c r="D10" s="70"/>
      <c r="E10" s="70"/>
      <c r="F10" s="71"/>
    </row>
    <row r="11" spans="1:8" s="40" customFormat="1" ht="13.5" customHeight="1">
      <c r="A11" s="41"/>
      <c r="B11" s="42" t="s">
        <v>52</v>
      </c>
      <c r="C11" s="43">
        <v>0</v>
      </c>
      <c r="D11" s="43">
        <v>0</v>
      </c>
      <c r="E11" s="43">
        <v>0</v>
      </c>
      <c r="F11" s="44">
        <v>0</v>
      </c>
      <c r="H11" s="36">
        <f>SUM(C11:E11)</f>
        <v>0</v>
      </c>
    </row>
    <row r="12" spans="1:8" s="40" customFormat="1" ht="13.5" customHeight="1">
      <c r="A12" s="41"/>
      <c r="B12" s="42" t="s">
        <v>53</v>
      </c>
      <c r="C12" s="43">
        <v>20600</v>
      </c>
      <c r="D12" s="43">
        <v>0</v>
      </c>
      <c r="E12" s="43">
        <v>0</v>
      </c>
      <c r="F12" s="44">
        <v>0</v>
      </c>
      <c r="H12" s="36">
        <f>SUM(C12:E12)</f>
        <v>20600</v>
      </c>
    </row>
    <row r="13" spans="1:8" s="40" customFormat="1" ht="13.5" customHeight="1" thickBot="1">
      <c r="A13" s="292"/>
      <c r="B13" s="57" t="s">
        <v>54</v>
      </c>
      <c r="C13" s="58">
        <v>0</v>
      </c>
      <c r="D13" s="58">
        <v>0</v>
      </c>
      <c r="E13" s="58">
        <v>0</v>
      </c>
      <c r="F13" s="152">
        <v>0</v>
      </c>
      <c r="H13" s="36">
        <f>SUM(C13:E13)</f>
        <v>0</v>
      </c>
    </row>
    <row r="14" spans="1:8" ht="13.5" customHeight="1">
      <c r="A14" s="45" t="s">
        <v>55</v>
      </c>
      <c r="B14" s="46"/>
      <c r="C14" s="49"/>
      <c r="D14" s="49"/>
      <c r="E14" s="49"/>
      <c r="F14" s="192"/>
    </row>
    <row r="15" spans="1:8" ht="13.5" customHeight="1">
      <c r="A15" s="51"/>
      <c r="B15" s="52" t="s">
        <v>56</v>
      </c>
      <c r="C15" s="34">
        <v>364484</v>
      </c>
      <c r="D15" s="34">
        <v>1657282</v>
      </c>
      <c r="E15" s="34">
        <v>0</v>
      </c>
      <c r="F15" s="35">
        <v>779570</v>
      </c>
    </row>
    <row r="16" spans="1:8" ht="13.5" customHeight="1">
      <c r="A16" s="51"/>
      <c r="B16" s="52" t="s">
        <v>57</v>
      </c>
      <c r="C16" s="34">
        <v>16278</v>
      </c>
      <c r="D16" s="34">
        <v>307365</v>
      </c>
      <c r="E16" s="34">
        <v>0</v>
      </c>
      <c r="F16" s="35">
        <v>182588</v>
      </c>
    </row>
    <row r="17" spans="1:10" ht="13.5" customHeight="1">
      <c r="A17" s="51"/>
      <c r="B17" s="52" t="s">
        <v>58</v>
      </c>
      <c r="C17" s="34"/>
      <c r="D17" s="34">
        <v>1098305</v>
      </c>
      <c r="E17" s="34">
        <v>0</v>
      </c>
      <c r="F17" s="35">
        <v>305618</v>
      </c>
    </row>
    <row r="18" spans="1:10" ht="13.5" customHeight="1">
      <c r="A18" s="51"/>
      <c r="B18" s="52" t="s">
        <v>59</v>
      </c>
      <c r="C18" s="34">
        <v>152541</v>
      </c>
      <c r="D18" s="34">
        <v>897474</v>
      </c>
      <c r="E18" s="34">
        <v>0</v>
      </c>
      <c r="F18" s="35">
        <v>222979</v>
      </c>
    </row>
    <row r="19" spans="1:10" ht="13.5" customHeight="1">
      <c r="A19" s="51"/>
      <c r="B19" s="52" t="s">
        <v>60</v>
      </c>
      <c r="C19" s="34">
        <v>99216</v>
      </c>
      <c r="D19" s="34">
        <v>149071</v>
      </c>
      <c r="E19" s="34">
        <v>0</v>
      </c>
      <c r="F19" s="35">
        <v>55047</v>
      </c>
    </row>
    <row r="20" spans="1:10" ht="13.5" customHeight="1">
      <c r="A20" s="51"/>
      <c r="B20" s="52" t="s">
        <v>61</v>
      </c>
      <c r="C20" s="34">
        <v>26619</v>
      </c>
      <c r="D20" s="34">
        <v>18207</v>
      </c>
      <c r="E20" s="34">
        <v>0</v>
      </c>
      <c r="F20" s="35">
        <v>0</v>
      </c>
    </row>
    <row r="21" spans="1:10" ht="13.5" customHeight="1">
      <c r="A21" s="51"/>
      <c r="B21" s="52" t="s">
        <v>62</v>
      </c>
      <c r="C21" s="29">
        <v>0</v>
      </c>
      <c r="D21" s="29">
        <v>0</v>
      </c>
      <c r="E21" s="29">
        <v>0</v>
      </c>
      <c r="F21" s="32">
        <v>0</v>
      </c>
    </row>
    <row r="22" spans="1:10" ht="13.5" customHeight="1">
      <c r="A22" s="51"/>
      <c r="B22" s="52" t="s">
        <v>63</v>
      </c>
      <c r="C22" s="34">
        <v>0</v>
      </c>
      <c r="D22" s="34">
        <v>0</v>
      </c>
      <c r="E22" s="34">
        <v>0</v>
      </c>
      <c r="F22" s="35">
        <v>2970571</v>
      </c>
    </row>
    <row r="23" spans="1:10" ht="13.5" customHeight="1">
      <c r="A23" s="51"/>
      <c r="B23" s="52" t="s">
        <v>64</v>
      </c>
      <c r="C23" s="34">
        <v>0</v>
      </c>
      <c r="D23" s="34">
        <v>72167</v>
      </c>
      <c r="E23" s="34">
        <v>0</v>
      </c>
      <c r="F23" s="35">
        <v>0</v>
      </c>
    </row>
    <row r="24" spans="1:10" ht="13.5" customHeight="1">
      <c r="A24" s="51"/>
      <c r="B24" s="52" t="s">
        <v>65</v>
      </c>
      <c r="C24" s="34">
        <v>0</v>
      </c>
      <c r="D24" s="34">
        <v>0</v>
      </c>
      <c r="E24" s="34">
        <v>0</v>
      </c>
      <c r="F24" s="35">
        <v>0</v>
      </c>
    </row>
    <row r="25" spans="1:10" ht="13.5" customHeight="1">
      <c r="A25" s="51"/>
      <c r="B25" s="52" t="s">
        <v>66</v>
      </c>
      <c r="C25" s="34">
        <v>0</v>
      </c>
      <c r="D25" s="34">
        <v>36534</v>
      </c>
      <c r="E25" s="34">
        <v>0</v>
      </c>
      <c r="F25" s="35">
        <v>0</v>
      </c>
    </row>
    <row r="26" spans="1:10" ht="13.5" customHeight="1">
      <c r="A26" s="51"/>
      <c r="B26" s="52" t="s">
        <v>67</v>
      </c>
      <c r="C26" s="34">
        <v>164638</v>
      </c>
      <c r="D26" s="34">
        <v>656129</v>
      </c>
      <c r="E26" s="34">
        <v>0</v>
      </c>
      <c r="F26" s="35">
        <v>427872</v>
      </c>
    </row>
    <row r="27" spans="1:10" ht="13.5" customHeight="1">
      <c r="A27" s="51"/>
      <c r="B27" s="52" t="s">
        <v>168</v>
      </c>
      <c r="C27" s="34">
        <v>0</v>
      </c>
      <c r="D27" s="34">
        <v>0</v>
      </c>
      <c r="E27" s="34">
        <v>0</v>
      </c>
      <c r="F27" s="35">
        <v>0</v>
      </c>
    </row>
    <row r="28" spans="1:10" ht="13.5" customHeight="1">
      <c r="A28" s="51"/>
      <c r="B28" s="52" t="s">
        <v>69</v>
      </c>
      <c r="C28" s="34">
        <v>3725052</v>
      </c>
      <c r="D28" s="34">
        <v>1230406</v>
      </c>
      <c r="E28" s="34">
        <v>0</v>
      </c>
      <c r="F28" s="35">
        <f>3486196+922106</f>
        <v>4408302</v>
      </c>
      <c r="H28" s="36">
        <f>SUM(C28:E28)</f>
        <v>4955458</v>
      </c>
    </row>
    <row r="29" spans="1:10" ht="13.5" customHeight="1">
      <c r="A29" s="51"/>
      <c r="B29" s="52" t="s">
        <v>70</v>
      </c>
      <c r="C29" s="34">
        <v>24435</v>
      </c>
      <c r="D29" s="34">
        <v>-7554</v>
      </c>
      <c r="E29" s="34">
        <v>22.71</v>
      </c>
      <c r="F29" s="35">
        <v>0</v>
      </c>
      <c r="H29" s="36">
        <f>SUM(C29:E29)</f>
        <v>16903.71</v>
      </c>
    </row>
    <row r="30" spans="1:10" ht="13.5" customHeight="1">
      <c r="A30" s="51"/>
      <c r="B30" s="52" t="s">
        <v>71</v>
      </c>
      <c r="C30" s="29">
        <v>185587</v>
      </c>
      <c r="D30" s="29">
        <v>153156</v>
      </c>
      <c r="E30" s="29">
        <v>62370.14</v>
      </c>
      <c r="F30" s="32">
        <f>69985+2541080</f>
        <v>2611065</v>
      </c>
      <c r="H30" s="36">
        <f>SUM(C30:E30)</f>
        <v>401113.14</v>
      </c>
      <c r="I30" s="36">
        <f>+H30+H29+H8</f>
        <v>432225.85000000003</v>
      </c>
      <c r="J30" s="20" t="s">
        <v>72</v>
      </c>
    </row>
    <row r="31" spans="1:10" s="40" customFormat="1" ht="13.5" customHeight="1" thickBot="1">
      <c r="A31" s="56" t="s">
        <v>73</v>
      </c>
      <c r="B31" s="57"/>
      <c r="C31" s="58">
        <f>SUM(C15:C30)</f>
        <v>4758850</v>
      </c>
      <c r="D31" s="58">
        <f>SUM(D15:D30)</f>
        <v>6268542</v>
      </c>
      <c r="E31" s="58">
        <f>SUM(E15:E30)</f>
        <v>62392.85</v>
      </c>
      <c r="F31" s="152">
        <f>SUM(F15:F30)</f>
        <v>11963612</v>
      </c>
      <c r="G31" s="59">
        <f>AVERAGE(C31:F31)</f>
        <v>5763349.2125000004</v>
      </c>
      <c r="H31" s="59">
        <f>SUM(C31:E31)+SUM(C11:E13)</f>
        <v>11110384.85</v>
      </c>
    </row>
    <row r="32" spans="1:10" ht="13.5" customHeight="1">
      <c r="A32" s="45" t="s">
        <v>75</v>
      </c>
      <c r="B32" s="46"/>
      <c r="C32" s="49"/>
      <c r="D32" s="49"/>
      <c r="E32" s="49"/>
      <c r="F32" s="192"/>
    </row>
    <row r="33" spans="1:8" ht="13.5" customHeight="1">
      <c r="A33" s="51"/>
      <c r="B33" s="52" t="s">
        <v>76</v>
      </c>
      <c r="C33" s="34">
        <v>927088</v>
      </c>
      <c r="D33" s="34">
        <v>1789507</v>
      </c>
      <c r="E33" s="34">
        <v>24846.85</v>
      </c>
      <c r="F33" s="35">
        <v>2098726</v>
      </c>
      <c r="H33" s="36">
        <f>SUM(C33:E33)</f>
        <v>2741441.85</v>
      </c>
    </row>
    <row r="34" spans="1:8" ht="13.5" customHeight="1">
      <c r="A34" s="51"/>
      <c r="B34" s="52" t="s">
        <v>77</v>
      </c>
      <c r="C34" s="34">
        <v>2490585</v>
      </c>
      <c r="D34" s="34">
        <v>1491862</v>
      </c>
      <c r="E34" s="34">
        <v>0</v>
      </c>
      <c r="F34" s="35">
        <v>2066627</v>
      </c>
      <c r="H34" s="36">
        <f>SUM(C34:E34)</f>
        <v>3982447</v>
      </c>
    </row>
    <row r="35" spans="1:8" ht="13.5" customHeight="1">
      <c r="A35" s="51"/>
      <c r="B35" s="52" t="s">
        <v>78</v>
      </c>
      <c r="C35" s="34">
        <v>0</v>
      </c>
      <c r="D35" s="34">
        <v>252409</v>
      </c>
      <c r="E35" s="34">
        <v>0</v>
      </c>
      <c r="F35" s="35">
        <v>626946</v>
      </c>
    </row>
    <row r="36" spans="1:8" ht="13.5" customHeight="1">
      <c r="A36" s="51"/>
      <c r="B36" s="52" t="s">
        <v>79</v>
      </c>
      <c r="C36" s="34">
        <v>116758</v>
      </c>
      <c r="D36" s="34">
        <v>506850</v>
      </c>
      <c r="E36" s="34">
        <v>0</v>
      </c>
      <c r="F36" s="35">
        <v>300636</v>
      </c>
    </row>
    <row r="37" spans="1:8" ht="13.5" customHeight="1">
      <c r="A37" s="51"/>
      <c r="B37" s="52" t="s">
        <v>67</v>
      </c>
      <c r="C37" s="34">
        <v>584602</v>
      </c>
      <c r="D37" s="34">
        <v>369910</v>
      </c>
      <c r="E37" s="34">
        <v>0</v>
      </c>
      <c r="F37" s="35">
        <v>97042</v>
      </c>
    </row>
    <row r="38" spans="1:8" ht="13.5" customHeight="1">
      <c r="A38" s="51"/>
      <c r="B38" s="52" t="s">
        <v>80</v>
      </c>
      <c r="C38" s="34">
        <v>0</v>
      </c>
      <c r="D38" s="34">
        <v>0</v>
      </c>
      <c r="E38" s="34">
        <v>0</v>
      </c>
      <c r="F38" s="35">
        <v>269</v>
      </c>
    </row>
    <row r="39" spans="1:8" ht="13.5" customHeight="1">
      <c r="A39" s="51"/>
      <c r="B39" s="52" t="s">
        <v>81</v>
      </c>
      <c r="C39" s="34">
        <v>0</v>
      </c>
      <c r="D39" s="34">
        <v>115757</v>
      </c>
      <c r="E39" s="34">
        <v>0</v>
      </c>
      <c r="F39" s="35">
        <v>58785</v>
      </c>
    </row>
    <row r="40" spans="1:8" ht="13.5" customHeight="1">
      <c r="A40" s="51"/>
      <c r="B40" s="52" t="s">
        <v>60</v>
      </c>
      <c r="C40" s="34">
        <v>157789</v>
      </c>
      <c r="D40" s="34">
        <v>374970</v>
      </c>
      <c r="E40" s="34">
        <v>0</v>
      </c>
      <c r="F40" s="35">
        <v>325894</v>
      </c>
    </row>
    <row r="41" spans="1:8" ht="13.5" customHeight="1">
      <c r="A41" s="51"/>
      <c r="B41" s="52" t="s">
        <v>61</v>
      </c>
      <c r="C41" s="34">
        <v>24780</v>
      </c>
      <c r="D41" s="34">
        <v>13074</v>
      </c>
      <c r="E41" s="34">
        <v>0</v>
      </c>
      <c r="F41" s="35">
        <v>0</v>
      </c>
    </row>
    <row r="42" spans="1:8" ht="13.5" customHeight="1">
      <c r="A42" s="51"/>
      <c r="B42" s="52" t="s">
        <v>62</v>
      </c>
      <c r="C42" s="34">
        <v>0</v>
      </c>
      <c r="D42" s="34">
        <v>0</v>
      </c>
      <c r="E42" s="34">
        <v>0</v>
      </c>
      <c r="F42" s="35">
        <v>0</v>
      </c>
    </row>
    <row r="43" spans="1:8" ht="13.5" customHeight="1">
      <c r="A43" s="51"/>
      <c r="B43" s="52" t="s">
        <v>63</v>
      </c>
      <c r="C43" s="34">
        <v>0</v>
      </c>
      <c r="D43" s="34">
        <v>0</v>
      </c>
      <c r="E43" s="34">
        <v>0</v>
      </c>
      <c r="F43" s="35">
        <v>1491649</v>
      </c>
    </row>
    <row r="44" spans="1:8" ht="13.5" customHeight="1">
      <c r="A44" s="51"/>
      <c r="B44" s="52" t="s">
        <v>82</v>
      </c>
      <c r="C44" s="34">
        <v>0</v>
      </c>
      <c r="D44" s="34">
        <v>1161724</v>
      </c>
      <c r="E44" s="34">
        <v>0</v>
      </c>
      <c r="F44" s="35">
        <v>595677</v>
      </c>
    </row>
    <row r="45" spans="1:8" ht="13.5" customHeight="1">
      <c r="A45" s="51"/>
      <c r="B45" s="52" t="s">
        <v>65</v>
      </c>
      <c r="C45" s="34">
        <v>0</v>
      </c>
      <c r="D45" s="34">
        <v>0</v>
      </c>
      <c r="E45" s="34">
        <v>0</v>
      </c>
      <c r="F45" s="35">
        <v>0</v>
      </c>
    </row>
    <row r="46" spans="1:8" ht="13.5" customHeight="1">
      <c r="A46" s="51"/>
      <c r="B46" s="52" t="s">
        <v>83</v>
      </c>
      <c r="C46" s="34">
        <v>0</v>
      </c>
      <c r="D46" s="34">
        <v>54690</v>
      </c>
      <c r="E46" s="34">
        <v>0</v>
      </c>
      <c r="F46" s="35">
        <f>47079+690263</f>
        <v>737342</v>
      </c>
    </row>
    <row r="47" spans="1:8" ht="13.5" customHeight="1">
      <c r="A47" s="51"/>
      <c r="B47" s="52" t="s">
        <v>84</v>
      </c>
      <c r="C47" s="34">
        <v>47059</v>
      </c>
      <c r="D47" s="34">
        <v>31398</v>
      </c>
      <c r="E47" s="34">
        <v>0</v>
      </c>
      <c r="F47" s="35">
        <v>100762</v>
      </c>
    </row>
    <row r="48" spans="1:8" ht="13.5" customHeight="1">
      <c r="A48" s="51"/>
      <c r="B48" s="52" t="s">
        <v>85</v>
      </c>
      <c r="C48" s="34">
        <v>42473</v>
      </c>
      <c r="D48" s="34">
        <v>41027</v>
      </c>
      <c r="E48" s="34">
        <v>-8117.8600000000006</v>
      </c>
      <c r="F48" s="35">
        <v>8625</v>
      </c>
    </row>
    <row r="49" spans="1:8" ht="13.5" customHeight="1">
      <c r="A49" s="51"/>
      <c r="B49" s="52" t="s">
        <v>86</v>
      </c>
      <c r="C49" s="34">
        <v>-121</v>
      </c>
      <c r="D49" s="34">
        <v>3484</v>
      </c>
      <c r="E49" s="34">
        <v>0</v>
      </c>
      <c r="F49" s="35">
        <v>1590</v>
      </c>
    </row>
    <row r="50" spans="1:8" ht="13.5" customHeight="1">
      <c r="A50" s="51"/>
      <c r="B50" s="52" t="s">
        <v>87</v>
      </c>
      <c r="C50" s="34">
        <v>0</v>
      </c>
      <c r="D50" s="34">
        <v>1038</v>
      </c>
      <c r="E50" s="34">
        <v>0</v>
      </c>
      <c r="F50" s="35">
        <f>1078+2613769</f>
        <v>2614847</v>
      </c>
    </row>
    <row r="51" spans="1:8" s="40" customFormat="1" ht="13.5" customHeight="1" thickBot="1">
      <c r="A51" s="56" t="s">
        <v>88</v>
      </c>
      <c r="B51" s="57"/>
      <c r="C51" s="58">
        <f>SUM(C33:C50)</f>
        <v>4391013</v>
      </c>
      <c r="D51" s="58">
        <f>SUM(D33:D50)</f>
        <v>6207700</v>
      </c>
      <c r="E51" s="58">
        <f>SUM(E33:E50)</f>
        <v>16728.989999999998</v>
      </c>
      <c r="F51" s="152">
        <f>SUM(F33:F50)</f>
        <v>11125417</v>
      </c>
      <c r="G51" s="59">
        <f>AVERAGE(C51:F51)</f>
        <v>5435214.7475000005</v>
      </c>
      <c r="H51" s="59">
        <f>+SUM(C51:E51)+SUM(C53:E53)</f>
        <v>12221412.939999999</v>
      </c>
    </row>
    <row r="52" spans="1:8" ht="13.5" customHeight="1">
      <c r="A52" s="45" t="s">
        <v>89</v>
      </c>
      <c r="B52" s="46"/>
      <c r="C52" s="29"/>
      <c r="D52" s="29"/>
      <c r="E52" s="29"/>
      <c r="F52" s="32"/>
    </row>
    <row r="53" spans="1:8" s="40" customFormat="1" ht="13.5" customHeight="1">
      <c r="A53" s="41"/>
      <c r="B53" s="42" t="s">
        <v>90</v>
      </c>
      <c r="C53" s="43">
        <v>236274</v>
      </c>
      <c r="D53" s="43">
        <v>252496</v>
      </c>
      <c r="E53" s="43">
        <v>1117200.95</v>
      </c>
      <c r="F53" s="44">
        <v>730731</v>
      </c>
      <c r="H53" s="36">
        <f>SUM(C53:E53)</f>
        <v>1605970.95</v>
      </c>
    </row>
    <row r="54" spans="1:8" s="40" customFormat="1" ht="13.5" customHeight="1">
      <c r="A54" s="62" t="s">
        <v>91</v>
      </c>
      <c r="B54" s="63"/>
      <c r="C54" s="70">
        <f>+C31-C51</f>
        <v>367837</v>
      </c>
      <c r="D54" s="70">
        <f>+D31-D51</f>
        <v>60842</v>
      </c>
      <c r="E54" s="70">
        <f>+E31-E51</f>
        <v>45663.86</v>
      </c>
      <c r="F54" s="71">
        <f>+F31-F51</f>
        <v>838195</v>
      </c>
      <c r="G54" s="59">
        <f>AVERAGE(C54:F54)</f>
        <v>328134.46499999997</v>
      </c>
    </row>
    <row r="55" spans="1:8" s="40" customFormat="1" ht="13.5" customHeight="1">
      <c r="A55" s="62" t="s">
        <v>92</v>
      </c>
      <c r="B55" s="63"/>
      <c r="C55" s="70">
        <f>+C54-C53</f>
        <v>131563</v>
      </c>
      <c r="D55" s="70">
        <f>+D54-D53</f>
        <v>-191654</v>
      </c>
      <c r="E55" s="70">
        <f>+E54-E53</f>
        <v>-1071537.0899999999</v>
      </c>
      <c r="F55" s="71">
        <f>+F54-F53</f>
        <v>107464</v>
      </c>
      <c r="G55" s="59">
        <f>AVERAGE(C55:F55)</f>
        <v>-256041.02249999996</v>
      </c>
    </row>
    <row r="56" spans="1:8" s="40" customFormat="1" ht="13.5" customHeight="1">
      <c r="A56" s="62" t="s">
        <v>93</v>
      </c>
      <c r="B56" s="63"/>
      <c r="C56" s="70">
        <f>C11+C12+C13+C31-C51+C52</f>
        <v>388437</v>
      </c>
      <c r="D56" s="70">
        <f>D11+D12+D13+D31-D51+D52</f>
        <v>60842</v>
      </c>
      <c r="E56" s="70">
        <f>E11+E12+E13+E31-E51+E52</f>
        <v>45663.86</v>
      </c>
      <c r="F56" s="71">
        <f>F11+F12+F13+F31-F51+F52</f>
        <v>838195</v>
      </c>
      <c r="G56" s="59">
        <f>AVERAGE(C56:F56)</f>
        <v>333284.46499999997</v>
      </c>
    </row>
    <row r="57" spans="1:8" s="40" customFormat="1" ht="13.5" customHeight="1">
      <c r="A57" s="62" t="s">
        <v>94</v>
      </c>
      <c r="B57" s="63"/>
      <c r="C57" s="70">
        <f>+C11+C12+C13+C31-C51-C53</f>
        <v>152163</v>
      </c>
      <c r="D57" s="70">
        <f>+D11+D12+D13+D31-D51-D53</f>
        <v>-191654</v>
      </c>
      <c r="E57" s="70">
        <f>+E11+E12+E13+E31-E51-E53</f>
        <v>-1071537.0899999999</v>
      </c>
      <c r="F57" s="71">
        <f>+F11+F12+F13+F31-F51-F53</f>
        <v>107464</v>
      </c>
      <c r="G57" s="59">
        <f>AVERAGE(C57:F57)</f>
        <v>-250891.02249999996</v>
      </c>
      <c r="H57" s="59">
        <f>SUM(C57:E57)</f>
        <v>-1111028.0899999999</v>
      </c>
    </row>
    <row r="58" spans="1:8" ht="13.5" customHeight="1">
      <c r="A58" s="22" t="s">
        <v>95</v>
      </c>
      <c r="B58" s="23"/>
      <c r="C58" s="65"/>
      <c r="D58" s="66"/>
      <c r="E58" s="66"/>
      <c r="F58" s="191"/>
      <c r="G58" s="147"/>
    </row>
    <row r="59" spans="1:8" ht="13.5" customHeight="1">
      <c r="A59" s="22"/>
      <c r="B59" s="46" t="s">
        <v>46</v>
      </c>
      <c r="C59" s="34">
        <v>490856</v>
      </c>
      <c r="D59" s="34">
        <v>-202941</v>
      </c>
      <c r="E59" s="34">
        <v>216767.29</v>
      </c>
      <c r="F59" s="35">
        <v>2322087</v>
      </c>
      <c r="G59" s="147">
        <f>SUM(C59:F59)/4</f>
        <v>706692.32250000001</v>
      </c>
    </row>
    <row r="60" spans="1:8" ht="13.5" customHeight="1">
      <c r="A60" s="22"/>
      <c r="B60" s="46" t="s">
        <v>47</v>
      </c>
      <c r="C60" s="34"/>
      <c r="D60" s="34">
        <v>0</v>
      </c>
      <c r="E60" s="34">
        <v>0</v>
      </c>
      <c r="F60" s="35">
        <v>0</v>
      </c>
      <c r="G60" s="36">
        <f>MAX(C59:F59)</f>
        <v>2322087</v>
      </c>
    </row>
    <row r="61" spans="1:8" ht="13.5" customHeight="1">
      <c r="A61" s="22"/>
      <c r="B61" s="46" t="s">
        <v>48</v>
      </c>
      <c r="C61" s="34">
        <v>1866825</v>
      </c>
      <c r="D61" s="34">
        <v>2522931</v>
      </c>
      <c r="E61" s="34">
        <v>25454958.59</v>
      </c>
      <c r="F61" s="35">
        <v>3871319</v>
      </c>
      <c r="G61" s="36">
        <f>MIN(C59:F59)</f>
        <v>-202941</v>
      </c>
    </row>
    <row r="62" spans="1:8" s="40" customFormat="1" ht="13.5" customHeight="1">
      <c r="A62" s="203"/>
      <c r="B62" s="38" t="s">
        <v>50</v>
      </c>
      <c r="C62" s="97">
        <f>SUM(C59:C61)</f>
        <v>2357681</v>
      </c>
      <c r="D62" s="97">
        <f>SUM(D59:D61)</f>
        <v>2319990</v>
      </c>
      <c r="E62" s="97">
        <f>SUM(E59:E61)</f>
        <v>25671725.879999999</v>
      </c>
      <c r="F62" s="98">
        <f>SUM(F59:F61)</f>
        <v>6193406</v>
      </c>
    </row>
    <row r="63" spans="1:8" s="133" customFormat="1" ht="13.5" customHeight="1" thickBot="1">
      <c r="A63" s="157" t="s">
        <v>96</v>
      </c>
      <c r="B63" s="129"/>
      <c r="C63" s="204">
        <f>C59/(C51)</f>
        <v>0.11178650575618883</v>
      </c>
      <c r="D63" s="160">
        <f>D59/(D51)</f>
        <v>-3.2691818225751887E-2</v>
      </c>
      <c r="E63" s="160">
        <f>E59/(E51)</f>
        <v>12.957583811096788</v>
      </c>
      <c r="F63" s="333">
        <f>F59/(F51)</f>
        <v>0.20871909789988097</v>
      </c>
      <c r="G63" s="205">
        <f>AVERAGE(C63:F63)</f>
        <v>3.3113493991317764</v>
      </c>
    </row>
    <row r="64" spans="1:8" ht="12.75" hidden="1" customHeight="1">
      <c r="A64" s="100"/>
      <c r="B64" s="100" t="s">
        <v>97</v>
      </c>
      <c r="C64" s="83">
        <f>+C9+C11+C12+C13+C31-C51-C53-C62</f>
        <v>-1</v>
      </c>
      <c r="D64" s="85">
        <f>+D9+D11+D12+D13+D31-D51-D53-D62</f>
        <v>-1</v>
      </c>
      <c r="E64" s="85">
        <f>+E9+E11+E12+E13+E31-E51-E53-E62</f>
        <v>-0.44999999552965164</v>
      </c>
      <c r="F64" s="85">
        <f>+F9+F11+F12+F13+F31-F51-F53-F62</f>
        <v>-1</v>
      </c>
      <c r="G64" s="86">
        <f>MAX(C63:F63)</f>
        <v>12.957583811096788</v>
      </c>
    </row>
    <row r="65" spans="1:8" ht="12.75" hidden="1" customHeight="1">
      <c r="A65" s="90"/>
      <c r="B65" s="90"/>
      <c r="C65" s="85">
        <f>+C9+C57-C62</f>
        <v>-1</v>
      </c>
      <c r="D65" s="85">
        <f>+D9+D57-D62</f>
        <v>-1</v>
      </c>
      <c r="E65" s="85">
        <f>+E9+E57-E62</f>
        <v>-0.44999999925494194</v>
      </c>
      <c r="F65" s="85">
        <f>+F9+F57-F62</f>
        <v>-1</v>
      </c>
      <c r="G65" s="206">
        <f>MIN(C63:F63)</f>
        <v>-3.2691818225751887E-2</v>
      </c>
    </row>
    <row r="66" spans="1:8">
      <c r="A66" s="90"/>
      <c r="B66" s="90"/>
      <c r="C66" s="85"/>
      <c r="D66" s="85"/>
      <c r="E66" s="85"/>
      <c r="F66" s="85"/>
      <c r="G66" s="206"/>
    </row>
    <row r="67" spans="1:8" ht="12.75" customHeight="1">
      <c r="A67" s="323" t="s">
        <v>225</v>
      </c>
      <c r="B67" s="230"/>
      <c r="C67" s="230"/>
      <c r="D67" s="230"/>
      <c r="E67" s="230"/>
      <c r="F67" s="85"/>
      <c r="G67" s="206"/>
    </row>
    <row r="68" spans="1:8" ht="12.75" customHeight="1">
      <c r="A68" s="320" t="s">
        <v>226</v>
      </c>
      <c r="B68" s="230"/>
      <c r="C68" s="230"/>
      <c r="D68" s="230"/>
      <c r="E68" s="230"/>
    </row>
    <row r="69" spans="1:8" ht="12.75" customHeight="1">
      <c r="A69" s="321" t="s">
        <v>98</v>
      </c>
      <c r="B69" s="230"/>
      <c r="C69" s="230"/>
      <c r="D69" s="230"/>
      <c r="E69" s="230"/>
    </row>
    <row r="70" spans="1:8">
      <c r="A70" s="322"/>
      <c r="B70" s="91"/>
      <c r="C70" s="91"/>
      <c r="D70" s="91"/>
      <c r="E70" s="91"/>
    </row>
    <row r="71" spans="1:8" ht="12.75" customHeight="1">
      <c r="A71" s="320" t="s">
        <v>227</v>
      </c>
      <c r="B71" s="230"/>
      <c r="C71" s="230"/>
      <c r="D71" s="230"/>
      <c r="E71" s="230"/>
    </row>
    <row r="72" spans="1:8" ht="12.75" customHeight="1">
      <c r="A72" s="320" t="s">
        <v>99</v>
      </c>
      <c r="B72" s="230"/>
      <c r="C72" s="230"/>
      <c r="D72" s="230"/>
      <c r="E72" s="230"/>
    </row>
    <row r="73" spans="1:8" ht="12.75" customHeight="1">
      <c r="A73" s="320" t="s">
        <v>100</v>
      </c>
      <c r="B73" s="8"/>
      <c r="C73" s="238"/>
      <c r="D73" s="238"/>
      <c r="E73" s="238"/>
    </row>
    <row r="74" spans="1:8" ht="13.5" thickBot="1">
      <c r="A74" s="91"/>
      <c r="B74" s="241"/>
      <c r="C74" s="238"/>
      <c r="D74" s="238"/>
      <c r="E74" s="238"/>
    </row>
    <row r="75" spans="1:8">
      <c r="A75" s="403"/>
      <c r="B75" s="404"/>
      <c r="C75" s="310"/>
      <c r="D75" s="310"/>
      <c r="E75" s="310"/>
      <c r="F75" s="311"/>
    </row>
    <row r="76" spans="1:8" ht="69.75" customHeight="1">
      <c r="A76" s="405"/>
      <c r="B76" s="406"/>
      <c r="C76" s="348" t="str">
        <f>C2</f>
        <v>1-A DAA,     Grand National Rodeo &amp; Show</v>
      </c>
      <c r="D76" s="348" t="str">
        <f>D2</f>
        <v>15th DAA,        Kern County Fair</v>
      </c>
      <c r="E76" s="375" t="str">
        <f>E2</f>
        <v>50th DAA, Antelope Valley Fair</v>
      </c>
      <c r="F76" s="349" t="str">
        <f>F2</f>
        <v>San Mateo County Fair</v>
      </c>
    </row>
    <row r="77" spans="1:8" ht="13.5" customHeight="1">
      <c r="A77" s="22" t="s">
        <v>101</v>
      </c>
      <c r="B77" s="52"/>
      <c r="C77" s="94"/>
      <c r="D77" s="94"/>
      <c r="E77" s="94"/>
      <c r="F77" s="200"/>
    </row>
    <row r="78" spans="1:8" ht="13.5" customHeight="1">
      <c r="A78" s="22" t="s">
        <v>102</v>
      </c>
      <c r="B78" s="52"/>
      <c r="C78" s="94"/>
      <c r="D78" s="94"/>
      <c r="E78" s="94"/>
      <c r="F78" s="200"/>
    </row>
    <row r="79" spans="1:8" ht="13.5" customHeight="1">
      <c r="A79" s="51"/>
      <c r="B79" s="52" t="s">
        <v>103</v>
      </c>
      <c r="C79" s="34"/>
      <c r="D79" s="34"/>
      <c r="E79" s="34"/>
      <c r="F79" s="35"/>
    </row>
    <row r="80" spans="1:8" ht="13.5" customHeight="1">
      <c r="A80" s="51"/>
      <c r="B80" s="52" t="s">
        <v>104</v>
      </c>
      <c r="C80" s="26">
        <v>0</v>
      </c>
      <c r="D80" s="26">
        <v>0</v>
      </c>
      <c r="E80" s="26">
        <v>0</v>
      </c>
      <c r="F80" s="201">
        <v>5528434</v>
      </c>
      <c r="H80" s="96">
        <f>SUM(C80:E80)</f>
        <v>0</v>
      </c>
    </row>
    <row r="81" spans="1:8" ht="13.5" customHeight="1">
      <c r="A81" s="51"/>
      <c r="B81" s="52" t="s">
        <v>105</v>
      </c>
      <c r="C81" s="34">
        <v>1300190</v>
      </c>
      <c r="D81" s="34">
        <v>1100986</v>
      </c>
      <c r="E81" s="34">
        <v>26685.059999999998</v>
      </c>
      <c r="F81" s="35">
        <v>2767083</v>
      </c>
      <c r="H81" s="96">
        <f>SUM(C81:E81)</f>
        <v>2427861.06</v>
      </c>
    </row>
    <row r="82" spans="1:8" ht="13.5" customHeight="1">
      <c r="A82" s="51"/>
      <c r="B82" s="52" t="s">
        <v>106</v>
      </c>
      <c r="C82" s="34">
        <v>56031</v>
      </c>
      <c r="D82" s="34">
        <v>37092</v>
      </c>
      <c r="E82" s="34">
        <v>12.209999999992725</v>
      </c>
      <c r="F82" s="35">
        <v>510047</v>
      </c>
      <c r="H82" s="96">
        <f>SUM(C82:E82)</f>
        <v>93135.209999999992</v>
      </c>
    </row>
    <row r="83" spans="1:8" ht="13.5" customHeight="1">
      <c r="A83" s="51"/>
      <c r="B83" s="52" t="s">
        <v>107</v>
      </c>
      <c r="C83" s="34">
        <v>7667</v>
      </c>
      <c r="D83" s="34">
        <v>-8017</v>
      </c>
      <c r="E83" s="34">
        <v>0</v>
      </c>
      <c r="F83" s="35">
        <v>0</v>
      </c>
      <c r="H83" s="96">
        <f>SUM(C83:E83)</f>
        <v>-350</v>
      </c>
    </row>
    <row r="84" spans="1:8" ht="13.5" customHeight="1">
      <c r="A84" s="51"/>
      <c r="B84" s="52" t="s">
        <v>108</v>
      </c>
      <c r="C84" s="34"/>
      <c r="D84" s="34">
        <v>0</v>
      </c>
      <c r="E84" s="34">
        <v>196829.15</v>
      </c>
      <c r="F84" s="35">
        <v>159914</v>
      </c>
      <c r="H84" s="96">
        <f>SUM(C84:E84)</f>
        <v>196829.15</v>
      </c>
    </row>
    <row r="85" spans="1:8" ht="13.5" customHeight="1">
      <c r="A85" s="51"/>
      <c r="B85" s="207" t="s">
        <v>109</v>
      </c>
      <c r="C85" s="34">
        <v>70925</v>
      </c>
      <c r="D85" s="34">
        <v>0</v>
      </c>
      <c r="E85" s="34">
        <v>0</v>
      </c>
      <c r="F85" s="35">
        <v>103476</v>
      </c>
    </row>
    <row r="86" spans="1:8" ht="13.5" customHeight="1">
      <c r="A86" s="51"/>
      <c r="B86" s="52" t="s">
        <v>110</v>
      </c>
      <c r="C86" s="34">
        <v>145397</v>
      </c>
      <c r="D86" s="34">
        <v>0</v>
      </c>
      <c r="E86" s="34">
        <v>6245128.8799999999</v>
      </c>
      <c r="F86" s="35">
        <v>0</v>
      </c>
    </row>
    <row r="87" spans="1:8" ht="13.5" customHeight="1">
      <c r="A87" s="51"/>
      <c r="B87" s="52" t="s">
        <v>111</v>
      </c>
      <c r="C87" s="34">
        <v>13430855</v>
      </c>
      <c r="D87" s="34">
        <v>0</v>
      </c>
      <c r="E87" s="34">
        <v>26508211.809999999</v>
      </c>
      <c r="F87" s="35">
        <v>0</v>
      </c>
    </row>
    <row r="88" spans="1:8" ht="13.5" customHeight="1">
      <c r="A88" s="51"/>
      <c r="B88" s="52" t="s">
        <v>112</v>
      </c>
      <c r="C88" s="34">
        <v>1707568</v>
      </c>
      <c r="D88" s="34">
        <v>726532</v>
      </c>
      <c r="E88" s="34">
        <v>1917417.91</v>
      </c>
      <c r="F88" s="35">
        <v>3218586</v>
      </c>
    </row>
    <row r="89" spans="1:8" ht="13.5" customHeight="1">
      <c r="A89" s="51"/>
      <c r="B89" s="52" t="s">
        <v>113</v>
      </c>
      <c r="C89" s="34">
        <v>0</v>
      </c>
      <c r="D89" s="34">
        <v>8719055</v>
      </c>
      <c r="E89" s="34">
        <v>4736496.8600000003</v>
      </c>
      <c r="F89" s="35">
        <v>6678732</v>
      </c>
    </row>
    <row r="90" spans="1:8" ht="13.5" customHeight="1">
      <c r="A90" s="51"/>
      <c r="B90" s="52" t="s">
        <v>209</v>
      </c>
      <c r="C90" s="34">
        <v>0</v>
      </c>
      <c r="D90" s="34">
        <v>0</v>
      </c>
      <c r="E90" s="34">
        <v>0</v>
      </c>
      <c r="F90" s="35">
        <v>0</v>
      </c>
    </row>
    <row r="91" spans="1:8" ht="13.5" customHeight="1">
      <c r="A91" s="51"/>
      <c r="B91" s="52" t="s">
        <v>114</v>
      </c>
      <c r="C91" s="34">
        <f>-11594841-1531487</f>
        <v>-13126328</v>
      </c>
      <c r="D91" s="34">
        <f>-611888-6007891</f>
        <v>-6619779</v>
      </c>
      <c r="E91" s="34">
        <f>-9508668.43-1722447.46-1261010.45</f>
        <v>-12492126.34</v>
      </c>
      <c r="F91" s="35">
        <f>-2735646-3093829</f>
        <v>-5829475</v>
      </c>
      <c r="H91" s="36">
        <f>SUM(C85:E91)</f>
        <v>31969354.119999994</v>
      </c>
    </row>
    <row r="92" spans="1:8" ht="13.5" customHeight="1">
      <c r="A92" s="51"/>
      <c r="B92" s="52" t="s">
        <v>115</v>
      </c>
      <c r="C92" s="34">
        <v>0</v>
      </c>
      <c r="D92" s="34">
        <v>0</v>
      </c>
      <c r="E92" s="34">
        <v>0</v>
      </c>
      <c r="F92" s="35">
        <v>0</v>
      </c>
    </row>
    <row r="93" spans="1:8" s="40" customFormat="1" ht="13.5" customHeight="1">
      <c r="A93" s="37" t="s">
        <v>116</v>
      </c>
      <c r="B93" s="42"/>
      <c r="C93" s="208">
        <f>SUM(C80:C92)</f>
        <v>3592305</v>
      </c>
      <c r="D93" s="208">
        <f>SUM(D80:D92)</f>
        <v>3955869</v>
      </c>
      <c r="E93" s="208">
        <f>SUM(E80:E92)</f>
        <v>27138655.539999995</v>
      </c>
      <c r="F93" s="209">
        <f>SUM(F80:F92)</f>
        <v>13136797</v>
      </c>
      <c r="H93" s="99">
        <f>SUM(C93:E93)</f>
        <v>34686829.539999992</v>
      </c>
    </row>
    <row r="94" spans="1:8" ht="13.5" customHeight="1">
      <c r="A94" s="22" t="s">
        <v>117</v>
      </c>
      <c r="B94" s="52"/>
      <c r="C94" s="94"/>
      <c r="D94" s="94"/>
      <c r="E94" s="94"/>
      <c r="F94" s="200"/>
    </row>
    <row r="95" spans="1:8" ht="13.5" customHeight="1">
      <c r="A95" s="51"/>
      <c r="B95" s="52" t="s">
        <v>118</v>
      </c>
      <c r="C95" s="34">
        <v>0</v>
      </c>
      <c r="D95" s="331">
        <v>0</v>
      </c>
      <c r="E95" s="34">
        <v>0</v>
      </c>
      <c r="F95" s="353">
        <v>0</v>
      </c>
      <c r="H95" s="96">
        <f t="shared" ref="H95:H111" si="0">SUM(C95:E95)</f>
        <v>0</v>
      </c>
    </row>
    <row r="96" spans="1:8" ht="13.5" customHeight="1">
      <c r="A96" s="51"/>
      <c r="B96" s="52" t="s">
        <v>119</v>
      </c>
      <c r="C96" s="34">
        <v>432774</v>
      </c>
      <c r="D96" s="34">
        <v>141084</v>
      </c>
      <c r="E96" s="34">
        <v>145</v>
      </c>
      <c r="F96" s="35">
        <v>304172</v>
      </c>
      <c r="H96" s="96">
        <f t="shared" si="0"/>
        <v>574003</v>
      </c>
    </row>
    <row r="97" spans="1:8" ht="13.5" customHeight="1">
      <c r="A97" s="51"/>
      <c r="B97" s="52" t="s">
        <v>120</v>
      </c>
      <c r="C97" s="34">
        <v>54925</v>
      </c>
      <c r="D97" s="34">
        <v>3685</v>
      </c>
      <c r="E97" s="34">
        <v>0</v>
      </c>
      <c r="F97" s="35">
        <v>47581</v>
      </c>
      <c r="H97" s="96">
        <f t="shared" si="0"/>
        <v>58610</v>
      </c>
    </row>
    <row r="98" spans="1:8" ht="13.5" customHeight="1">
      <c r="A98" s="51"/>
      <c r="B98" s="52" t="s">
        <v>121</v>
      </c>
      <c r="C98" s="34">
        <v>217069</v>
      </c>
      <c r="D98" s="34">
        <v>39400</v>
      </c>
      <c r="E98" s="34">
        <v>0</v>
      </c>
      <c r="F98" s="35">
        <v>184358</v>
      </c>
      <c r="H98" s="96">
        <f t="shared" si="0"/>
        <v>256469</v>
      </c>
    </row>
    <row r="99" spans="1:8" ht="13.5" customHeight="1">
      <c r="A99" s="51"/>
      <c r="B99" s="52" t="s">
        <v>122</v>
      </c>
      <c r="C99" s="34">
        <v>3136</v>
      </c>
      <c r="D99" s="34">
        <f>-6899+68223</f>
        <v>61324</v>
      </c>
      <c r="E99" s="34">
        <v>6614.04</v>
      </c>
      <c r="F99" s="35">
        <f>175308+5528434</f>
        <v>5703742</v>
      </c>
      <c r="H99" s="96">
        <f t="shared" si="0"/>
        <v>71074.039999999994</v>
      </c>
    </row>
    <row r="100" spans="1:8" ht="13.5" customHeight="1">
      <c r="A100" s="51"/>
      <c r="B100" s="52" t="s">
        <v>123</v>
      </c>
      <c r="C100" s="34"/>
      <c r="D100" s="34">
        <v>380525</v>
      </c>
      <c r="E100" s="34">
        <v>0</v>
      </c>
      <c r="F100" s="35">
        <v>6458</v>
      </c>
      <c r="H100" s="96">
        <f t="shared" si="0"/>
        <v>380525</v>
      </c>
    </row>
    <row r="101" spans="1:8" ht="13.5" customHeight="1">
      <c r="A101" s="51"/>
      <c r="B101" s="52" t="s">
        <v>124</v>
      </c>
      <c r="C101" s="34">
        <v>165127</v>
      </c>
      <c r="D101" s="34">
        <v>393273</v>
      </c>
      <c r="E101" s="34">
        <v>0</v>
      </c>
      <c r="F101" s="35">
        <v>353345</v>
      </c>
      <c r="H101" s="96">
        <f t="shared" si="0"/>
        <v>558400</v>
      </c>
    </row>
    <row r="102" spans="1:8" ht="13.5" customHeight="1">
      <c r="A102" s="51"/>
      <c r="B102" s="52" t="s">
        <v>125</v>
      </c>
      <c r="C102" s="34">
        <v>361592</v>
      </c>
      <c r="D102" s="34">
        <v>302878</v>
      </c>
      <c r="E102" s="34">
        <v>1460170.62</v>
      </c>
      <c r="F102" s="35">
        <v>300000</v>
      </c>
      <c r="H102" s="96">
        <f t="shared" si="0"/>
        <v>2124640.62</v>
      </c>
    </row>
    <row r="103" spans="1:8" s="40" customFormat="1" ht="13.5" customHeight="1">
      <c r="A103" s="37" t="s">
        <v>126</v>
      </c>
      <c r="B103" s="42"/>
      <c r="C103" s="43">
        <f>SUM(C95:C102)</f>
        <v>1234623</v>
      </c>
      <c r="D103" s="43">
        <f>SUM(D95:D102)</f>
        <v>1322169</v>
      </c>
      <c r="E103" s="43">
        <f>SUM(E95:E102)</f>
        <v>1466929.6600000001</v>
      </c>
      <c r="F103" s="44">
        <f>SUM(F95:F102)</f>
        <v>6899656</v>
      </c>
      <c r="H103" s="99">
        <f t="shared" si="0"/>
        <v>4023721.66</v>
      </c>
    </row>
    <row r="104" spans="1:8" ht="13.5" customHeight="1">
      <c r="A104" s="22" t="s">
        <v>127</v>
      </c>
      <c r="B104" s="52"/>
      <c r="C104" s="94"/>
      <c r="D104" s="94"/>
      <c r="E104" s="94"/>
      <c r="F104" s="200"/>
      <c r="H104" s="96">
        <f t="shared" si="0"/>
        <v>0</v>
      </c>
    </row>
    <row r="105" spans="1:8" ht="13.5" customHeight="1">
      <c r="A105" s="51"/>
      <c r="B105" s="52" t="s">
        <v>128</v>
      </c>
      <c r="C105" s="34"/>
      <c r="D105" s="34">
        <v>313712</v>
      </c>
      <c r="E105" s="34">
        <v>0</v>
      </c>
      <c r="F105" s="35">
        <v>43734</v>
      </c>
      <c r="H105" s="96">
        <f t="shared" si="0"/>
        <v>313712</v>
      </c>
    </row>
    <row r="106" spans="1:8" ht="13.5" customHeight="1">
      <c r="A106" s="51"/>
      <c r="B106" s="52" t="s">
        <v>46</v>
      </c>
      <c r="C106" s="34">
        <f t="shared" ref="C106:D108" si="1">C59</f>
        <v>490856</v>
      </c>
      <c r="D106" s="34">
        <f t="shared" si="1"/>
        <v>-202941</v>
      </c>
      <c r="E106" s="34">
        <v>216767.29</v>
      </c>
      <c r="F106" s="35">
        <v>2322087</v>
      </c>
      <c r="H106" s="96">
        <f t="shared" si="0"/>
        <v>504682.29000000004</v>
      </c>
    </row>
    <row r="107" spans="1:8" ht="13.5" customHeight="1">
      <c r="A107" s="51"/>
      <c r="B107" s="52" t="s">
        <v>155</v>
      </c>
      <c r="C107" s="34">
        <f t="shared" si="1"/>
        <v>0</v>
      </c>
      <c r="D107" s="34">
        <f t="shared" si="1"/>
        <v>0</v>
      </c>
      <c r="E107" s="34">
        <v>0</v>
      </c>
      <c r="F107" s="35">
        <v>0</v>
      </c>
      <c r="H107" s="96">
        <f t="shared" si="0"/>
        <v>0</v>
      </c>
    </row>
    <row r="108" spans="1:8" ht="13.5" customHeight="1">
      <c r="A108" s="51"/>
      <c r="B108" s="52" t="s">
        <v>129</v>
      </c>
      <c r="C108" s="34">
        <f t="shared" si="1"/>
        <v>1866825</v>
      </c>
      <c r="D108" s="34">
        <f t="shared" si="1"/>
        <v>2522931</v>
      </c>
      <c r="E108" s="34">
        <v>25454958.59</v>
      </c>
      <c r="F108" s="35">
        <v>3871319</v>
      </c>
      <c r="H108" s="96">
        <f t="shared" si="0"/>
        <v>29844714.59</v>
      </c>
    </row>
    <row r="109" spans="1:8" ht="13.5" customHeight="1">
      <c r="A109" s="101"/>
      <c r="B109" s="102" t="s">
        <v>115</v>
      </c>
      <c r="C109" s="105">
        <v>0</v>
      </c>
      <c r="D109" s="105">
        <v>0</v>
      </c>
      <c r="E109" s="105">
        <v>0</v>
      </c>
      <c r="F109" s="35">
        <v>0</v>
      </c>
      <c r="H109" s="96">
        <f t="shared" si="0"/>
        <v>0</v>
      </c>
    </row>
    <row r="110" spans="1:8" s="40" customFormat="1" ht="13.5" customHeight="1">
      <c r="A110" s="210" t="s">
        <v>50</v>
      </c>
      <c r="B110" s="106"/>
      <c r="C110" s="107">
        <f>SUM(C105:C109)</f>
        <v>2357681</v>
      </c>
      <c r="D110" s="107">
        <f>SUM(D105:D109)</f>
        <v>2633702</v>
      </c>
      <c r="E110" s="107">
        <f>SUM(E105:E109)</f>
        <v>25671725.879999999</v>
      </c>
      <c r="F110" s="173">
        <f>SUM(F105:F109)</f>
        <v>6237140</v>
      </c>
      <c r="H110" s="99">
        <f t="shared" si="0"/>
        <v>30663108.879999999</v>
      </c>
    </row>
    <row r="111" spans="1:8" s="40" customFormat="1" ht="13.5" customHeight="1" thickBot="1">
      <c r="A111" s="56" t="s">
        <v>130</v>
      </c>
      <c r="B111" s="57"/>
      <c r="C111" s="109">
        <f>SUM(C103:C109)</f>
        <v>3592304</v>
      </c>
      <c r="D111" s="109">
        <f>SUM(D103:D109)</f>
        <v>3955871</v>
      </c>
      <c r="E111" s="109">
        <f>SUM(E103:E109)</f>
        <v>27138655.539999999</v>
      </c>
      <c r="F111" s="110">
        <f>SUM(F103:F109)</f>
        <v>13136796</v>
      </c>
      <c r="H111" s="99">
        <f t="shared" si="0"/>
        <v>34686830.539999999</v>
      </c>
    </row>
    <row r="112" spans="1:8" ht="12.75" hidden="1" customHeight="1">
      <c r="A112" s="111"/>
      <c r="B112" s="100" t="s">
        <v>97</v>
      </c>
      <c r="C112" s="211">
        <f>+C111-C93</f>
        <v>-1</v>
      </c>
      <c r="D112" s="211">
        <f>+D111-D93</f>
        <v>2</v>
      </c>
      <c r="E112" s="211">
        <f>+E111-E93</f>
        <v>0</v>
      </c>
      <c r="F112" s="211"/>
    </row>
    <row r="113" spans="1:7">
      <c r="A113" s="111"/>
      <c r="B113" s="142"/>
      <c r="C113" s="143"/>
      <c r="D113" s="144"/>
      <c r="E113" s="144"/>
      <c r="F113" s="354"/>
    </row>
    <row r="114" spans="1:7" ht="39" customHeight="1">
      <c r="A114" s="395" t="s">
        <v>131</v>
      </c>
      <c r="B114" s="396"/>
      <c r="C114" s="400">
        <f>C54/(C31)</f>
        <v>7.7295354970213392E-2</v>
      </c>
      <c r="D114" s="400">
        <f>D54/(D31)</f>
        <v>9.7059252374794656E-3</v>
      </c>
      <c r="E114" s="400">
        <f>E54/(E31)</f>
        <v>0.7318764890528322</v>
      </c>
      <c r="F114" s="400">
        <f>F54/(F31)</f>
        <v>7.0062034776788143E-2</v>
      </c>
    </row>
    <row r="115" spans="1:7" ht="24">
      <c r="A115" s="257"/>
      <c r="B115" s="258" t="s">
        <v>132</v>
      </c>
      <c r="C115" s="400"/>
      <c r="D115" s="400"/>
      <c r="E115" s="400"/>
      <c r="F115" s="400"/>
    </row>
    <row r="116" spans="1:7" ht="14.25">
      <c r="A116" s="251" t="s">
        <v>220</v>
      </c>
      <c r="B116" s="252"/>
      <c r="C116" s="401">
        <f>(SUM(C81:C82))/SUM(C95:C100)</f>
        <v>1.915826157219058</v>
      </c>
      <c r="D116" s="401">
        <f>(SUM(D81:D82))/SUM(D95:D100)</f>
        <v>1.8179637007242604</v>
      </c>
      <c r="E116" s="401">
        <f>(SUM(E81:E82))/SUM(E95:E100)</f>
        <v>3.9498612228955574</v>
      </c>
      <c r="F116" s="401">
        <f>(SUM(F81:F82))/SUM(F95:F100)</f>
        <v>0.5246504696932317</v>
      </c>
    </row>
    <row r="117" spans="1:7" ht="36">
      <c r="A117" s="253"/>
      <c r="B117" s="254" t="s">
        <v>221</v>
      </c>
      <c r="C117" s="402"/>
      <c r="D117" s="402"/>
      <c r="E117" s="402"/>
      <c r="F117" s="402"/>
    </row>
    <row r="118" spans="1:7" ht="14.25">
      <c r="A118" s="251" t="s">
        <v>222</v>
      </c>
      <c r="B118" s="252"/>
      <c r="C118" s="401">
        <f>(SUM(C81:C82))/SUM(C95:C101)</f>
        <v>1.5534625918209091</v>
      </c>
      <c r="D118" s="401">
        <f>(SUM(D81:D82))/SUM(D95:D101)</f>
        <v>1.1165388490627308</v>
      </c>
      <c r="E118" s="401">
        <f>(SUM(E81:E82))/SUM(E95:E101)</f>
        <v>3.9498612228955574</v>
      </c>
      <c r="F118" s="401">
        <f>(SUM(F81:F82))/SUM(F95:F101)</f>
        <v>0.49656072983197913</v>
      </c>
    </row>
    <row r="119" spans="1:7" ht="36">
      <c r="A119" s="253"/>
      <c r="B119" s="254" t="s">
        <v>223</v>
      </c>
      <c r="C119" s="402"/>
      <c r="D119" s="402"/>
      <c r="E119" s="402"/>
      <c r="F119" s="402"/>
    </row>
    <row r="120" spans="1:7" s="256" customFormat="1" ht="8.1" customHeight="1">
      <c r="A120" s="263"/>
      <c r="B120" s="264"/>
      <c r="C120" s="265"/>
      <c r="D120" s="265"/>
      <c r="E120" s="265"/>
      <c r="F120" s="266"/>
    </row>
    <row r="121" spans="1:7">
      <c r="A121" s="347" t="s">
        <v>133</v>
      </c>
      <c r="B121" s="260"/>
      <c r="C121" s="399">
        <f>C103/C93</f>
        <v>0.34368546100623415</v>
      </c>
      <c r="D121" s="399">
        <f>D103/D93</f>
        <v>0.33422972297616527</v>
      </c>
      <c r="E121" s="399">
        <f>E103/E93</f>
        <v>5.4053144152180814E-2</v>
      </c>
      <c r="F121" s="399">
        <f>F103/F93</f>
        <v>0.52521600204372498</v>
      </c>
    </row>
    <row r="122" spans="1:7" ht="25.5">
      <c r="A122" s="257"/>
      <c r="B122" s="261" t="s">
        <v>134</v>
      </c>
      <c r="C122" s="399"/>
      <c r="D122" s="399"/>
      <c r="E122" s="399"/>
      <c r="F122" s="399"/>
    </row>
    <row r="123" spans="1:7">
      <c r="A123" s="347" t="s">
        <v>135</v>
      </c>
      <c r="B123" s="262"/>
      <c r="C123" s="399">
        <f>C110/C93</f>
        <v>0.65631426062096621</v>
      </c>
      <c r="D123" s="399">
        <f>D110/D93</f>
        <v>0.66577078260174949</v>
      </c>
      <c r="E123" s="399">
        <f>E110/E93</f>
        <v>0.94594685584781935</v>
      </c>
      <c r="F123" s="399">
        <f>F110/F93</f>
        <v>0.4747839218342188</v>
      </c>
    </row>
    <row r="124" spans="1:7" ht="24">
      <c r="A124" s="257"/>
      <c r="B124" s="258" t="s">
        <v>136</v>
      </c>
      <c r="C124" s="399"/>
      <c r="D124" s="399"/>
      <c r="E124" s="399"/>
      <c r="F124" s="399"/>
    </row>
    <row r="125" spans="1:7">
      <c r="A125" s="397" t="s">
        <v>137</v>
      </c>
      <c r="B125" s="398"/>
      <c r="C125" s="399">
        <f>C103/C110</f>
        <v>0.52365990140311602</v>
      </c>
      <c r="D125" s="399">
        <f>D103/D110</f>
        <v>0.50201921098134872</v>
      </c>
      <c r="E125" s="399">
        <f>E103/E110</f>
        <v>5.7141840282068333E-2</v>
      </c>
      <c r="F125" s="399">
        <f>F103/F110</f>
        <v>1.1062211205777006</v>
      </c>
    </row>
    <row r="126" spans="1:7">
      <c r="A126" s="257"/>
      <c r="B126" s="258" t="s">
        <v>138</v>
      </c>
      <c r="C126" s="399"/>
      <c r="D126" s="399"/>
      <c r="E126" s="399"/>
      <c r="F126" s="399"/>
    </row>
    <row r="127" spans="1:7" s="256" customFormat="1" ht="8.1" customHeight="1">
      <c r="A127" s="267"/>
      <c r="B127" s="268"/>
      <c r="C127" s="268"/>
      <c r="D127" s="268"/>
      <c r="E127" s="268"/>
      <c r="F127" s="274"/>
    </row>
    <row r="128" spans="1:7">
      <c r="A128" s="277" t="s">
        <v>139</v>
      </c>
      <c r="B128" s="278"/>
      <c r="C128" s="94">
        <v>11</v>
      </c>
      <c r="D128" s="94">
        <v>24</v>
      </c>
      <c r="E128" s="94">
        <v>0</v>
      </c>
      <c r="F128" s="94">
        <v>66</v>
      </c>
      <c r="G128" s="137">
        <f>AVERAGE(C128:F128)</f>
        <v>25.25</v>
      </c>
    </row>
    <row r="129" spans="1:7" s="256" customFormat="1" ht="8.1" customHeight="1">
      <c r="A129" s="273"/>
      <c r="B129" s="268"/>
      <c r="C129" s="268"/>
      <c r="D129" s="268"/>
      <c r="E129" s="268"/>
      <c r="F129" s="274"/>
      <c r="G129" s="281"/>
    </row>
    <row r="130" spans="1:7">
      <c r="A130" s="283" t="s">
        <v>140</v>
      </c>
      <c r="B130" s="283"/>
      <c r="C130" s="276">
        <v>22497</v>
      </c>
      <c r="D130" s="276">
        <v>188338</v>
      </c>
      <c r="E130" s="276">
        <v>0</v>
      </c>
      <c r="F130" s="276">
        <v>87698</v>
      </c>
      <c r="G130" s="59">
        <f>AVERAGE(C130:F130)</f>
        <v>74633.25</v>
      </c>
    </row>
    <row r="131" spans="1:7">
      <c r="A131" s="275" t="s">
        <v>143</v>
      </c>
      <c r="B131" s="275"/>
      <c r="C131" s="276">
        <v>2676</v>
      </c>
      <c r="D131" s="276">
        <v>167175</v>
      </c>
      <c r="E131" s="276">
        <v>0</v>
      </c>
      <c r="F131" s="276">
        <v>27003</v>
      </c>
      <c r="G131" s="59">
        <f>AVERAGE(C131:F131)</f>
        <v>49213.5</v>
      </c>
    </row>
    <row r="132" spans="1:7">
      <c r="A132" s="275" t="s">
        <v>144</v>
      </c>
      <c r="B132" s="275"/>
      <c r="C132" s="276">
        <v>25173</v>
      </c>
      <c r="D132" s="276">
        <v>355513</v>
      </c>
      <c r="E132" s="276">
        <v>0</v>
      </c>
      <c r="F132" s="276">
        <v>114701</v>
      </c>
      <c r="G132" s="59">
        <f>AVERAGE(C132:F132)</f>
        <v>123846.75</v>
      </c>
    </row>
    <row r="133" spans="1:7">
      <c r="A133" s="20" t="s">
        <v>203</v>
      </c>
    </row>
    <row r="135" spans="1:7" s="87" customFormat="1">
      <c r="A135" s="357"/>
      <c r="B135" s="91"/>
      <c r="C135" s="238"/>
      <c r="D135" s="238"/>
      <c r="E135" s="238"/>
    </row>
    <row r="136" spans="1:7" s="87" customFormat="1">
      <c r="A136" s="357"/>
      <c r="B136" s="91"/>
      <c r="C136" s="239"/>
      <c r="D136" s="239"/>
      <c r="E136" s="239"/>
    </row>
  </sheetData>
  <mergeCells count="32">
    <mergeCell ref="F125:F126"/>
    <mergeCell ref="F118:F119"/>
    <mergeCell ref="D121:D122"/>
    <mergeCell ref="E121:E122"/>
    <mergeCell ref="F121:F122"/>
    <mergeCell ref="D123:D124"/>
    <mergeCell ref="E123:E124"/>
    <mergeCell ref="F123:F124"/>
    <mergeCell ref="F2:F3"/>
    <mergeCell ref="A114:B114"/>
    <mergeCell ref="A75:B76"/>
    <mergeCell ref="C114:C115"/>
    <mergeCell ref="C116:C117"/>
    <mergeCell ref="D114:D115"/>
    <mergeCell ref="E114:E115"/>
    <mergeCell ref="F114:F115"/>
    <mergeCell ref="D116:D117"/>
    <mergeCell ref="E116:E117"/>
    <mergeCell ref="F116:F117"/>
    <mergeCell ref="A125:B125"/>
    <mergeCell ref="A1:B3"/>
    <mergeCell ref="C2:C3"/>
    <mergeCell ref="D2:D3"/>
    <mergeCell ref="E2:E3"/>
    <mergeCell ref="C118:C119"/>
    <mergeCell ref="C121:C122"/>
    <mergeCell ref="C123:C124"/>
    <mergeCell ref="C125:C126"/>
    <mergeCell ref="D118:D119"/>
    <mergeCell ref="E118:E119"/>
    <mergeCell ref="D125:D126"/>
    <mergeCell ref="E125:E126"/>
  </mergeCells>
  <conditionalFormatting sqref="C114:D115">
    <cfRule type="cellIs" dxfId="10" priority="8" operator="lessThan">
      <formula>0</formula>
    </cfRule>
  </conditionalFormatting>
  <conditionalFormatting sqref="F114:F115">
    <cfRule type="cellIs" dxfId="9" priority="6" operator="lessThan">
      <formula>0</formula>
    </cfRule>
  </conditionalFormatting>
  <conditionalFormatting sqref="C63:D63 F63">
    <cfRule type="cellIs" dxfId="8" priority="5" operator="lessThan">
      <formula>0</formula>
    </cfRule>
  </conditionalFormatting>
  <conditionalFormatting sqref="E63">
    <cfRule type="cellIs" dxfId="7" priority="2" operator="lessThan">
      <formula>0</formula>
    </cfRule>
  </conditionalFormatting>
  <conditionalFormatting sqref="E114:E115">
    <cfRule type="cellIs" dxfId="6" priority="1" operator="lessThan">
      <formula>0</formula>
    </cfRule>
  </conditionalFormatting>
  <printOptions horizontalCentered="1"/>
  <pageMargins left="0.5" right="0.5" top="0.75" bottom="0.35" header="0.5" footer="0.15"/>
  <pageSetup scale="67" orientation="portrait" r:id="rId1"/>
  <headerFooter alignWithMargins="0">
    <oddHeader>&amp;C&amp;"Arial,Bold"&amp;12CLASS V FAIRS</oddHeader>
    <oddFooter>&amp;CFairs and Expositions</oddFooter>
  </headerFooter>
  <rowBreaks count="1" manualBreakCount="1">
    <brk id="74" max="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3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50" sqref="C50"/>
    </sheetView>
  </sheetViews>
  <sheetFormatPr defaultRowHeight="12.75"/>
  <cols>
    <col min="1" max="1" width="4.7109375" style="20" customWidth="1"/>
    <col min="2" max="2" width="50.7109375" style="20" customWidth="1"/>
    <col min="3" max="7" width="12.7109375" style="20" customWidth="1"/>
    <col min="8" max="8" width="14.85546875" style="20" customWidth="1"/>
    <col min="9" max="9" width="17.85546875" style="147" customWidth="1"/>
    <col min="10" max="16384" width="9.140625" style="20"/>
  </cols>
  <sheetData>
    <row r="1" spans="1:9" ht="12" customHeight="1">
      <c r="A1" s="383"/>
      <c r="B1" s="384"/>
      <c r="C1" s="310"/>
      <c r="D1" s="310"/>
      <c r="E1" s="310"/>
      <c r="F1" s="310"/>
      <c r="G1" s="311"/>
    </row>
    <row r="2" spans="1:9" ht="12" customHeight="1">
      <c r="A2" s="385"/>
      <c r="B2" s="386"/>
      <c r="C2" s="387" t="s">
        <v>204</v>
      </c>
      <c r="D2" s="387" t="s">
        <v>205</v>
      </c>
      <c r="E2" s="387" t="s">
        <v>206</v>
      </c>
      <c r="F2" s="387" t="s">
        <v>207</v>
      </c>
      <c r="G2" s="389" t="s">
        <v>208</v>
      </c>
    </row>
    <row r="3" spans="1:9" ht="69" customHeight="1">
      <c r="A3" s="385"/>
      <c r="B3" s="386"/>
      <c r="C3" s="390"/>
      <c r="D3" s="390"/>
      <c r="E3" s="390"/>
      <c r="F3" s="390"/>
      <c r="G3" s="409"/>
      <c r="I3" s="20" t="s">
        <v>44</v>
      </c>
    </row>
    <row r="4" spans="1:9" ht="13.5" customHeight="1">
      <c r="A4" s="22" t="s">
        <v>45</v>
      </c>
      <c r="B4" s="23"/>
      <c r="C4" s="100"/>
      <c r="D4" s="93"/>
      <c r="E4" s="93"/>
      <c r="F4" s="212"/>
      <c r="G4" s="213"/>
    </row>
    <row r="5" spans="1:9" ht="13.5" customHeight="1">
      <c r="A5" s="51"/>
      <c r="B5" s="23" t="s">
        <v>46</v>
      </c>
      <c r="C5" s="53">
        <v>2193993</v>
      </c>
      <c r="D5" s="53">
        <v>1960899</v>
      </c>
      <c r="E5" s="53">
        <v>237965</v>
      </c>
      <c r="F5" s="53">
        <v>4893305</v>
      </c>
      <c r="G5" s="55">
        <v>-773078</v>
      </c>
    </row>
    <row r="6" spans="1:9" ht="13.5" customHeight="1">
      <c r="A6" s="51"/>
      <c r="B6" s="31" t="s">
        <v>47</v>
      </c>
      <c r="C6" s="48">
        <v>0</v>
      </c>
      <c r="D6" s="48">
        <v>0</v>
      </c>
      <c r="E6" s="48">
        <v>0</v>
      </c>
      <c r="F6" s="48">
        <v>0</v>
      </c>
      <c r="G6" s="55">
        <v>11667</v>
      </c>
    </row>
    <row r="7" spans="1:9" s="68" customFormat="1" ht="13.5" customHeight="1">
      <c r="A7" s="22"/>
      <c r="B7" s="23" t="s">
        <v>48</v>
      </c>
      <c r="C7" s="54">
        <v>9499341</v>
      </c>
      <c r="D7" s="54">
        <v>8965507</v>
      </c>
      <c r="E7" s="54">
        <v>5836722</v>
      </c>
      <c r="F7" s="54">
        <v>6291103</v>
      </c>
      <c r="G7" s="55">
        <v>10484520</v>
      </c>
      <c r="I7" s="184"/>
    </row>
    <row r="8" spans="1:9" s="68" customFormat="1" ht="13.5" customHeight="1">
      <c r="A8" s="22"/>
      <c r="B8" s="23" t="s">
        <v>49</v>
      </c>
      <c r="C8" s="54"/>
      <c r="D8" s="54"/>
      <c r="E8" s="54"/>
      <c r="F8" s="54">
        <v>21464</v>
      </c>
      <c r="G8" s="55"/>
      <c r="I8" s="147">
        <f>SUM(C8:E8)</f>
        <v>0</v>
      </c>
    </row>
    <row r="9" spans="1:9" s="73" customFormat="1" ht="13.5" customHeight="1" thickBot="1">
      <c r="A9" s="56"/>
      <c r="B9" s="153" t="s">
        <v>50</v>
      </c>
      <c r="C9" s="109">
        <f>SUM(C5:C8)</f>
        <v>11693334</v>
      </c>
      <c r="D9" s="109">
        <f>SUM(D5:D8)</f>
        <v>10926406</v>
      </c>
      <c r="E9" s="109">
        <f>SUM(E5:E8)</f>
        <v>6074687</v>
      </c>
      <c r="F9" s="109">
        <f>SUM(F5:F8)</f>
        <v>11205872</v>
      </c>
      <c r="G9" s="110">
        <f>SUM(G5:G8)</f>
        <v>9723109</v>
      </c>
      <c r="I9" s="147">
        <f>SUM(C9:E9)</f>
        <v>28694427</v>
      </c>
    </row>
    <row r="10" spans="1:9" s="40" customFormat="1" ht="13.5" customHeight="1">
      <c r="A10" s="62" t="s">
        <v>51</v>
      </c>
      <c r="B10" s="63"/>
      <c r="C10" s="70"/>
      <c r="D10" s="70"/>
      <c r="E10" s="70"/>
      <c r="F10" s="70"/>
      <c r="G10" s="71"/>
      <c r="I10" s="125"/>
    </row>
    <row r="11" spans="1:9" s="40" customFormat="1" ht="13.5" customHeight="1">
      <c r="A11" s="41"/>
      <c r="B11" s="42" t="s">
        <v>52</v>
      </c>
      <c r="C11" s="43">
        <v>0</v>
      </c>
      <c r="D11" s="43">
        <v>0</v>
      </c>
      <c r="E11" s="43">
        <v>0</v>
      </c>
      <c r="F11" s="43">
        <v>0</v>
      </c>
      <c r="G11" s="44">
        <v>0</v>
      </c>
      <c r="I11" s="147">
        <f>SUM(C11:E11)</f>
        <v>0</v>
      </c>
    </row>
    <row r="12" spans="1:9" s="40" customFormat="1" ht="13.5" customHeight="1">
      <c r="A12" s="41"/>
      <c r="B12" s="42" t="s">
        <v>53</v>
      </c>
      <c r="C12" s="43">
        <v>0</v>
      </c>
      <c r="D12" s="43">
        <v>0</v>
      </c>
      <c r="E12" s="43">
        <v>250000</v>
      </c>
      <c r="F12" s="43">
        <v>0</v>
      </c>
      <c r="G12" s="44">
        <v>0</v>
      </c>
      <c r="I12" s="147">
        <f>SUM(C12:E12)</f>
        <v>250000</v>
      </c>
    </row>
    <row r="13" spans="1:9" s="40" customFormat="1" ht="13.5" customHeight="1" thickBot="1">
      <c r="A13" s="292"/>
      <c r="B13" s="57" t="s">
        <v>54</v>
      </c>
      <c r="C13" s="58">
        <v>0</v>
      </c>
      <c r="D13" s="58">
        <v>0</v>
      </c>
      <c r="E13" s="58">
        <v>0</v>
      </c>
      <c r="F13" s="58">
        <v>0</v>
      </c>
      <c r="G13" s="152">
        <v>80350</v>
      </c>
      <c r="I13" s="147">
        <f>SUM(C13:E13)</f>
        <v>0</v>
      </c>
    </row>
    <row r="14" spans="1:9" ht="13.5" customHeight="1">
      <c r="A14" s="45" t="s">
        <v>55</v>
      </c>
      <c r="B14" s="46"/>
      <c r="C14" s="48"/>
      <c r="D14" s="48"/>
      <c r="E14" s="48"/>
      <c r="F14" s="48"/>
      <c r="G14" s="50"/>
    </row>
    <row r="15" spans="1:9" ht="13.5" customHeight="1">
      <c r="A15" s="51"/>
      <c r="B15" s="52" t="s">
        <v>56</v>
      </c>
      <c r="C15" s="53">
        <v>1829924</v>
      </c>
      <c r="D15" s="53">
        <v>2190585</v>
      </c>
      <c r="E15" s="53">
        <v>1922845</v>
      </c>
      <c r="F15" s="53">
        <v>83538</v>
      </c>
      <c r="G15" s="30">
        <v>1643804</v>
      </c>
    </row>
    <row r="16" spans="1:9" ht="13.5" customHeight="1">
      <c r="A16" s="51"/>
      <c r="B16" s="52" t="s">
        <v>57</v>
      </c>
      <c r="C16" s="53">
        <v>381300</v>
      </c>
      <c r="D16" s="53">
        <v>369191</v>
      </c>
      <c r="E16" s="53">
        <v>0</v>
      </c>
      <c r="F16" s="53">
        <v>15950</v>
      </c>
      <c r="G16" s="30">
        <v>423510</v>
      </c>
    </row>
    <row r="17" spans="1:11" ht="13.5" customHeight="1">
      <c r="A17" s="51"/>
      <c r="B17" s="52" t="s">
        <v>58</v>
      </c>
      <c r="C17" s="53">
        <v>539887</v>
      </c>
      <c r="D17" s="53">
        <v>1222100</v>
      </c>
      <c r="E17" s="53">
        <v>1035037</v>
      </c>
      <c r="F17" s="53">
        <v>119619</v>
      </c>
      <c r="G17" s="30">
        <v>685848</v>
      </c>
    </row>
    <row r="18" spans="1:11" ht="13.5" customHeight="1">
      <c r="A18" s="51"/>
      <c r="B18" s="52" t="s">
        <v>59</v>
      </c>
      <c r="C18" s="53">
        <v>1402292</v>
      </c>
      <c r="D18" s="53">
        <v>1854076</v>
      </c>
      <c r="E18" s="53">
        <v>1314564</v>
      </c>
      <c r="F18" s="53">
        <v>49065</v>
      </c>
      <c r="G18" s="30">
        <v>1103466</v>
      </c>
    </row>
    <row r="19" spans="1:11" ht="13.5" customHeight="1">
      <c r="A19" s="51"/>
      <c r="B19" s="52" t="s">
        <v>60</v>
      </c>
      <c r="C19" s="53">
        <v>141735</v>
      </c>
      <c r="D19" s="53">
        <v>66877</v>
      </c>
      <c r="E19" s="53">
        <v>32822</v>
      </c>
      <c r="F19" s="53">
        <v>0</v>
      </c>
      <c r="G19" s="30">
        <v>99117</v>
      </c>
    </row>
    <row r="20" spans="1:11" ht="13.5" customHeight="1">
      <c r="A20" s="51"/>
      <c r="B20" s="52" t="s">
        <v>61</v>
      </c>
      <c r="C20" s="53">
        <v>238002</v>
      </c>
      <c r="D20" s="53">
        <v>0</v>
      </c>
      <c r="E20" s="53">
        <v>14333</v>
      </c>
      <c r="F20" s="53">
        <v>0</v>
      </c>
      <c r="G20" s="30">
        <v>0</v>
      </c>
    </row>
    <row r="21" spans="1:11" ht="13.5" customHeight="1">
      <c r="A21" s="51"/>
      <c r="B21" s="52" t="s">
        <v>62</v>
      </c>
      <c r="C21" s="54">
        <v>0</v>
      </c>
      <c r="D21" s="54">
        <v>875214</v>
      </c>
      <c r="E21" s="54">
        <v>0</v>
      </c>
      <c r="F21" s="54">
        <v>0</v>
      </c>
      <c r="G21" s="55">
        <v>1718943</v>
      </c>
    </row>
    <row r="22" spans="1:11" ht="13.5" customHeight="1">
      <c r="A22" s="51"/>
      <c r="B22" s="52" t="s">
        <v>63</v>
      </c>
      <c r="C22" s="53">
        <v>0</v>
      </c>
      <c r="D22" s="53">
        <v>465751</v>
      </c>
      <c r="E22" s="53">
        <v>1401639</v>
      </c>
      <c r="F22" s="53">
        <v>1480319</v>
      </c>
      <c r="G22" s="30">
        <v>406972</v>
      </c>
    </row>
    <row r="23" spans="1:11" ht="13.5" customHeight="1">
      <c r="A23" s="51"/>
      <c r="B23" s="52" t="s">
        <v>64</v>
      </c>
      <c r="C23" s="53">
        <v>5137003</v>
      </c>
      <c r="D23" s="53">
        <v>0</v>
      </c>
      <c r="E23" s="53">
        <v>29797</v>
      </c>
      <c r="F23" s="53">
        <v>0</v>
      </c>
      <c r="G23" s="30">
        <v>342561</v>
      </c>
    </row>
    <row r="24" spans="1:11" ht="13.5" customHeight="1">
      <c r="A24" s="51"/>
      <c r="B24" s="52" t="s">
        <v>65</v>
      </c>
      <c r="C24" s="53">
        <v>0</v>
      </c>
      <c r="D24" s="53">
        <v>0</v>
      </c>
      <c r="E24" s="53">
        <v>0</v>
      </c>
      <c r="F24" s="53">
        <v>30500</v>
      </c>
      <c r="G24" s="30">
        <v>0</v>
      </c>
    </row>
    <row r="25" spans="1:11" ht="13.5" customHeight="1">
      <c r="A25" s="51"/>
      <c r="B25" s="52" t="s">
        <v>66</v>
      </c>
      <c r="C25" s="53">
        <v>0</v>
      </c>
      <c r="D25" s="53">
        <v>0</v>
      </c>
      <c r="E25" s="53">
        <v>0</v>
      </c>
      <c r="F25" s="53">
        <v>0</v>
      </c>
      <c r="G25" s="30">
        <v>0</v>
      </c>
    </row>
    <row r="26" spans="1:11" ht="13.5" customHeight="1">
      <c r="A26" s="51"/>
      <c r="B26" s="52" t="s">
        <v>67</v>
      </c>
      <c r="C26" s="53">
        <v>0</v>
      </c>
      <c r="D26" s="53">
        <v>2953766</v>
      </c>
      <c r="E26" s="53">
        <v>884843</v>
      </c>
      <c r="F26" s="53">
        <f>25325+63190</f>
        <v>88515</v>
      </c>
      <c r="G26" s="30">
        <v>890067</v>
      </c>
      <c r="I26" s="214"/>
    </row>
    <row r="27" spans="1:11" ht="13.5" customHeight="1">
      <c r="A27" s="51"/>
      <c r="B27" s="52" t="s">
        <v>168</v>
      </c>
      <c r="C27" s="53">
        <v>813771</v>
      </c>
      <c r="D27" s="53">
        <v>0</v>
      </c>
      <c r="E27" s="53">
        <v>0</v>
      </c>
      <c r="F27" s="53">
        <v>0</v>
      </c>
      <c r="G27" s="30">
        <v>237202</v>
      </c>
    </row>
    <row r="28" spans="1:11" ht="13.5" customHeight="1">
      <c r="A28" s="51"/>
      <c r="B28" s="52" t="s">
        <v>69</v>
      </c>
      <c r="C28" s="53">
        <v>674548</v>
      </c>
      <c r="D28" s="53">
        <v>1461457</v>
      </c>
      <c r="E28" s="53">
        <v>1256910</v>
      </c>
      <c r="F28" s="53">
        <f>6446301</f>
        <v>6446301</v>
      </c>
      <c r="G28" s="30">
        <v>1999972</v>
      </c>
      <c r="I28" s="147">
        <f>SUM(C28:E28)</f>
        <v>3392915</v>
      </c>
    </row>
    <row r="29" spans="1:11" ht="13.5" customHeight="1">
      <c r="A29" s="51"/>
      <c r="B29" s="52" t="s">
        <v>70</v>
      </c>
      <c r="C29" s="34">
        <v>899</v>
      </c>
      <c r="D29" s="34">
        <v>106461</v>
      </c>
      <c r="E29" s="34">
        <v>2374</v>
      </c>
      <c r="F29" s="53">
        <v>0</v>
      </c>
      <c r="G29" s="30">
        <v>0</v>
      </c>
      <c r="I29" s="147">
        <f>SUM(C29:E29)</f>
        <v>109734</v>
      </c>
    </row>
    <row r="30" spans="1:11" ht="13.5" customHeight="1">
      <c r="A30" s="51"/>
      <c r="B30" s="52" t="s">
        <v>71</v>
      </c>
      <c r="C30" s="54">
        <v>13722</v>
      </c>
      <c r="D30" s="54">
        <v>16036</v>
      </c>
      <c r="E30" s="54">
        <v>90021</v>
      </c>
      <c r="F30" s="54">
        <v>0</v>
      </c>
      <c r="G30" s="55">
        <v>0</v>
      </c>
      <c r="I30" s="147">
        <f>SUM(C30:E30)</f>
        <v>119779</v>
      </c>
      <c r="J30" s="215">
        <f>+I30+I29+I8</f>
        <v>229513</v>
      </c>
      <c r="K30" s="20" t="s">
        <v>72</v>
      </c>
    </row>
    <row r="31" spans="1:11" s="40" customFormat="1" ht="13.5" customHeight="1" thickBot="1">
      <c r="A31" s="56" t="s">
        <v>73</v>
      </c>
      <c r="B31" s="57"/>
      <c r="C31" s="58">
        <f>SUM(C15:C30)</f>
        <v>11173083</v>
      </c>
      <c r="D31" s="58">
        <f>SUM(D15:D30)</f>
        <v>11581514</v>
      </c>
      <c r="E31" s="58">
        <f>SUM(E15:E30)</f>
        <v>7985185</v>
      </c>
      <c r="F31" s="58">
        <f>SUM(F15:F30)</f>
        <v>8313807</v>
      </c>
      <c r="G31" s="152">
        <f>SUM(G15:G30)</f>
        <v>9551462</v>
      </c>
      <c r="H31" s="125">
        <f>AVERAGE(C31:G31)</f>
        <v>9721010.1999999993</v>
      </c>
      <c r="I31" s="125">
        <f>SUM(C31:E31)+SUM(C11:E13)</f>
        <v>30989782</v>
      </c>
    </row>
    <row r="32" spans="1:11" ht="13.5" customHeight="1">
      <c r="A32" s="45" t="s">
        <v>75</v>
      </c>
      <c r="B32" s="46"/>
      <c r="C32" s="48"/>
      <c r="D32" s="48"/>
      <c r="E32" s="48"/>
      <c r="F32" s="48"/>
      <c r="G32" s="50"/>
    </row>
    <row r="33" spans="1:9" ht="13.5" customHeight="1">
      <c r="A33" s="51"/>
      <c r="B33" s="52" t="s">
        <v>76</v>
      </c>
      <c r="C33" s="53">
        <v>817125</v>
      </c>
      <c r="D33" s="53">
        <v>1654533</v>
      </c>
      <c r="E33" s="53">
        <v>1376236</v>
      </c>
      <c r="F33" s="53">
        <v>851804</v>
      </c>
      <c r="G33" s="30">
        <v>1278562</v>
      </c>
      <c r="I33" s="147">
        <f>SUM(C33:E33)</f>
        <v>3847894</v>
      </c>
    </row>
    <row r="34" spans="1:9" ht="13.5" customHeight="1">
      <c r="A34" s="51"/>
      <c r="B34" s="52" t="s">
        <v>77</v>
      </c>
      <c r="C34" s="53">
        <v>1734008</v>
      </c>
      <c r="D34" s="53">
        <v>2352785</v>
      </c>
      <c r="E34" s="53">
        <v>1896448</v>
      </c>
      <c r="F34" s="53">
        <v>990525</v>
      </c>
      <c r="G34" s="30">
        <v>2161650</v>
      </c>
      <c r="I34" s="147">
        <f>SUM(C34:E34)</f>
        <v>5983241</v>
      </c>
    </row>
    <row r="35" spans="1:9" ht="13.5" customHeight="1">
      <c r="A35" s="51"/>
      <c r="B35" s="52" t="s">
        <v>78</v>
      </c>
      <c r="C35" s="53">
        <v>386800</v>
      </c>
      <c r="D35" s="53">
        <v>574310</v>
      </c>
      <c r="E35" s="53">
        <v>352666</v>
      </c>
      <c r="F35" s="53">
        <v>49052</v>
      </c>
      <c r="G35" s="30">
        <v>350034</v>
      </c>
    </row>
    <row r="36" spans="1:9" ht="13.5" customHeight="1">
      <c r="A36" s="51"/>
      <c r="B36" s="52" t="s">
        <v>79</v>
      </c>
      <c r="C36" s="53">
        <v>597295</v>
      </c>
      <c r="D36" s="53">
        <v>1347268</v>
      </c>
      <c r="E36" s="53">
        <v>758541</v>
      </c>
      <c r="F36" s="53">
        <v>8396</v>
      </c>
      <c r="G36" s="30">
        <v>470633</v>
      </c>
    </row>
    <row r="37" spans="1:9" ht="13.5" customHeight="1">
      <c r="A37" s="51"/>
      <c r="B37" s="52" t="s">
        <v>67</v>
      </c>
      <c r="C37" s="53">
        <v>420050</v>
      </c>
      <c r="D37" s="53">
        <v>607185</v>
      </c>
      <c r="E37" s="53">
        <v>644640</v>
      </c>
      <c r="F37" s="53">
        <v>319151</v>
      </c>
      <c r="G37" s="30">
        <v>202844</v>
      </c>
    </row>
    <row r="38" spans="1:9" ht="13.5" customHeight="1">
      <c r="A38" s="51"/>
      <c r="B38" s="52" t="s">
        <v>80</v>
      </c>
      <c r="C38" s="53"/>
      <c r="D38" s="53">
        <v>0</v>
      </c>
      <c r="E38" s="53">
        <v>0</v>
      </c>
      <c r="F38" s="53">
        <v>0</v>
      </c>
      <c r="G38" s="30">
        <v>92304</v>
      </c>
    </row>
    <row r="39" spans="1:9" ht="13.5" customHeight="1">
      <c r="A39" s="51"/>
      <c r="B39" s="52" t="s">
        <v>81</v>
      </c>
      <c r="C39" s="53">
        <v>80254</v>
      </c>
      <c r="D39" s="53">
        <v>176795</v>
      </c>
      <c r="E39" s="53">
        <v>136247</v>
      </c>
      <c r="F39" s="53">
        <v>0</v>
      </c>
      <c r="G39" s="30">
        <v>297589</v>
      </c>
    </row>
    <row r="40" spans="1:9" ht="13.5" customHeight="1">
      <c r="A40" s="51"/>
      <c r="B40" s="52" t="s">
        <v>60</v>
      </c>
      <c r="C40" s="53">
        <v>205871</v>
      </c>
      <c r="D40" s="53">
        <v>665069</v>
      </c>
      <c r="E40" s="53">
        <v>411226</v>
      </c>
      <c r="F40" s="53">
        <v>20836</v>
      </c>
      <c r="G40" s="30">
        <v>635222</v>
      </c>
    </row>
    <row r="41" spans="1:9" ht="13.5" customHeight="1">
      <c r="A41" s="51"/>
      <c r="B41" s="52" t="s">
        <v>61</v>
      </c>
      <c r="C41" s="53">
        <v>248524</v>
      </c>
      <c r="D41" s="53">
        <v>0</v>
      </c>
      <c r="E41" s="53">
        <v>35556</v>
      </c>
      <c r="F41" s="53">
        <v>0</v>
      </c>
      <c r="G41" s="30">
        <v>0</v>
      </c>
    </row>
    <row r="42" spans="1:9" ht="13.5" customHeight="1">
      <c r="A42" s="51"/>
      <c r="B42" s="52" t="s">
        <v>62</v>
      </c>
      <c r="C42" s="53"/>
      <c r="D42" s="53">
        <v>968345</v>
      </c>
      <c r="E42" s="53">
        <v>0</v>
      </c>
      <c r="F42" s="53">
        <v>0</v>
      </c>
      <c r="G42" s="30">
        <v>1166687</v>
      </c>
    </row>
    <row r="43" spans="1:9" ht="13.5" customHeight="1">
      <c r="A43" s="51"/>
      <c r="B43" s="52" t="s">
        <v>63</v>
      </c>
      <c r="C43" s="53"/>
      <c r="D43" s="53">
        <v>404065</v>
      </c>
      <c r="E43" s="53">
        <v>894344</v>
      </c>
      <c r="F43" s="53">
        <v>1222719</v>
      </c>
      <c r="G43" s="30">
        <v>319228</v>
      </c>
    </row>
    <row r="44" spans="1:9" ht="13.5" customHeight="1">
      <c r="A44" s="51"/>
      <c r="B44" s="52" t="s">
        <v>82</v>
      </c>
      <c r="C44" s="53">
        <v>6008862</v>
      </c>
      <c r="D44" s="53">
        <v>2483087</v>
      </c>
      <c r="E44" s="53">
        <v>1354170</v>
      </c>
      <c r="F44" s="53">
        <v>117982</v>
      </c>
      <c r="G44" s="30">
        <v>1090923</v>
      </c>
    </row>
    <row r="45" spans="1:9" ht="13.5" customHeight="1">
      <c r="A45" s="51"/>
      <c r="B45" s="52" t="s">
        <v>65</v>
      </c>
      <c r="C45" s="53"/>
      <c r="D45" s="53">
        <v>0</v>
      </c>
      <c r="E45" s="53">
        <v>0</v>
      </c>
      <c r="F45" s="53">
        <v>0</v>
      </c>
      <c r="G45" s="30">
        <v>0</v>
      </c>
    </row>
    <row r="46" spans="1:9" ht="13.5" customHeight="1">
      <c r="A46" s="51"/>
      <c r="B46" s="52" t="s">
        <v>83</v>
      </c>
      <c r="C46" s="53"/>
      <c r="D46" s="53">
        <v>297112</v>
      </c>
      <c r="E46" s="53">
        <v>0</v>
      </c>
      <c r="F46" s="53">
        <v>4212401</v>
      </c>
      <c r="G46" s="30">
        <v>1349393</v>
      </c>
    </row>
    <row r="47" spans="1:9" ht="13.5" customHeight="1">
      <c r="A47" s="51"/>
      <c r="B47" s="52" t="s">
        <v>84</v>
      </c>
      <c r="C47" s="53">
        <v>67222</v>
      </c>
      <c r="D47" s="53">
        <v>20444</v>
      </c>
      <c r="E47" s="53">
        <v>13770</v>
      </c>
      <c r="F47" s="53">
        <v>0</v>
      </c>
      <c r="G47" s="30">
        <v>0</v>
      </c>
    </row>
    <row r="48" spans="1:9" ht="13.5" customHeight="1">
      <c r="A48" s="51"/>
      <c r="B48" s="52" t="s">
        <v>85</v>
      </c>
      <c r="C48" s="53">
        <v>29873</v>
      </c>
      <c r="D48" s="53">
        <v>-52576</v>
      </c>
      <c r="E48" s="53">
        <v>20770</v>
      </c>
      <c r="F48" s="53">
        <v>0</v>
      </c>
      <c r="G48" s="30">
        <v>0</v>
      </c>
    </row>
    <row r="49" spans="1:9" ht="13.5" customHeight="1">
      <c r="A49" s="51"/>
      <c r="B49" s="52" t="s">
        <v>86</v>
      </c>
      <c r="C49" s="53">
        <v>1799</v>
      </c>
      <c r="D49" s="53">
        <v>908</v>
      </c>
      <c r="E49" s="53">
        <v>-1018</v>
      </c>
      <c r="F49" s="53">
        <v>0</v>
      </c>
      <c r="G49" s="30">
        <v>0</v>
      </c>
    </row>
    <row r="50" spans="1:9" ht="13.5" customHeight="1">
      <c r="A50" s="51"/>
      <c r="B50" s="52" t="s">
        <v>87</v>
      </c>
      <c r="C50" s="53">
        <v>10881</v>
      </c>
      <c r="D50" s="53">
        <v>0</v>
      </c>
      <c r="E50" s="53">
        <v>0</v>
      </c>
      <c r="F50" s="53">
        <v>0</v>
      </c>
      <c r="G50" s="30">
        <v>0</v>
      </c>
    </row>
    <row r="51" spans="1:9" s="40" customFormat="1" ht="13.5" customHeight="1" thickBot="1">
      <c r="A51" s="56" t="s">
        <v>88</v>
      </c>
      <c r="B51" s="57"/>
      <c r="C51" s="58">
        <f>SUM(C33:C50)</f>
        <v>10608564</v>
      </c>
      <c r="D51" s="58">
        <f>SUM(D33:D50)</f>
        <v>11499330</v>
      </c>
      <c r="E51" s="58">
        <f>SUM(E33:E50)</f>
        <v>7893596</v>
      </c>
      <c r="F51" s="58">
        <f>SUM(F33:F50)</f>
        <v>7792866</v>
      </c>
      <c r="G51" s="152">
        <f>SUM(G33:G50)</f>
        <v>9415069</v>
      </c>
      <c r="H51" s="125">
        <f>AVERAGE(C51:G51)</f>
        <v>9441885</v>
      </c>
      <c r="I51" s="125">
        <f>SUM(C51:E51)+SUM(C53:E53)</f>
        <v>31777083</v>
      </c>
    </row>
    <row r="52" spans="1:9" ht="13.5" customHeight="1">
      <c r="A52" s="120" t="s">
        <v>89</v>
      </c>
      <c r="B52" s="121"/>
      <c r="C52" s="122"/>
      <c r="D52" s="122"/>
      <c r="E52" s="122"/>
      <c r="F52" s="122"/>
      <c r="G52" s="155"/>
      <c r="H52" s="147"/>
    </row>
    <row r="53" spans="1:9" s="40" customFormat="1" ht="13.5" customHeight="1">
      <c r="A53" s="41"/>
      <c r="B53" s="42" t="s">
        <v>90</v>
      </c>
      <c r="C53" s="43">
        <v>536436</v>
      </c>
      <c r="D53" s="43">
        <v>580758</v>
      </c>
      <c r="E53" s="43">
        <v>658399</v>
      </c>
      <c r="F53" s="43">
        <v>816655</v>
      </c>
      <c r="G53" s="44">
        <v>743584</v>
      </c>
      <c r="H53" s="125"/>
      <c r="I53" s="147">
        <f>SUM(C53:E53)</f>
        <v>1775593</v>
      </c>
    </row>
    <row r="54" spans="1:9" s="40" customFormat="1" ht="13.5" customHeight="1">
      <c r="A54" s="62" t="s">
        <v>91</v>
      </c>
      <c r="B54" s="63"/>
      <c r="C54" s="70">
        <f>+C31-C51</f>
        <v>564519</v>
      </c>
      <c r="D54" s="70">
        <f>+D31-D51</f>
        <v>82184</v>
      </c>
      <c r="E54" s="70">
        <f>+E31-E51</f>
        <v>91589</v>
      </c>
      <c r="F54" s="70">
        <f>+F31-F51</f>
        <v>520941</v>
      </c>
      <c r="G54" s="71">
        <f>+G31-G51</f>
        <v>136393</v>
      </c>
      <c r="H54" s="125">
        <f>AVERAGE(C54:G54)</f>
        <v>279125.2</v>
      </c>
      <c r="I54" s="125"/>
    </row>
    <row r="55" spans="1:9" s="40" customFormat="1" ht="13.5" customHeight="1">
      <c r="A55" s="62" t="s">
        <v>92</v>
      </c>
      <c r="B55" s="63"/>
      <c r="C55" s="70">
        <f>+C54-C53</f>
        <v>28083</v>
      </c>
      <c r="D55" s="70">
        <f>+D54-D53</f>
        <v>-498574</v>
      </c>
      <c r="E55" s="70">
        <f>+E54-E53</f>
        <v>-566810</v>
      </c>
      <c r="F55" s="70">
        <f>+F54-F53</f>
        <v>-295714</v>
      </c>
      <c r="G55" s="71">
        <f>+G54-G53</f>
        <v>-607191</v>
      </c>
      <c r="H55" s="125">
        <f>AVERAGE(C55:G55)</f>
        <v>-388041.2</v>
      </c>
      <c r="I55" s="125"/>
    </row>
    <row r="56" spans="1:9" s="40" customFormat="1" ht="13.5" customHeight="1">
      <c r="A56" s="62" t="s">
        <v>93</v>
      </c>
      <c r="B56" s="63"/>
      <c r="C56" s="70">
        <f>C11+C12+C13+C31-C51</f>
        <v>564519</v>
      </c>
      <c r="D56" s="70">
        <f>D11+D12+D13+D31-D51</f>
        <v>82184</v>
      </c>
      <c r="E56" s="70">
        <f>E11+E12+E13+E31-E51</f>
        <v>341589</v>
      </c>
      <c r="F56" s="70">
        <f>F11+F12+F13+F31-F51</f>
        <v>520941</v>
      </c>
      <c r="G56" s="71">
        <f>G11+G12+G13+G31-G51</f>
        <v>216743</v>
      </c>
      <c r="H56" s="125">
        <f>AVERAGE(C56:G56)</f>
        <v>345195.2</v>
      </c>
      <c r="I56" s="125"/>
    </row>
    <row r="57" spans="1:9" s="40" customFormat="1" ht="13.5" customHeight="1">
      <c r="A57" s="62" t="s">
        <v>94</v>
      </c>
      <c r="B57" s="63"/>
      <c r="C57" s="70">
        <f>+C11+C12+C13+C31-C51-C53</f>
        <v>28083</v>
      </c>
      <c r="D57" s="70">
        <f>+D11+D12+D13+D31-D51-D53</f>
        <v>-498574</v>
      </c>
      <c r="E57" s="70">
        <f>+E11+E12+E13+E31-E51-E53</f>
        <v>-316810</v>
      </c>
      <c r="F57" s="70">
        <f>+F11+F12+F13+F31-F51-F53</f>
        <v>-295714</v>
      </c>
      <c r="G57" s="71">
        <f>+G11+G12+G13+G31-G51-G53</f>
        <v>-526841</v>
      </c>
      <c r="H57" s="125">
        <f>AVERAGE(C57:G57)</f>
        <v>-321971.20000000001</v>
      </c>
      <c r="I57" s="125">
        <f>SUM(C57:E57)</f>
        <v>-787301</v>
      </c>
    </row>
    <row r="58" spans="1:9" ht="13.5" customHeight="1">
      <c r="A58" s="22" t="s">
        <v>95</v>
      </c>
      <c r="B58" s="23"/>
      <c r="C58" s="66"/>
      <c r="D58" s="66"/>
      <c r="E58" s="66"/>
      <c r="F58" s="66"/>
      <c r="G58" s="191"/>
    </row>
    <row r="59" spans="1:9" ht="13.5" customHeight="1">
      <c r="A59" s="45"/>
      <c r="B59" s="46" t="s">
        <v>46</v>
      </c>
      <c r="C59" s="29">
        <v>2409175</v>
      </c>
      <c r="D59" s="29">
        <v>1699127</v>
      </c>
      <c r="E59" s="29">
        <v>109728</v>
      </c>
      <c r="F59" s="54">
        <v>5033330</v>
      </c>
      <c r="G59" s="55">
        <v>-696358</v>
      </c>
      <c r="H59" s="147">
        <f>SUM(C59:G59)/5</f>
        <v>1711000.4</v>
      </c>
    </row>
    <row r="60" spans="1:9" ht="13.5" customHeight="1">
      <c r="A60" s="45"/>
      <c r="B60" s="46" t="s">
        <v>47</v>
      </c>
      <c r="C60" s="54">
        <v>0</v>
      </c>
      <c r="D60" s="54">
        <v>0</v>
      </c>
      <c r="E60" s="54">
        <v>0</v>
      </c>
      <c r="F60" s="54">
        <v>0</v>
      </c>
      <c r="G60" s="55">
        <v>14576</v>
      </c>
      <c r="H60" s="147">
        <f>MAX(C59:G59)</f>
        <v>5033330</v>
      </c>
    </row>
    <row r="61" spans="1:9" s="68" customFormat="1" ht="13.5" customHeight="1">
      <c r="A61" s="45"/>
      <c r="B61" s="46" t="s">
        <v>48</v>
      </c>
      <c r="C61" s="54">
        <v>9312243</v>
      </c>
      <c r="D61" s="54">
        <v>8728706</v>
      </c>
      <c r="E61" s="54">
        <v>5648159</v>
      </c>
      <c r="F61" s="54">
        <v>5876828</v>
      </c>
      <c r="G61" s="55">
        <v>9878051</v>
      </c>
      <c r="H61" s="156">
        <f>MIN(C59:G59)</f>
        <v>-696358</v>
      </c>
      <c r="I61" s="184"/>
    </row>
    <row r="62" spans="1:9" s="73" customFormat="1" ht="13.5" customHeight="1">
      <c r="A62" s="37"/>
      <c r="B62" s="38" t="s">
        <v>50</v>
      </c>
      <c r="C62" s="208">
        <f>SUM(C59:C61)</f>
        <v>11721418</v>
      </c>
      <c r="D62" s="208">
        <f>SUM(D59:D61)</f>
        <v>10427833</v>
      </c>
      <c r="E62" s="208">
        <f>SUM(E59:E61)</f>
        <v>5757887</v>
      </c>
      <c r="F62" s="208">
        <f>SUM(F59:F61)</f>
        <v>10910158</v>
      </c>
      <c r="G62" s="209">
        <f>SUM(G59:G61)</f>
        <v>9196269</v>
      </c>
      <c r="I62" s="190"/>
    </row>
    <row r="63" spans="1:9" s="163" customFormat="1" ht="13.5" customHeight="1" thickBot="1">
      <c r="A63" s="128" t="s">
        <v>96</v>
      </c>
      <c r="B63" s="129"/>
      <c r="C63" s="159">
        <f>C59/(C51)</f>
        <v>0.22709718299291026</v>
      </c>
      <c r="D63" s="159">
        <f>D59/(D51)</f>
        <v>0.14775878246819596</v>
      </c>
      <c r="E63" s="159">
        <f>E59/(E51)</f>
        <v>1.3900888771100016E-2</v>
      </c>
      <c r="F63" s="159">
        <f>F59/(F51)</f>
        <v>0.64588945838411693</v>
      </c>
      <c r="G63" s="161">
        <f>G59/(G51)</f>
        <v>-7.3962070803729643E-2</v>
      </c>
      <c r="H63" s="205">
        <f>AVERAGE(C63:G63)</f>
        <v>0.19213684836251871</v>
      </c>
      <c r="I63" s="216"/>
    </row>
    <row r="64" spans="1:9" hidden="1">
      <c r="A64" s="100"/>
      <c r="B64" s="100" t="s">
        <v>97</v>
      </c>
      <c r="C64" s="135">
        <f>+C9+C11+C12+C13+C31-C53-C51-C62</f>
        <v>-1</v>
      </c>
      <c r="D64" s="135">
        <f>+D9+D11+D12+D13+D31-D53-D51-D62</f>
        <v>-1</v>
      </c>
      <c r="E64" s="135">
        <f>+E9+E11+E12+E13+E31-E53-E51-E62</f>
        <v>-10</v>
      </c>
      <c r="F64" s="135">
        <f>+F9+F11+F12+F13+F31-F53-F51-F62</f>
        <v>0</v>
      </c>
      <c r="G64" s="112">
        <f>+G9+G11+G12+G13+G31-G53-G51-G62</f>
        <v>-1</v>
      </c>
      <c r="H64" s="217">
        <f>MAX(C63:G63)</f>
        <v>0.64588945838411693</v>
      </c>
    </row>
    <row r="65" spans="1:15" hidden="1">
      <c r="A65" s="100"/>
      <c r="B65" s="100"/>
      <c r="C65" s="135">
        <f>+C9+C57-C62</f>
        <v>-1</v>
      </c>
      <c r="D65" s="135">
        <f>+D9+D57-D62</f>
        <v>-1</v>
      </c>
      <c r="E65" s="135">
        <f>+E9+E57-E62</f>
        <v>-10</v>
      </c>
      <c r="F65" s="135">
        <f>+F9+F57-F62</f>
        <v>0</v>
      </c>
      <c r="G65" s="113">
        <f>+G9+G57-G62</f>
        <v>-1</v>
      </c>
      <c r="H65" s="217">
        <f>MIN(C63:G63)</f>
        <v>-7.3962070803729643E-2</v>
      </c>
    </row>
    <row r="66" spans="1:15">
      <c r="A66" s="100"/>
      <c r="B66" s="100"/>
      <c r="C66" s="135"/>
      <c r="D66" s="135"/>
      <c r="E66" s="135"/>
      <c r="F66" s="135"/>
      <c r="G66" s="113"/>
      <c r="H66" s="217"/>
    </row>
    <row r="67" spans="1:15" ht="12.75" customHeight="1">
      <c r="A67" s="323" t="s">
        <v>225</v>
      </c>
      <c r="B67" s="91"/>
      <c r="C67" s="91"/>
      <c r="D67" s="91"/>
      <c r="E67" s="135"/>
      <c r="F67" s="135"/>
      <c r="G67" s="135"/>
      <c r="H67" s="217"/>
    </row>
    <row r="68" spans="1:15" ht="12.75" customHeight="1">
      <c r="A68" s="320" t="s">
        <v>226</v>
      </c>
      <c r="B68" s="91"/>
      <c r="C68" s="91"/>
      <c r="D68" s="91"/>
    </row>
    <row r="69" spans="1:15" ht="12.75" customHeight="1">
      <c r="A69" s="321" t="s">
        <v>98</v>
      </c>
      <c r="B69" s="91"/>
      <c r="C69" s="91"/>
      <c r="D69" s="91"/>
    </row>
    <row r="70" spans="1:15">
      <c r="A70" s="322"/>
      <c r="B70" s="91"/>
      <c r="C70" s="91"/>
      <c r="D70" s="91"/>
    </row>
    <row r="71" spans="1:15" ht="12.75" customHeight="1">
      <c r="A71" s="320" t="s">
        <v>227</v>
      </c>
      <c r="B71" s="91"/>
      <c r="C71" s="91"/>
      <c r="D71" s="91"/>
    </row>
    <row r="72" spans="1:15" ht="12.75" customHeight="1">
      <c r="A72" s="320" t="s">
        <v>99</v>
      </c>
      <c r="B72" s="91"/>
      <c r="C72" s="91"/>
      <c r="D72" s="91"/>
    </row>
    <row r="73" spans="1:15" ht="12.75" customHeight="1">
      <c r="A73" s="320" t="s">
        <v>100</v>
      </c>
      <c r="B73" s="231"/>
      <c r="C73" s="232"/>
      <c r="D73" s="232"/>
    </row>
    <row r="74" spans="1:15" ht="13.5" thickBot="1">
      <c r="A74" s="233"/>
      <c r="B74" s="233"/>
      <c r="C74" s="233"/>
      <c r="D74" s="233"/>
    </row>
    <row r="75" spans="1:15" ht="12.75" customHeight="1">
      <c r="A75" s="403"/>
      <c r="B75" s="404"/>
      <c r="C75" s="310"/>
      <c r="D75" s="310"/>
      <c r="E75" s="310"/>
      <c r="F75" s="310"/>
      <c r="G75" s="311"/>
    </row>
    <row r="76" spans="1:15" ht="72.75" customHeight="1">
      <c r="A76" s="405"/>
      <c r="B76" s="406"/>
      <c r="C76" s="314" t="str">
        <f>C2</f>
        <v xml:space="preserve">16th DAA, California Mid-State Fair          </v>
      </c>
      <c r="D76" s="314" t="str">
        <f>D2</f>
        <v>21st DAA, 
The Big Fresno Fair</v>
      </c>
      <c r="E76" s="314" t="str">
        <f>E2</f>
        <v>31st DAA, Ventura County Fair</v>
      </c>
      <c r="F76" s="314" t="str">
        <f>F2</f>
        <v>National Orange Show</v>
      </c>
      <c r="G76" s="315" t="str">
        <f>G2</f>
        <v>Sonoma County Fair FY 14/15</v>
      </c>
    </row>
    <row r="77" spans="1:15" ht="13.5" customHeight="1">
      <c r="A77" s="22" t="s">
        <v>101</v>
      </c>
      <c r="B77" s="52"/>
      <c r="C77" s="93"/>
      <c r="D77" s="93"/>
      <c r="E77" s="93"/>
      <c r="F77" s="93"/>
      <c r="G77" s="95"/>
      <c r="J77" s="218"/>
      <c r="K77" s="218"/>
      <c r="L77" s="219"/>
      <c r="M77" s="218"/>
      <c r="N77" s="218"/>
      <c r="O77" s="218"/>
    </row>
    <row r="78" spans="1:15" ht="13.5" customHeight="1">
      <c r="A78" s="22" t="s">
        <v>102</v>
      </c>
      <c r="B78" s="52"/>
      <c r="C78" s="93"/>
      <c r="D78" s="93"/>
      <c r="E78" s="93"/>
      <c r="F78" s="93"/>
      <c r="G78" s="95"/>
    </row>
    <row r="79" spans="1:15" ht="13.5" customHeight="1">
      <c r="A79" s="51"/>
      <c r="B79" s="52" t="s">
        <v>103</v>
      </c>
      <c r="C79" s="53"/>
      <c r="D79" s="53"/>
      <c r="E79" s="53"/>
      <c r="F79" s="53"/>
      <c r="G79" s="30"/>
    </row>
    <row r="80" spans="1:15" ht="13.5" customHeight="1">
      <c r="A80" s="51"/>
      <c r="B80" s="52" t="s">
        <v>104</v>
      </c>
      <c r="C80" s="25">
        <v>0</v>
      </c>
      <c r="D80" s="25">
        <v>0</v>
      </c>
      <c r="E80" s="25">
        <v>0</v>
      </c>
      <c r="F80" s="25">
        <v>0</v>
      </c>
      <c r="G80" s="27">
        <v>26428</v>
      </c>
      <c r="I80" s="96">
        <f t="shared" ref="I80:I90" si="0">SUM(C80:E80)</f>
        <v>0</v>
      </c>
    </row>
    <row r="81" spans="1:9" ht="13.5" customHeight="1">
      <c r="A81" s="51"/>
      <c r="B81" s="52" t="s">
        <v>105</v>
      </c>
      <c r="C81" s="53">
        <v>2956450</v>
      </c>
      <c r="D81" s="53">
        <v>3098659</v>
      </c>
      <c r="E81" s="53">
        <v>858320</v>
      </c>
      <c r="F81" s="53">
        <v>3191980</v>
      </c>
      <c r="G81" s="30">
        <v>1158138</v>
      </c>
      <c r="I81" s="96">
        <f t="shared" si="0"/>
        <v>6913429</v>
      </c>
    </row>
    <row r="82" spans="1:9" ht="13.5" customHeight="1">
      <c r="A82" s="51"/>
      <c r="B82" s="52" t="s">
        <v>106</v>
      </c>
      <c r="C82" s="53">
        <v>98772</v>
      </c>
      <c r="D82" s="53">
        <v>332460</v>
      </c>
      <c r="E82" s="53">
        <v>155344</v>
      </c>
      <c r="F82" s="53">
        <v>587248</v>
      </c>
      <c r="G82" s="30">
        <v>587205</v>
      </c>
      <c r="I82" s="96">
        <f t="shared" si="0"/>
        <v>586576</v>
      </c>
    </row>
    <row r="83" spans="1:9" ht="13.5" customHeight="1">
      <c r="A83" s="51"/>
      <c r="B83" s="52" t="s">
        <v>107</v>
      </c>
      <c r="C83" s="53">
        <v>31451</v>
      </c>
      <c r="D83" s="53">
        <v>17825</v>
      </c>
      <c r="E83" s="53">
        <v>4625</v>
      </c>
      <c r="F83" s="53">
        <v>0</v>
      </c>
      <c r="G83" s="30">
        <v>0</v>
      </c>
      <c r="I83" s="96">
        <f t="shared" si="0"/>
        <v>53901</v>
      </c>
    </row>
    <row r="84" spans="1:9" ht="13.5" customHeight="1">
      <c r="A84" s="51"/>
      <c r="B84" s="52" t="s">
        <v>108</v>
      </c>
      <c r="C84" s="53">
        <v>14289</v>
      </c>
      <c r="D84" s="53">
        <v>0</v>
      </c>
      <c r="E84" s="53">
        <v>10657</v>
      </c>
      <c r="F84" s="53">
        <v>1810925</v>
      </c>
      <c r="G84" s="30">
        <v>77518</v>
      </c>
      <c r="I84" s="96">
        <f t="shared" si="0"/>
        <v>24946</v>
      </c>
    </row>
    <row r="85" spans="1:9" ht="13.5" customHeight="1">
      <c r="A85" s="51"/>
      <c r="B85" s="52" t="s">
        <v>109</v>
      </c>
      <c r="C85" s="53">
        <v>145322</v>
      </c>
      <c r="D85" s="53">
        <v>0</v>
      </c>
      <c r="E85" s="53">
        <v>0</v>
      </c>
      <c r="F85" s="53">
        <v>0</v>
      </c>
      <c r="G85" s="30">
        <v>29718</v>
      </c>
      <c r="I85" s="20">
        <f t="shared" si="0"/>
        <v>145322</v>
      </c>
    </row>
    <row r="86" spans="1:9" ht="13.5" customHeight="1">
      <c r="A86" s="51"/>
      <c r="B86" s="52" t="s">
        <v>110</v>
      </c>
      <c r="C86" s="53">
        <v>723405</v>
      </c>
      <c r="D86" s="53">
        <v>244077</v>
      </c>
      <c r="E86" s="53">
        <v>282915</v>
      </c>
      <c r="F86" s="53">
        <v>530755</v>
      </c>
      <c r="G86" s="30">
        <v>639516</v>
      </c>
      <c r="I86" s="20">
        <f t="shared" si="0"/>
        <v>1250397</v>
      </c>
    </row>
    <row r="87" spans="1:9" ht="13.5" customHeight="1">
      <c r="A87" s="51"/>
      <c r="B87" s="52" t="s">
        <v>111</v>
      </c>
      <c r="C87" s="53">
        <v>15722645</v>
      </c>
      <c r="D87" s="53">
        <v>25465778</v>
      </c>
      <c r="E87" s="53">
        <v>17298050</v>
      </c>
      <c r="F87" s="53">
        <v>23379700</v>
      </c>
      <c r="G87" s="30">
        <v>31546329</v>
      </c>
      <c r="I87" s="20">
        <f t="shared" si="0"/>
        <v>58486473</v>
      </c>
    </row>
    <row r="88" spans="1:9" ht="13.5" customHeight="1">
      <c r="A88" s="51"/>
      <c r="B88" s="52" t="s">
        <v>112</v>
      </c>
      <c r="C88" s="53">
        <v>1733950</v>
      </c>
      <c r="D88" s="53">
        <v>687238</v>
      </c>
      <c r="E88" s="53">
        <v>828879</v>
      </c>
      <c r="F88" s="53">
        <v>3276744</v>
      </c>
      <c r="G88" s="30">
        <v>2670214</v>
      </c>
      <c r="I88" s="20">
        <f t="shared" si="0"/>
        <v>3250067</v>
      </c>
    </row>
    <row r="89" spans="1:9" ht="13.5" customHeight="1">
      <c r="A89" s="51"/>
      <c r="B89" s="52" t="s">
        <v>113</v>
      </c>
      <c r="C89" s="53">
        <v>0</v>
      </c>
      <c r="D89" s="53">
        <v>0</v>
      </c>
      <c r="E89" s="53">
        <v>0</v>
      </c>
      <c r="F89" s="53">
        <v>0</v>
      </c>
      <c r="G89" s="30">
        <v>0</v>
      </c>
      <c r="I89" s="20">
        <f t="shared" si="0"/>
        <v>0</v>
      </c>
    </row>
    <row r="90" spans="1:9" ht="13.5" customHeight="1">
      <c r="A90" s="51"/>
      <c r="B90" s="52" t="s">
        <v>209</v>
      </c>
      <c r="C90" s="53">
        <v>0</v>
      </c>
      <c r="D90" s="53">
        <v>0</v>
      </c>
      <c r="E90" s="53">
        <v>0</v>
      </c>
      <c r="F90" s="53">
        <v>31261</v>
      </c>
      <c r="G90" s="30">
        <v>0</v>
      </c>
      <c r="I90" s="20">
        <f t="shared" si="0"/>
        <v>0</v>
      </c>
    </row>
    <row r="91" spans="1:9" ht="13.5" customHeight="1">
      <c r="A91" s="51"/>
      <c r="B91" s="52" t="s">
        <v>114</v>
      </c>
      <c r="C91" s="53">
        <f>-7372740-1627261</f>
        <v>-9000001</v>
      </c>
      <c r="D91" s="53">
        <f>-15548789-567067</f>
        <v>-16115856</v>
      </c>
      <c r="E91" s="53">
        <f>-10402661-724500</f>
        <v>-11127161</v>
      </c>
      <c r="F91" s="53">
        <f>-17482719-2450262-23376</f>
        <v>-19956357</v>
      </c>
      <c r="G91" s="30">
        <f>-22558336-2419139</f>
        <v>-24977475</v>
      </c>
      <c r="I91" s="36">
        <f>SUM(C85:E91)</f>
        <v>26889241</v>
      </c>
    </row>
    <row r="92" spans="1:9" ht="13.5" customHeight="1">
      <c r="A92" s="51"/>
      <c r="B92" s="52" t="s">
        <v>115</v>
      </c>
      <c r="C92" s="53">
        <v>0</v>
      </c>
      <c r="D92" s="53">
        <v>0</v>
      </c>
      <c r="E92" s="53">
        <v>0</v>
      </c>
      <c r="F92" s="53"/>
      <c r="G92" s="30">
        <v>0</v>
      </c>
      <c r="I92" s="20"/>
    </row>
    <row r="93" spans="1:9" s="40" customFormat="1" ht="13.5" customHeight="1">
      <c r="A93" s="37" t="s">
        <v>116</v>
      </c>
      <c r="B93" s="42"/>
      <c r="C93" s="208">
        <f>SUM(C79:C92)</f>
        <v>12426283</v>
      </c>
      <c r="D93" s="208">
        <f>SUM(D79:D92)</f>
        <v>13730181</v>
      </c>
      <c r="E93" s="208">
        <f>SUM(E79:E92)</f>
        <v>8311629</v>
      </c>
      <c r="F93" s="208">
        <f>SUM(F79:F92)</f>
        <v>12852256</v>
      </c>
      <c r="G93" s="220">
        <f>SUM(G80:G92)</f>
        <v>11757591</v>
      </c>
      <c r="I93" s="99">
        <f>SUM(C93:E93)</f>
        <v>34468093</v>
      </c>
    </row>
    <row r="94" spans="1:9" ht="13.5" customHeight="1">
      <c r="A94" s="22" t="s">
        <v>154</v>
      </c>
      <c r="B94" s="52"/>
      <c r="C94" s="93"/>
      <c r="D94" s="93"/>
      <c r="E94" s="93"/>
      <c r="F94" s="93"/>
      <c r="G94" s="95"/>
      <c r="I94" s="20"/>
    </row>
    <row r="95" spans="1:9" ht="13.5" customHeight="1">
      <c r="A95" s="22"/>
      <c r="B95" s="52" t="s">
        <v>118</v>
      </c>
      <c r="C95" s="53">
        <v>1557</v>
      </c>
      <c r="D95" s="53">
        <v>0</v>
      </c>
      <c r="E95" s="53">
        <v>0</v>
      </c>
      <c r="F95" s="93">
        <v>50069</v>
      </c>
      <c r="G95" s="95">
        <v>0</v>
      </c>
      <c r="I95" s="96">
        <f t="shared" ref="I95:I111" si="1">SUM(C95:E95)</f>
        <v>1557</v>
      </c>
    </row>
    <row r="96" spans="1:9" ht="13.5" customHeight="1">
      <c r="A96" s="51"/>
      <c r="B96" s="52" t="s">
        <v>119</v>
      </c>
      <c r="C96" s="53">
        <v>72619</v>
      </c>
      <c r="D96" s="53">
        <v>898005</v>
      </c>
      <c r="E96" s="53">
        <v>168653</v>
      </c>
      <c r="F96" s="53">
        <v>334785</v>
      </c>
      <c r="G96" s="30">
        <v>209995</v>
      </c>
      <c r="I96" s="96">
        <f t="shared" si="1"/>
        <v>1139277</v>
      </c>
    </row>
    <row r="97" spans="1:9" ht="13.5" customHeight="1">
      <c r="A97" s="51"/>
      <c r="B97" s="52" t="s">
        <v>120</v>
      </c>
      <c r="C97" s="53">
        <v>5951</v>
      </c>
      <c r="D97" s="53">
        <v>62387</v>
      </c>
      <c r="E97" s="53">
        <v>0</v>
      </c>
      <c r="F97" s="53">
        <v>18309</v>
      </c>
      <c r="G97" s="30">
        <v>0</v>
      </c>
      <c r="I97" s="96">
        <f t="shared" si="1"/>
        <v>68338</v>
      </c>
    </row>
    <row r="98" spans="1:9" ht="13.5" customHeight="1">
      <c r="A98" s="51"/>
      <c r="B98" s="52" t="s">
        <v>121</v>
      </c>
      <c r="C98" s="53">
        <v>74801</v>
      </c>
      <c r="D98" s="53">
        <v>183961</v>
      </c>
      <c r="E98" s="53">
        <v>550</v>
      </c>
      <c r="F98" s="53">
        <v>0</v>
      </c>
      <c r="G98" s="30">
        <v>1001153</v>
      </c>
      <c r="I98" s="96">
        <f t="shared" si="1"/>
        <v>259312</v>
      </c>
    </row>
    <row r="99" spans="1:9" ht="13.5" customHeight="1">
      <c r="A99" s="51"/>
      <c r="B99" s="52" t="s">
        <v>122</v>
      </c>
      <c r="C99" s="53">
        <v>53587</v>
      </c>
      <c r="D99" s="53">
        <v>911</v>
      </c>
      <c r="E99" s="53">
        <v>72999</v>
      </c>
      <c r="F99" s="53">
        <v>290</v>
      </c>
      <c r="G99" s="30">
        <v>317003</v>
      </c>
      <c r="I99" s="96">
        <f t="shared" si="1"/>
        <v>127497</v>
      </c>
    </row>
    <row r="100" spans="1:9" ht="13.5" customHeight="1">
      <c r="A100" s="51"/>
      <c r="B100" s="52" t="s">
        <v>123</v>
      </c>
      <c r="C100" s="53">
        <v>7840</v>
      </c>
      <c r="D100" s="53">
        <v>52745</v>
      </c>
      <c r="E100" s="53">
        <v>82017</v>
      </c>
      <c r="F100" s="53">
        <v>98691</v>
      </c>
      <c r="G100" s="30">
        <v>0</v>
      </c>
      <c r="I100" s="96">
        <f t="shared" si="1"/>
        <v>142602</v>
      </c>
    </row>
    <row r="101" spans="1:9" ht="13.5" customHeight="1">
      <c r="A101" s="51"/>
      <c r="B101" s="52" t="s">
        <v>124</v>
      </c>
      <c r="C101" s="53">
        <v>156159</v>
      </c>
      <c r="D101" s="53">
        <v>454954</v>
      </c>
      <c r="E101" s="53">
        <v>287496</v>
      </c>
      <c r="F101" s="53">
        <v>54679</v>
      </c>
      <c r="G101" s="30">
        <v>0</v>
      </c>
      <c r="I101" s="96">
        <f t="shared" si="1"/>
        <v>898609</v>
      </c>
    </row>
    <row r="102" spans="1:9" ht="13.5" customHeight="1">
      <c r="A102" s="51"/>
      <c r="B102" s="52" t="s">
        <v>125</v>
      </c>
      <c r="C102" s="53">
        <v>13078</v>
      </c>
      <c r="D102" s="53">
        <v>1552531</v>
      </c>
      <c r="E102" s="53">
        <v>1634523</v>
      </c>
      <c r="F102" s="53">
        <v>1385275</v>
      </c>
      <c r="G102" s="30">
        <v>900000</v>
      </c>
      <c r="I102" s="96">
        <f t="shared" si="1"/>
        <v>3200132</v>
      </c>
    </row>
    <row r="103" spans="1:9" s="40" customFormat="1" ht="13.5" customHeight="1">
      <c r="A103" s="37" t="s">
        <v>126</v>
      </c>
      <c r="B103" s="42"/>
      <c r="C103" s="43">
        <f>SUM(C95:C102)</f>
        <v>385592</v>
      </c>
      <c r="D103" s="43">
        <f>SUM(D95:D102)</f>
        <v>3205494</v>
      </c>
      <c r="E103" s="43">
        <f>SUM(E95:E102)</f>
        <v>2246238</v>
      </c>
      <c r="F103" s="43">
        <f>SUM(F95:F102)</f>
        <v>1942098</v>
      </c>
      <c r="G103" s="44">
        <f>SUM(G95:G102)</f>
        <v>2428151</v>
      </c>
      <c r="I103" s="99">
        <f t="shared" si="1"/>
        <v>5837324</v>
      </c>
    </row>
    <row r="104" spans="1:9" ht="13.5" customHeight="1">
      <c r="A104" s="22" t="s">
        <v>127</v>
      </c>
      <c r="B104" s="52"/>
      <c r="C104" s="93"/>
      <c r="D104" s="93"/>
      <c r="E104" s="93"/>
      <c r="F104" s="93"/>
      <c r="G104" s="95"/>
      <c r="I104" s="96">
        <f t="shared" si="1"/>
        <v>0</v>
      </c>
    </row>
    <row r="105" spans="1:9" ht="13.5" customHeight="1">
      <c r="A105" s="51"/>
      <c r="B105" s="52" t="s">
        <v>128</v>
      </c>
      <c r="C105" s="53">
        <v>319272</v>
      </c>
      <c r="D105" s="53">
        <v>96854</v>
      </c>
      <c r="E105" s="53">
        <v>307503</v>
      </c>
      <c r="F105" s="53">
        <v>0</v>
      </c>
      <c r="G105" s="182">
        <v>133171</v>
      </c>
      <c r="I105" s="96">
        <f t="shared" si="1"/>
        <v>723629</v>
      </c>
    </row>
    <row r="106" spans="1:9" ht="13.5" customHeight="1">
      <c r="A106" s="51"/>
      <c r="B106" s="52" t="s">
        <v>46</v>
      </c>
      <c r="C106" s="53">
        <f>C59</f>
        <v>2409175</v>
      </c>
      <c r="D106" s="53">
        <f>D59</f>
        <v>1699127</v>
      </c>
      <c r="E106" s="53">
        <f>E59</f>
        <v>109728</v>
      </c>
      <c r="F106" s="53">
        <f>F59</f>
        <v>5033330</v>
      </c>
      <c r="G106" s="30">
        <f>G59</f>
        <v>-696358</v>
      </c>
      <c r="I106" s="96">
        <f t="shared" si="1"/>
        <v>4218030</v>
      </c>
    </row>
    <row r="107" spans="1:9" ht="13.5" customHeight="1">
      <c r="A107" s="51"/>
      <c r="B107" s="52" t="s">
        <v>210</v>
      </c>
      <c r="C107" s="53">
        <f t="shared" ref="C107:G108" si="2">C60</f>
        <v>0</v>
      </c>
      <c r="D107" s="53">
        <f t="shared" si="2"/>
        <v>0</v>
      </c>
      <c r="E107" s="53">
        <f t="shared" si="2"/>
        <v>0</v>
      </c>
      <c r="F107" s="53">
        <f t="shared" si="2"/>
        <v>0</v>
      </c>
      <c r="G107" s="30">
        <f t="shared" si="2"/>
        <v>14576</v>
      </c>
      <c r="I107" s="96">
        <f t="shared" si="1"/>
        <v>0</v>
      </c>
    </row>
    <row r="108" spans="1:9" ht="13.5" customHeight="1">
      <c r="A108" s="51"/>
      <c r="B108" s="52" t="s">
        <v>129</v>
      </c>
      <c r="C108" s="53">
        <f t="shared" si="2"/>
        <v>9312243</v>
      </c>
      <c r="D108" s="53">
        <f t="shared" si="2"/>
        <v>8728706</v>
      </c>
      <c r="E108" s="53">
        <f t="shared" si="2"/>
        <v>5648159</v>
      </c>
      <c r="F108" s="53">
        <f t="shared" si="2"/>
        <v>5876828</v>
      </c>
      <c r="G108" s="30">
        <f t="shared" si="2"/>
        <v>9878051</v>
      </c>
      <c r="I108" s="96">
        <f t="shared" si="1"/>
        <v>23689108</v>
      </c>
    </row>
    <row r="109" spans="1:9" ht="13.5" customHeight="1">
      <c r="A109" s="101"/>
      <c r="B109" s="102" t="s">
        <v>115</v>
      </c>
      <c r="C109" s="104">
        <v>1</v>
      </c>
      <c r="D109" s="104">
        <v>0</v>
      </c>
      <c r="E109" s="104">
        <v>0</v>
      </c>
      <c r="F109" s="104">
        <v>0</v>
      </c>
      <c r="G109" s="172">
        <v>0</v>
      </c>
      <c r="I109" s="96">
        <f t="shared" si="1"/>
        <v>1</v>
      </c>
    </row>
    <row r="110" spans="1:9" s="40" customFormat="1" ht="13.5" customHeight="1">
      <c r="A110" s="37" t="s">
        <v>50</v>
      </c>
      <c r="B110" s="106"/>
      <c r="C110" s="107">
        <f>SUM(C105:C109)</f>
        <v>12040691</v>
      </c>
      <c r="D110" s="107">
        <f>SUM(D105:D109)</f>
        <v>10524687</v>
      </c>
      <c r="E110" s="107">
        <f>SUM(E105:E109)</f>
        <v>6065390</v>
      </c>
      <c r="F110" s="107">
        <f>SUM(F105:F109)</f>
        <v>10910158</v>
      </c>
      <c r="G110" s="107">
        <f>SUM(G105:G109)</f>
        <v>9329440</v>
      </c>
      <c r="I110" s="99">
        <f t="shared" si="1"/>
        <v>28630768</v>
      </c>
    </row>
    <row r="111" spans="1:9" s="40" customFormat="1" ht="13.5" customHeight="1" thickBot="1">
      <c r="A111" s="56" t="s">
        <v>130</v>
      </c>
      <c r="B111" s="57"/>
      <c r="C111" s="109">
        <f>SUM(C103:C109)</f>
        <v>12426283</v>
      </c>
      <c r="D111" s="109">
        <f>SUM(D103:D109)</f>
        <v>13730181</v>
      </c>
      <c r="E111" s="109">
        <f>SUM(E103:E109)</f>
        <v>8311628</v>
      </c>
      <c r="F111" s="109">
        <f>SUM(F103:F109)</f>
        <v>12852256</v>
      </c>
      <c r="G111" s="110">
        <f>SUM(G103:G109)</f>
        <v>11757591</v>
      </c>
      <c r="I111" s="99">
        <f t="shared" si="1"/>
        <v>34468092</v>
      </c>
    </row>
    <row r="112" spans="1:9" hidden="1">
      <c r="A112" s="111"/>
      <c r="B112" s="100" t="s">
        <v>97</v>
      </c>
      <c r="C112" s="135">
        <f>+C93-C111</f>
        <v>0</v>
      </c>
      <c r="D112" s="135">
        <f>+D93-D111</f>
        <v>0</v>
      </c>
      <c r="E112" s="135">
        <f>+E93-E111</f>
        <v>1</v>
      </c>
      <c r="F112" s="135">
        <f>+F93-F111</f>
        <v>0</v>
      </c>
      <c r="G112" s="112">
        <f>+G93-G111</f>
        <v>0</v>
      </c>
    </row>
    <row r="113" spans="1:9">
      <c r="A113" s="100"/>
      <c r="B113" s="142"/>
      <c r="C113" s="143"/>
      <c r="D113" s="144"/>
      <c r="E113" s="144"/>
      <c r="F113" s="144"/>
      <c r="G113" s="144"/>
    </row>
    <row r="114" spans="1:9" ht="37.5" customHeight="1">
      <c r="A114" s="395" t="s">
        <v>131</v>
      </c>
      <c r="B114" s="396"/>
      <c r="C114" s="400">
        <f>C54/(C31)</f>
        <v>5.0524908836710514E-2</v>
      </c>
      <c r="D114" s="400">
        <f>D54/(D31)</f>
        <v>7.0961361355691491E-3</v>
      </c>
      <c r="E114" s="400">
        <f>E54/(E31)</f>
        <v>1.1469865757649947E-2</v>
      </c>
      <c r="F114" s="400">
        <f>F54/(F31)</f>
        <v>6.2659741800597482E-2</v>
      </c>
      <c r="G114" s="400">
        <f>G54/(G31)</f>
        <v>1.4279803447891013E-2</v>
      </c>
    </row>
    <row r="115" spans="1:9" ht="24">
      <c r="A115" s="257"/>
      <c r="B115" s="258" t="s">
        <v>132</v>
      </c>
      <c r="C115" s="400"/>
      <c r="D115" s="400"/>
      <c r="E115" s="400"/>
      <c r="F115" s="400"/>
      <c r="G115" s="400"/>
    </row>
    <row r="116" spans="1:9" ht="14.25">
      <c r="A116" s="251" t="s">
        <v>220</v>
      </c>
      <c r="B116" s="252"/>
      <c r="C116" s="401">
        <f>(SUM(C81:C82))/SUM(C95:C100)</f>
        <v>14.121337616417462</v>
      </c>
      <c r="D116" s="401">
        <f>(SUM(D81:D82))/SUM(D95:D100)</f>
        <v>2.8640177160605638</v>
      </c>
      <c r="E116" s="401">
        <f>(SUM(E81:E82))/SUM(E95:E100)</f>
        <v>3.1264793241605213</v>
      </c>
      <c r="F116" s="401">
        <f>(SUM(F81:F82))/SUM(F95:F100)</f>
        <v>7.5261837241906706</v>
      </c>
      <c r="G116" s="401">
        <f>(SUM(G81:G82))/SUM(G95:G100)</f>
        <v>1.1421273159524157</v>
      </c>
    </row>
    <row r="117" spans="1:9" ht="36">
      <c r="A117" s="253"/>
      <c r="B117" s="254" t="s">
        <v>221</v>
      </c>
      <c r="C117" s="402"/>
      <c r="D117" s="402"/>
      <c r="E117" s="402"/>
      <c r="F117" s="402"/>
      <c r="G117" s="402"/>
    </row>
    <row r="118" spans="1:9" ht="14.25">
      <c r="A118" s="251" t="s">
        <v>222</v>
      </c>
      <c r="B118" s="252"/>
      <c r="C118" s="401">
        <f>(SUM(C81:C82))/SUM(C95:C101)</f>
        <v>8.2016300058521292</v>
      </c>
      <c r="D118" s="401">
        <f>(SUM(D81:D82))/SUM(D95:D101)</f>
        <v>2.0757385374022288</v>
      </c>
      <c r="E118" s="401">
        <f>(SUM(E81:E82))/SUM(E95:E101)</f>
        <v>1.6570854074201222</v>
      </c>
      <c r="F118" s="401">
        <f>(SUM(F81:F82))/SUM(F95:F101)</f>
        <v>6.7871262501728555</v>
      </c>
      <c r="G118" s="401">
        <f>(SUM(G81:G82))/SUM(G95:G101)</f>
        <v>1.1421273159524157</v>
      </c>
    </row>
    <row r="119" spans="1:9" ht="36">
      <c r="A119" s="253"/>
      <c r="B119" s="254" t="s">
        <v>223</v>
      </c>
      <c r="C119" s="402"/>
      <c r="D119" s="402"/>
      <c r="E119" s="402"/>
      <c r="F119" s="402"/>
      <c r="G119" s="402"/>
    </row>
    <row r="120" spans="1:9" s="256" customFormat="1" ht="8.1" customHeight="1">
      <c r="A120" s="263"/>
      <c r="B120" s="264"/>
      <c r="C120" s="265"/>
      <c r="D120" s="265"/>
      <c r="E120" s="265"/>
      <c r="F120" s="265"/>
      <c r="G120" s="266"/>
      <c r="I120" s="279"/>
    </row>
    <row r="121" spans="1:9">
      <c r="A121" s="259" t="s">
        <v>133</v>
      </c>
      <c r="B121" s="260"/>
      <c r="C121" s="399">
        <f>C103/C93</f>
        <v>3.1030357187261871E-2</v>
      </c>
      <c r="D121" s="399">
        <f>D103/D93</f>
        <v>0.23346334618604081</v>
      </c>
      <c r="E121" s="399">
        <f>E103/E93</f>
        <v>0.27025243787950592</v>
      </c>
      <c r="F121" s="399">
        <f>F103/F93</f>
        <v>0.1511095017092719</v>
      </c>
      <c r="G121" s="399">
        <f>G103/G93</f>
        <v>0.20651772969479887</v>
      </c>
    </row>
    <row r="122" spans="1:9" ht="25.5">
      <c r="A122" s="257"/>
      <c r="B122" s="261" t="s">
        <v>134</v>
      </c>
      <c r="C122" s="399"/>
      <c r="D122" s="399"/>
      <c r="E122" s="399"/>
      <c r="F122" s="399"/>
      <c r="G122" s="399"/>
    </row>
    <row r="123" spans="1:9">
      <c r="A123" s="259" t="s">
        <v>135</v>
      </c>
      <c r="B123" s="262"/>
      <c r="C123" s="399">
        <f>C110/C93</f>
        <v>0.96896964281273812</v>
      </c>
      <c r="D123" s="399">
        <f>D110/D93</f>
        <v>0.76653665381395919</v>
      </c>
      <c r="E123" s="399">
        <f>E110/E93</f>
        <v>0.72974744180713547</v>
      </c>
      <c r="F123" s="399">
        <f>F110/F93</f>
        <v>0.84889049829072816</v>
      </c>
      <c r="G123" s="399">
        <f>G110/G93</f>
        <v>0.79348227030520113</v>
      </c>
    </row>
    <row r="124" spans="1:9" ht="24">
      <c r="A124" s="257"/>
      <c r="B124" s="258" t="s">
        <v>136</v>
      </c>
      <c r="C124" s="399"/>
      <c r="D124" s="399"/>
      <c r="E124" s="399"/>
      <c r="F124" s="399"/>
      <c r="G124" s="399"/>
    </row>
    <row r="125" spans="1:9">
      <c r="A125" s="397" t="s">
        <v>137</v>
      </c>
      <c r="B125" s="398"/>
      <c r="C125" s="399">
        <f>C103/C110</f>
        <v>3.2024075694659052E-2</v>
      </c>
      <c r="D125" s="399">
        <f>D103/D110</f>
        <v>0.30456905749311119</v>
      </c>
      <c r="E125" s="399">
        <f>E103/E110</f>
        <v>0.370336944532833</v>
      </c>
      <c r="F125" s="399">
        <f>F103/F110</f>
        <v>0.1780082378275365</v>
      </c>
      <c r="G125" s="399">
        <f>G103/G110</f>
        <v>0.26026760448644293</v>
      </c>
    </row>
    <row r="126" spans="1:9">
      <c r="A126" s="257"/>
      <c r="B126" s="258" t="s">
        <v>138</v>
      </c>
      <c r="C126" s="399"/>
      <c r="D126" s="399"/>
      <c r="E126" s="399"/>
      <c r="F126" s="399"/>
      <c r="G126" s="399"/>
    </row>
    <row r="127" spans="1:9" s="256" customFormat="1" ht="8.1" customHeight="1">
      <c r="A127" s="267"/>
      <c r="B127" s="268"/>
      <c r="C127" s="268"/>
      <c r="D127" s="268"/>
      <c r="E127" s="268"/>
      <c r="F127" s="268"/>
      <c r="G127" s="274"/>
      <c r="I127" s="279"/>
    </row>
    <row r="128" spans="1:9">
      <c r="A128" s="277" t="s">
        <v>139</v>
      </c>
      <c r="B128" s="278"/>
      <c r="C128" s="176">
        <v>9</v>
      </c>
      <c r="D128" s="114">
        <v>24</v>
      </c>
      <c r="E128" s="176">
        <v>30</v>
      </c>
      <c r="F128" s="176">
        <v>41</v>
      </c>
      <c r="G128" s="176">
        <v>26</v>
      </c>
      <c r="H128" s="115">
        <f>AVERAGE(C128:G128)</f>
        <v>26</v>
      </c>
    </row>
    <row r="129" spans="1:9" s="256" customFormat="1" ht="8.1" customHeight="1">
      <c r="A129" s="273"/>
      <c r="B129" s="268"/>
      <c r="C129" s="270"/>
      <c r="D129" s="270"/>
      <c r="E129" s="270"/>
      <c r="F129" s="270"/>
      <c r="G129" s="287"/>
      <c r="H129" s="280"/>
      <c r="I129" s="279"/>
    </row>
    <row r="130" spans="1:9">
      <c r="A130" s="283" t="s">
        <v>140</v>
      </c>
      <c r="B130" s="283"/>
      <c r="C130" s="288">
        <v>288128</v>
      </c>
      <c r="D130" s="276">
        <v>332534</v>
      </c>
      <c r="E130" s="288">
        <v>188545</v>
      </c>
      <c r="F130" s="288">
        <v>17246</v>
      </c>
      <c r="G130" s="288">
        <v>166614</v>
      </c>
      <c r="H130" s="125">
        <f>AVERAGE(C130:G130)</f>
        <v>198613.4</v>
      </c>
    </row>
    <row r="131" spans="1:9">
      <c r="A131" s="275" t="s">
        <v>143</v>
      </c>
      <c r="B131" s="275"/>
      <c r="C131" s="288">
        <v>140954</v>
      </c>
      <c r="D131" s="276">
        <v>283570</v>
      </c>
      <c r="E131" s="288">
        <v>129791</v>
      </c>
      <c r="F131" s="93">
        <v>12337</v>
      </c>
      <c r="G131" s="288">
        <v>0</v>
      </c>
      <c r="H131" s="125">
        <f>AVERAGE(C131:G131)</f>
        <v>113330.4</v>
      </c>
    </row>
    <row r="132" spans="1:9">
      <c r="A132" s="275" t="s">
        <v>144</v>
      </c>
      <c r="B132" s="275"/>
      <c r="C132" s="288">
        <v>429082</v>
      </c>
      <c r="D132" s="276">
        <v>616104</v>
      </c>
      <c r="E132" s="288">
        <v>318336</v>
      </c>
      <c r="F132" s="288">
        <v>29583</v>
      </c>
      <c r="G132" s="288">
        <v>166614</v>
      </c>
      <c r="H132" s="125">
        <f>AVERAGE(C132:G132)</f>
        <v>311943.8</v>
      </c>
    </row>
    <row r="133" spans="1:9">
      <c r="A133" s="20" t="s">
        <v>203</v>
      </c>
    </row>
  </sheetData>
  <mergeCells count="39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E114:E115"/>
    <mergeCell ref="F114:F115"/>
    <mergeCell ref="G114:G115"/>
    <mergeCell ref="D116:D117"/>
    <mergeCell ref="E116:E117"/>
    <mergeCell ref="F116:F117"/>
    <mergeCell ref="G116:G117"/>
    <mergeCell ref="G2:G3"/>
    <mergeCell ref="A125:B125"/>
    <mergeCell ref="A1:B3"/>
    <mergeCell ref="C2:C3"/>
    <mergeCell ref="D2:D3"/>
    <mergeCell ref="E2:E3"/>
    <mergeCell ref="F2:F3"/>
    <mergeCell ref="A114:B114"/>
    <mergeCell ref="A75:B76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G115">
    <cfRule type="cellIs" dxfId="5" priority="2" operator="lessThan">
      <formula>0</formula>
    </cfRule>
  </conditionalFormatting>
  <conditionalFormatting sqref="C63:G63">
    <cfRule type="cellIs" dxfId="4" priority="1" operator="lessThan">
      <formula>0</formula>
    </cfRule>
  </conditionalFormatting>
  <printOptions horizontalCentered="1"/>
  <pageMargins left="0.5" right="0.5" top="0.7" bottom="0.35" header="0.5" footer="0.15"/>
  <pageSetup scale="66" orientation="portrait" r:id="rId1"/>
  <headerFooter alignWithMargins="0">
    <oddHeader>&amp;C&amp;"Arial,Bold"&amp;14CLASS VI FAIRS</oddHeader>
    <oddFooter>&amp;CFairs and Expositions</oddFooter>
  </headerFooter>
  <rowBreaks count="1" manualBreakCount="1">
    <brk id="7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SummaryStats</vt:lpstr>
      <vt:lpstr>Class 1</vt:lpstr>
      <vt:lpstr>Class 2</vt:lpstr>
      <vt:lpstr>Class 3</vt:lpstr>
      <vt:lpstr>Class 3+</vt:lpstr>
      <vt:lpstr>Class 4</vt:lpstr>
      <vt:lpstr>Class 4+</vt:lpstr>
      <vt:lpstr>Class 5</vt:lpstr>
      <vt:lpstr>Class 6</vt:lpstr>
      <vt:lpstr>Class 7</vt:lpstr>
      <vt:lpstr>'Class 1'!Print_Area</vt:lpstr>
      <vt:lpstr>'Class 2'!Print_Area</vt:lpstr>
      <vt:lpstr>'Class 3'!Print_Area</vt:lpstr>
      <vt:lpstr>'Class 3+'!Print_Area</vt:lpstr>
      <vt:lpstr>'Class 4'!Print_Area</vt:lpstr>
      <vt:lpstr>'Class 4+'!Print_Area</vt:lpstr>
      <vt:lpstr>'Class 5'!Print_Area</vt:lpstr>
      <vt:lpstr>'Class 6'!Print_Area</vt:lpstr>
      <vt:lpstr>'Class 7'!Print_Area</vt:lpstr>
      <vt:lpstr>SummaryStats!Print_Area</vt:lpstr>
      <vt:lpstr>'Class 1'!Print_Titles</vt:lpstr>
      <vt:lpstr>'Class 2'!Print_Titles</vt:lpstr>
      <vt:lpstr>'Class 3'!Print_Titles</vt:lpstr>
      <vt:lpstr>'Class 3+'!Print_Titles</vt:lpstr>
      <vt:lpstr>'Class 4'!Print_Titles</vt:lpstr>
      <vt:lpstr>'Class 4+'!Print_Titles</vt:lpstr>
      <vt:lpstr>'Class 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Joji Kume</dc:creator>
  <cp:lastModifiedBy>Kume, Joji@CDFA</cp:lastModifiedBy>
  <cp:lastPrinted>2016-11-18T21:41:14Z</cp:lastPrinted>
  <dcterms:created xsi:type="dcterms:W3CDTF">2016-11-16T19:39:59Z</dcterms:created>
  <dcterms:modified xsi:type="dcterms:W3CDTF">2020-07-16T21:01:15Z</dcterms:modified>
</cp:coreProperties>
</file>